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4.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5.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harts/chart19.xml" ContentType="application/vnd.openxmlformats-officedocument.drawingml.chart+xml"/>
  <Override PartName="/xl/charts/chart20.xml" ContentType="application/vnd.openxmlformats-officedocument.drawingml.chart+xml"/>
  <Override PartName="/xl/charts/style10.xml" ContentType="application/vnd.ms-office.chartstyle+xml"/>
  <Override PartName="/xl/charts/colors10.xml" ContentType="application/vnd.ms-office.chartcolorstyle+xml"/>
  <Override PartName="/xl/charts/chart21.xml" ContentType="application/vnd.openxmlformats-officedocument.drawingml.chart+xml"/>
  <Override PartName="/xl/drawings/drawing6.xml" ContentType="application/vnd.openxmlformats-officedocument.drawing+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drawings/drawing7.xml" ContentType="application/vnd.openxmlformats-officedocument.drawing+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style11.xml" ContentType="application/vnd.ms-office.chartstyle+xml"/>
  <Override PartName="/xl/charts/colors11.xml" ContentType="application/vnd.ms-office.chartcolorstyle+xml"/>
  <Override PartName="/xl/tables/table29.xml" ContentType="application/vnd.openxmlformats-officedocument.spreadsheetml.table+xml"/>
  <Override PartName="/xl/drawings/drawing8.xml" ContentType="application/vnd.openxmlformats-officedocument.drawing+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charts/chart44.xml" ContentType="application/vnd.openxmlformats-officedocument.drawingml.chart+xml"/>
  <Override PartName="/xl/charts/style12.xml" ContentType="application/vnd.ms-office.chartstyle+xml"/>
  <Override PartName="/xl/charts/colors12.xml" ContentType="application/vnd.ms-office.chartcolorstyle+xml"/>
  <Override PartName="/xl/charts/chart45.xml" ContentType="application/vnd.openxmlformats-officedocument.drawingml.chart+xml"/>
  <Override PartName="/xl/charts/style13.xml" ContentType="application/vnd.ms-office.chartstyle+xml"/>
  <Override PartName="/xl/charts/colors13.xml" ContentType="application/vnd.ms-office.chartcolorstyle+xml"/>
  <Override PartName="/xl/charts/chart46.xml" ContentType="application/vnd.openxmlformats-officedocument.drawingml.chart+xml"/>
  <Override PartName="/xl/charts/style14.xml" ContentType="application/vnd.ms-office.chartstyle+xml"/>
  <Override PartName="/xl/charts/colors14.xml" ContentType="application/vnd.ms-office.chartcolorstyle+xml"/>
  <Override PartName="/xl/charts/chart47.xml" ContentType="application/vnd.openxmlformats-officedocument.drawingml.chart+xml"/>
  <Override PartName="/xl/charts/style15.xml" ContentType="application/vnd.ms-office.chartstyle+xml"/>
  <Override PartName="/xl/charts/colors15.xml" ContentType="application/vnd.ms-office.chartcolorstyle+xml"/>
  <Override PartName="/xl/charts/chart48.xml" ContentType="application/vnd.openxmlformats-officedocument.drawingml.chart+xml"/>
  <Override PartName="/xl/charts/style16.xml" ContentType="application/vnd.ms-office.chartstyle+xml"/>
  <Override PartName="/xl/charts/colors16.xml" ContentType="application/vnd.ms-office.chartcolorstyle+xml"/>
  <Override PartName="/xl/charts/chart49.xml" ContentType="application/vnd.openxmlformats-officedocument.drawingml.chart+xml"/>
  <Override PartName="/xl/charts/style17.xml" ContentType="application/vnd.ms-office.chartstyle+xml"/>
  <Override PartName="/xl/charts/colors17.xml" ContentType="application/vnd.ms-office.chartcolorstyle+xml"/>
  <Override PartName="/xl/charts/chart50.xml" ContentType="application/vnd.openxmlformats-officedocument.drawingml.chart+xml"/>
  <Override PartName="/xl/charts/style18.xml" ContentType="application/vnd.ms-office.chartstyle+xml"/>
  <Override PartName="/xl/charts/colors18.xml" ContentType="application/vnd.ms-office.chartcolorstyle+xml"/>
  <Override PartName="/xl/charts/chart51.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9.xml" ContentType="application/vnd.openxmlformats-officedocument.drawing+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charts/chart52.xml" ContentType="application/vnd.openxmlformats-officedocument.drawingml.chart+xml"/>
  <Override PartName="/xl/charts/style20.xml" ContentType="application/vnd.ms-office.chartstyle+xml"/>
  <Override PartName="/xl/charts/colors20.xml" ContentType="application/vnd.ms-office.chartcolorstyle+xml"/>
  <Override PartName="/xl/charts/chart53.xml" ContentType="application/vnd.openxmlformats-officedocument.drawingml.chart+xml"/>
  <Override PartName="/xl/charts/style21.xml" ContentType="application/vnd.ms-office.chartstyle+xml"/>
  <Override PartName="/xl/charts/colors21.xml" ContentType="application/vnd.ms-office.chartcolorsty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drawings/drawing10.xml" ContentType="application/vnd.openxmlformats-officedocument.drawing+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charts/chart54.xml" ContentType="application/vnd.openxmlformats-officedocument.drawingml.chart+xml"/>
  <Override PartName="/xl/charts/style22.xml" ContentType="application/vnd.ms-office.chartstyle+xml"/>
  <Override PartName="/xl/charts/colors22.xml" ContentType="application/vnd.ms-office.chartcolorstyle+xml"/>
  <Override PartName="/xl/charts/chart55.xml" ContentType="application/vnd.openxmlformats-officedocument.drawingml.chart+xml"/>
  <Override PartName="/xl/charts/style23.xml" ContentType="application/vnd.ms-office.chartstyle+xml"/>
  <Override PartName="/xl/charts/colors23.xml" ContentType="application/vnd.ms-office.chartcolorstyle+xml"/>
  <Override PartName="/xl/charts/chart56.xml" ContentType="application/vnd.openxmlformats-officedocument.drawingml.chart+xml"/>
  <Override PartName="/xl/charts/chart57.xml" ContentType="application/vnd.openxmlformats-officedocument.drawingml.chart+xml"/>
  <Override PartName="/xl/drawings/drawing11.xml" ContentType="application/vnd.openxmlformats-officedocument.drawing+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charts/chart58.xml" ContentType="application/vnd.openxmlformats-officedocument.drawingml.chart+xml"/>
  <Override PartName="/xl/charts/style24.xml" ContentType="application/vnd.ms-office.chartstyle+xml"/>
  <Override PartName="/xl/charts/colors24.xml" ContentType="application/vnd.ms-office.chartcolorstyle+xml"/>
  <Override PartName="/xl/charts/chart59.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2.xml" ContentType="application/vnd.openxmlformats-officedocument.drawing+xml"/>
  <Override PartName="/xl/tables/table152.xml" ContentType="application/vnd.openxmlformats-officedocument.spreadsheetml.table+xml"/>
  <Override PartName="/xl/tables/table153.xml" ContentType="application/vnd.openxmlformats-officedocument.spreadsheetml.table+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tables/table172.xml" ContentType="application/vnd.openxmlformats-officedocument.spreadsheetml.table+xml"/>
  <Override PartName="/xl/tables/table173.xml" ContentType="application/vnd.openxmlformats-officedocument.spreadsheetml.table+xml"/>
  <Override PartName="/xl/tables/table174.xml" ContentType="application/vnd.openxmlformats-officedocument.spreadsheetml.table+xml"/>
  <Override PartName="/xl/tables/table175.xml" ContentType="application/vnd.openxmlformats-officedocument.spreadsheetml.table+xml"/>
  <Override PartName="/xl/tables/table176.xml" ContentType="application/vnd.openxmlformats-officedocument.spreadsheetml.table+xml"/>
  <Override PartName="/xl/tables/table177.xml" ContentType="application/vnd.openxmlformats-officedocument.spreadsheetml.table+xml"/>
  <Override PartName="/xl/tables/table178.xml" ContentType="application/vnd.openxmlformats-officedocument.spreadsheetml.table+xml"/>
  <Override PartName="/xl/tables/table179.xml" ContentType="application/vnd.openxmlformats-officedocument.spreadsheetml.table+xml"/>
  <Override PartName="/xl/tables/table180.xml" ContentType="application/vnd.openxmlformats-officedocument.spreadsheetml.table+xml"/>
  <Override PartName="/xl/tables/table181.xml" ContentType="application/vnd.openxmlformats-officedocument.spreadsheetml.table+xml"/>
  <Override PartName="/xl/tables/table182.xml" ContentType="application/vnd.openxmlformats-officedocument.spreadsheetml.table+xml"/>
  <Override PartName="/xl/tables/table183.xml" ContentType="application/vnd.openxmlformats-officedocument.spreadsheetml.table+xml"/>
  <Override PartName="/xl/tables/table184.xml" ContentType="application/vnd.openxmlformats-officedocument.spreadsheetml.table+xml"/>
  <Override PartName="/xl/tables/table185.xml" ContentType="application/vnd.openxmlformats-officedocument.spreadsheetml.table+xml"/>
  <Override PartName="/xl/tables/table186.xml" ContentType="application/vnd.openxmlformats-officedocument.spreadsheetml.table+xml"/>
  <Override PartName="/xl/tables/table187.xml" ContentType="application/vnd.openxmlformats-officedocument.spreadsheetml.table+xml"/>
  <Override PartName="/xl/tables/table188.xml" ContentType="application/vnd.openxmlformats-officedocument.spreadsheetml.table+xml"/>
  <Override PartName="/xl/tables/table189.xml" ContentType="application/vnd.openxmlformats-officedocument.spreadsheetml.table+xml"/>
  <Override PartName="/xl/tables/table190.xml" ContentType="application/vnd.openxmlformats-officedocument.spreadsheetml.table+xml"/>
  <Override PartName="/xl/tables/table191.xml" ContentType="application/vnd.openxmlformats-officedocument.spreadsheetml.table+xml"/>
  <Override PartName="/xl/tables/table192.xml" ContentType="application/vnd.openxmlformats-officedocument.spreadsheetml.table+xml"/>
  <Override PartName="/xl/tables/table193.xml" ContentType="application/vnd.openxmlformats-officedocument.spreadsheetml.table+xml"/>
  <Override PartName="/xl/tables/table194.xml" ContentType="application/vnd.openxmlformats-officedocument.spreadsheetml.table+xml"/>
  <Override PartName="/xl/tables/table195.xml" ContentType="application/vnd.openxmlformats-officedocument.spreadsheetml.table+xml"/>
  <Override PartName="/xl/tables/table196.xml" ContentType="application/vnd.openxmlformats-officedocument.spreadsheetml.table+xml"/>
  <Override PartName="/xl/tables/table197.xml" ContentType="application/vnd.openxmlformats-officedocument.spreadsheetml.table+xml"/>
  <Override PartName="/xl/tables/table198.xml" ContentType="application/vnd.openxmlformats-officedocument.spreadsheetml.table+xml"/>
  <Override PartName="/xl/tables/table199.xml" ContentType="application/vnd.openxmlformats-officedocument.spreadsheetml.table+xml"/>
  <Override PartName="/xl/tables/table200.xml" ContentType="application/vnd.openxmlformats-officedocument.spreadsheetml.table+xml"/>
  <Override PartName="/xl/drawings/drawing13.xml" ContentType="application/vnd.openxmlformats-officedocument.drawing+xml"/>
  <Override PartName="/xl/tables/table201.xml" ContentType="application/vnd.openxmlformats-officedocument.spreadsheetml.table+xml"/>
  <Override PartName="/xl/tables/table202.xml" ContentType="application/vnd.openxmlformats-officedocument.spreadsheetml.table+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style26.xml" ContentType="application/vnd.ms-office.chartstyle+xml"/>
  <Override PartName="/xl/charts/colors26.xml" ContentType="application/vnd.ms-office.chartcolorstyle+xml"/>
  <Override PartName="/xl/charts/chart66.xml" ContentType="application/vnd.openxmlformats-officedocument.drawingml.chart+xml"/>
  <Override PartName="/xl/tables/table203.xml" ContentType="application/vnd.openxmlformats-officedocument.spreadsheetml.table+xml"/>
  <Override PartName="/xl/tables/table204.xml" ContentType="application/vnd.openxmlformats-officedocument.spreadsheetml.table+xml"/>
  <Override PartName="/xl/tables/table205.xml" ContentType="application/vnd.openxmlformats-officedocument.spreadsheetml.table+xml"/>
  <Override PartName="/xl/tables/table206.xml" ContentType="application/vnd.openxmlformats-officedocument.spreadsheetml.table+xml"/>
  <Override PartName="/xl/tables/table207.xml" ContentType="application/vnd.openxmlformats-officedocument.spreadsheetml.table+xml"/>
  <Override PartName="/xl/tables/table208.xml" ContentType="application/vnd.openxmlformats-officedocument.spreadsheetml.table+xml"/>
  <Override PartName="/xl/tables/table209.xml" ContentType="application/vnd.openxmlformats-officedocument.spreadsheetml.table+xml"/>
  <Override PartName="/xl/tables/table210.xml" ContentType="application/vnd.openxmlformats-officedocument.spreadsheetml.table+xml"/>
  <Override PartName="/xl/tables/table211.xml" ContentType="application/vnd.openxmlformats-officedocument.spreadsheetml.table+xml"/>
  <Override PartName="/xl/tables/table212.xml" ContentType="application/vnd.openxmlformats-officedocument.spreadsheetml.table+xml"/>
  <Override PartName="/xl/tables/table213.xml" ContentType="application/vnd.openxmlformats-officedocument.spreadsheetml.table+xml"/>
  <Override PartName="/xl/tables/table214.xml" ContentType="application/vnd.openxmlformats-officedocument.spreadsheetml.table+xml"/>
  <Override PartName="/xl/tables/table215.xml" ContentType="application/vnd.openxmlformats-officedocument.spreadsheetml.table+xml"/>
  <Override PartName="/xl/tables/table216.xml" ContentType="application/vnd.openxmlformats-officedocument.spreadsheetml.table+xml"/>
  <Override PartName="/xl/tables/table217.xml" ContentType="application/vnd.openxmlformats-officedocument.spreadsheetml.table+xml"/>
  <Override PartName="/xl/tables/table218.xml" ContentType="application/vnd.openxmlformats-officedocument.spreadsheetml.table+xml"/>
  <Override PartName="/xl/tables/table219.xml" ContentType="application/vnd.openxmlformats-officedocument.spreadsheetml.table+xml"/>
  <Override PartName="/xl/tables/table220.xml" ContentType="application/vnd.openxmlformats-officedocument.spreadsheetml.table+xml"/>
  <Override PartName="/xl/tables/table22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336" documentId="8_{74A67E6B-A8D4-4F5F-9B8B-80AA1FFF4A30}" xr6:coauthVersionLast="47" xr6:coauthVersionMax="47" xr10:uidLastSave="{294C38F0-51BC-4B71-BC5E-2E8B69C0B2D1}"/>
  <bookViews>
    <workbookView xWindow="28680" yWindow="-120" windowWidth="29040" windowHeight="15720" tabRatio="869" xr2:uid="{00000000-000D-0000-FFFF-FFFF00000000}"/>
  </bookViews>
  <sheets>
    <sheet name="Contents" sheetId="58" r:id="rId1"/>
    <sheet name="MA 1990-2023 Total Chart" sheetId="60" r:id="rId2"/>
    <sheet name="1990-2023 Sector Charts" sheetId="52" r:id="rId3"/>
    <sheet name="Summary" sheetId="50" r:id="rId4"/>
    <sheet name="Adjustable GWP Summary" sheetId="59" r:id="rId5"/>
    <sheet name="Summary by Gas" sheetId="49" r:id="rId6"/>
    <sheet name="Sector Sublimits" sheetId="54" r:id="rId7"/>
    <sheet name="Process" sheetId="45" r:id="rId8"/>
    <sheet name="Combustion CO2" sheetId="24" r:id="rId9"/>
    <sheet name="Stationary CH4 and N2O" sheetId="25" r:id="rId10"/>
    <sheet name="Mobile CH4 and N2O" sheetId="26" r:id="rId11"/>
    <sheet name="NG Sum Distribution PostMeter" sheetId="27" r:id="rId12"/>
    <sheet name="NG Transmission Storage" sheetId="53" r:id="rId13"/>
    <sheet name="Industrial Process" sheetId="28" r:id="rId14"/>
    <sheet name="Agriculture" sheetId="29" r:id="rId15"/>
    <sheet name="Wastewater" sheetId="32" r:id="rId16"/>
    <sheet name="Solid Waste" sheetId="31" r:id="rId17"/>
    <sheet name="Electricity Imports" sheetId="17" r:id="rId18"/>
    <sheet name="Biogenic Summary" sheetId="47" r:id="rId19"/>
    <sheet name="Biogenic Combustion" sheetId="44" r:id="rId20"/>
    <sheet name="Natural and Working Lands" sheetId="56" r:id="rId21"/>
  </sheets>
  <definedNames>
    <definedName name="_xlnm._FilterDatabase" localSheetId="5" hidden="1">'Adjustable GWP Summary'!$A$9:$A$13</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61" i="32" l="1"/>
  <c r="B104" i="25" l="1"/>
  <c r="B105" i="25"/>
  <c r="D169" i="53" l="1"/>
  <c r="E169" i="53"/>
  <c r="F169" i="53"/>
  <c r="G169" i="53"/>
  <c r="H169" i="53"/>
  <c r="I169" i="53"/>
  <c r="J169" i="53"/>
  <c r="K169" i="53"/>
  <c r="L169" i="53"/>
  <c r="M169" i="53"/>
  <c r="N169" i="53"/>
  <c r="O169" i="53"/>
  <c r="P169" i="53"/>
  <c r="Q169" i="53"/>
  <c r="R169" i="53"/>
  <c r="S169" i="53"/>
  <c r="T169" i="53"/>
  <c r="U169" i="53"/>
  <c r="V169" i="53"/>
  <c r="W169" i="53"/>
  <c r="X169" i="53"/>
  <c r="Y169" i="53"/>
  <c r="Z169" i="53"/>
  <c r="AA169" i="53"/>
  <c r="AB169" i="53"/>
  <c r="AC169" i="53"/>
  <c r="AD169" i="53"/>
  <c r="AE169" i="53"/>
  <c r="AF169" i="53"/>
  <c r="AG169" i="53"/>
  <c r="AH169" i="53"/>
  <c r="AI169" i="53"/>
  <c r="AJ169" i="53"/>
  <c r="D170" i="53"/>
  <c r="E170" i="53"/>
  <c r="F170" i="53"/>
  <c r="G170" i="53"/>
  <c r="H170" i="53"/>
  <c r="I170" i="53"/>
  <c r="J170" i="53"/>
  <c r="K170" i="53"/>
  <c r="L170" i="53"/>
  <c r="M170" i="53"/>
  <c r="N170" i="53"/>
  <c r="O170" i="53"/>
  <c r="P170" i="53"/>
  <c r="Q170" i="53"/>
  <c r="R170" i="53"/>
  <c r="S170" i="53"/>
  <c r="T170" i="53"/>
  <c r="U170" i="53"/>
  <c r="V170" i="53"/>
  <c r="W170" i="53"/>
  <c r="X170" i="53"/>
  <c r="Y170" i="53"/>
  <c r="Z170" i="53"/>
  <c r="AA170" i="53"/>
  <c r="AB170" i="53"/>
  <c r="AC170" i="53"/>
  <c r="AD170" i="53"/>
  <c r="AE170" i="53"/>
  <c r="AF170" i="53"/>
  <c r="AG170" i="53"/>
  <c r="AH170" i="53"/>
  <c r="AI170" i="53"/>
  <c r="AJ170" i="53"/>
  <c r="C170" i="53"/>
  <c r="C169" i="53"/>
  <c r="D163" i="53"/>
  <c r="E163" i="53"/>
  <c r="F163" i="53"/>
  <c r="G163" i="53"/>
  <c r="H163" i="53"/>
  <c r="I163" i="53"/>
  <c r="J163" i="53"/>
  <c r="K163" i="53"/>
  <c r="L163" i="53"/>
  <c r="M163" i="53"/>
  <c r="N163" i="53"/>
  <c r="O163" i="53"/>
  <c r="P163" i="53"/>
  <c r="Q163" i="53"/>
  <c r="R163" i="53"/>
  <c r="S163" i="53"/>
  <c r="T163" i="53"/>
  <c r="U163" i="53"/>
  <c r="V163" i="53"/>
  <c r="W163" i="53"/>
  <c r="X163" i="53"/>
  <c r="Y163" i="53"/>
  <c r="Z163" i="53"/>
  <c r="AA163" i="53"/>
  <c r="AB163" i="53"/>
  <c r="AC163" i="53"/>
  <c r="AD163" i="53"/>
  <c r="AE163" i="53"/>
  <c r="AF163" i="53"/>
  <c r="AG163" i="53"/>
  <c r="AH163" i="53"/>
  <c r="AI163" i="53"/>
  <c r="AJ163" i="53"/>
  <c r="D164" i="53"/>
  <c r="E164" i="53"/>
  <c r="F164" i="53"/>
  <c r="G164" i="53"/>
  <c r="H164" i="53"/>
  <c r="I164" i="53"/>
  <c r="J164" i="53"/>
  <c r="K164" i="53"/>
  <c r="L164" i="53"/>
  <c r="M164" i="53"/>
  <c r="N164" i="53"/>
  <c r="O164" i="53"/>
  <c r="P164" i="53"/>
  <c r="Q164" i="53"/>
  <c r="R164" i="53"/>
  <c r="S164" i="53"/>
  <c r="T164" i="53"/>
  <c r="U164" i="53"/>
  <c r="V164" i="53"/>
  <c r="W164" i="53"/>
  <c r="X164" i="53"/>
  <c r="Y164" i="53"/>
  <c r="Z164" i="53"/>
  <c r="AA164" i="53"/>
  <c r="AB164" i="53"/>
  <c r="AC164" i="53"/>
  <c r="AD164" i="53"/>
  <c r="AE164" i="53"/>
  <c r="AF164" i="53"/>
  <c r="AG164" i="53"/>
  <c r="AH164" i="53"/>
  <c r="AI164" i="53"/>
  <c r="AJ164" i="53"/>
  <c r="C164" i="53"/>
  <c r="C163" i="53"/>
  <c r="D155" i="53"/>
  <c r="E155" i="53"/>
  <c r="F155" i="53"/>
  <c r="G155" i="53"/>
  <c r="H155" i="53"/>
  <c r="I155" i="53"/>
  <c r="J155" i="53"/>
  <c r="K155" i="53"/>
  <c r="L155" i="53"/>
  <c r="M155" i="53"/>
  <c r="N155" i="53"/>
  <c r="O155" i="53"/>
  <c r="P155" i="53"/>
  <c r="Q155" i="53"/>
  <c r="R155" i="53"/>
  <c r="S155" i="53"/>
  <c r="T155" i="53"/>
  <c r="U155" i="53"/>
  <c r="V155" i="53"/>
  <c r="W155" i="53"/>
  <c r="X155" i="53"/>
  <c r="Y155" i="53"/>
  <c r="Z155" i="53"/>
  <c r="AA155" i="53"/>
  <c r="AB155" i="53"/>
  <c r="AC155" i="53"/>
  <c r="AD155" i="53"/>
  <c r="AE155" i="53"/>
  <c r="AF155" i="53"/>
  <c r="AG155" i="53"/>
  <c r="AH155" i="53"/>
  <c r="AI155" i="53"/>
  <c r="AJ155" i="53"/>
  <c r="D156" i="53"/>
  <c r="E156" i="53"/>
  <c r="F156" i="53"/>
  <c r="G156" i="53"/>
  <c r="H156" i="53"/>
  <c r="I156" i="53"/>
  <c r="J156" i="53"/>
  <c r="K156" i="53"/>
  <c r="L156" i="53"/>
  <c r="M156" i="53"/>
  <c r="N156" i="53"/>
  <c r="O156" i="53"/>
  <c r="P156" i="53"/>
  <c r="Q156" i="53"/>
  <c r="R156" i="53"/>
  <c r="S156" i="53"/>
  <c r="T156" i="53"/>
  <c r="U156" i="53"/>
  <c r="V156" i="53"/>
  <c r="W156" i="53"/>
  <c r="X156" i="53"/>
  <c r="Y156" i="53"/>
  <c r="Z156" i="53"/>
  <c r="AA156" i="53"/>
  <c r="AB156" i="53"/>
  <c r="AC156" i="53"/>
  <c r="AD156" i="53"/>
  <c r="AE156" i="53"/>
  <c r="AF156" i="53"/>
  <c r="AG156" i="53"/>
  <c r="AH156" i="53"/>
  <c r="AI156" i="53"/>
  <c r="AJ156" i="53"/>
  <c r="D157" i="53"/>
  <c r="E157" i="53"/>
  <c r="F157" i="53"/>
  <c r="G157" i="53"/>
  <c r="H157" i="53"/>
  <c r="I157" i="53"/>
  <c r="J157" i="53"/>
  <c r="K157" i="53"/>
  <c r="L157" i="53"/>
  <c r="M157" i="53"/>
  <c r="N157" i="53"/>
  <c r="O157" i="53"/>
  <c r="P157" i="53"/>
  <c r="Q157" i="53"/>
  <c r="R157" i="53"/>
  <c r="S157" i="53"/>
  <c r="T157" i="53"/>
  <c r="U157" i="53"/>
  <c r="V157" i="53"/>
  <c r="W157" i="53"/>
  <c r="X157" i="53"/>
  <c r="Y157" i="53"/>
  <c r="Z157" i="53"/>
  <c r="AA157" i="53"/>
  <c r="AB157" i="53"/>
  <c r="AC157" i="53"/>
  <c r="AD157" i="53"/>
  <c r="AE157" i="53"/>
  <c r="AF157" i="53"/>
  <c r="AG157" i="53"/>
  <c r="AH157" i="53"/>
  <c r="AI157" i="53"/>
  <c r="AJ157" i="53"/>
  <c r="D158" i="53"/>
  <c r="E158" i="53"/>
  <c r="F158" i="53"/>
  <c r="G158" i="53"/>
  <c r="H158" i="53"/>
  <c r="I158" i="53"/>
  <c r="J158" i="53"/>
  <c r="K158" i="53"/>
  <c r="L158" i="53"/>
  <c r="M158" i="53"/>
  <c r="N158" i="53"/>
  <c r="O158" i="53"/>
  <c r="P158" i="53"/>
  <c r="Q158" i="53"/>
  <c r="R158" i="53"/>
  <c r="S158" i="53"/>
  <c r="T158" i="53"/>
  <c r="U158" i="53"/>
  <c r="V158" i="53"/>
  <c r="W158" i="53"/>
  <c r="X158" i="53"/>
  <c r="Y158" i="53"/>
  <c r="Z158" i="53"/>
  <c r="AA158" i="53"/>
  <c r="AB158" i="53"/>
  <c r="AC158" i="53"/>
  <c r="AD158" i="53"/>
  <c r="AE158" i="53"/>
  <c r="AF158" i="53"/>
  <c r="AG158" i="53"/>
  <c r="AH158" i="53"/>
  <c r="AI158" i="53"/>
  <c r="AJ158" i="53"/>
  <c r="C156" i="53"/>
  <c r="C157" i="53"/>
  <c r="C158" i="53"/>
  <c r="C155" i="53"/>
  <c r="D145" i="53"/>
  <c r="E145" i="53"/>
  <c r="F145" i="53"/>
  <c r="G145" i="53"/>
  <c r="H145" i="53"/>
  <c r="I145" i="53"/>
  <c r="J145" i="53"/>
  <c r="K145" i="53"/>
  <c r="L145" i="53"/>
  <c r="M145" i="53"/>
  <c r="N145" i="53"/>
  <c r="O145" i="53"/>
  <c r="P145" i="53"/>
  <c r="Q145" i="53"/>
  <c r="R145" i="53"/>
  <c r="S145" i="53"/>
  <c r="T145" i="53"/>
  <c r="U145" i="53"/>
  <c r="V145" i="53"/>
  <c r="W145" i="53"/>
  <c r="X145" i="53"/>
  <c r="Y145" i="53"/>
  <c r="Z145" i="53"/>
  <c r="AA145" i="53"/>
  <c r="AB145" i="53"/>
  <c r="AC145" i="53"/>
  <c r="AD145" i="53"/>
  <c r="AE145" i="53"/>
  <c r="AF145" i="53"/>
  <c r="AG145" i="53"/>
  <c r="AH145" i="53"/>
  <c r="AI145" i="53"/>
  <c r="AJ145" i="53"/>
  <c r="D146" i="53"/>
  <c r="E146" i="53"/>
  <c r="F146" i="53"/>
  <c r="G146" i="53"/>
  <c r="H146" i="53"/>
  <c r="I146" i="53"/>
  <c r="J146" i="53"/>
  <c r="K146" i="53"/>
  <c r="L146" i="53"/>
  <c r="M146" i="53"/>
  <c r="N146" i="53"/>
  <c r="O146" i="53"/>
  <c r="P146" i="53"/>
  <c r="Q146" i="53"/>
  <c r="R146" i="53"/>
  <c r="S146" i="53"/>
  <c r="T146" i="53"/>
  <c r="U146" i="53"/>
  <c r="V146" i="53"/>
  <c r="W146" i="53"/>
  <c r="X146" i="53"/>
  <c r="Y146" i="53"/>
  <c r="Z146" i="53"/>
  <c r="AA146" i="53"/>
  <c r="AB146" i="53"/>
  <c r="AC146" i="53"/>
  <c r="AD146" i="53"/>
  <c r="AE146" i="53"/>
  <c r="AF146" i="53"/>
  <c r="AG146" i="53"/>
  <c r="AH146" i="53"/>
  <c r="AI146" i="53"/>
  <c r="AJ146" i="53"/>
  <c r="D147" i="53"/>
  <c r="E147" i="53"/>
  <c r="F147" i="53"/>
  <c r="G147" i="53"/>
  <c r="H147" i="53"/>
  <c r="I147" i="53"/>
  <c r="J147" i="53"/>
  <c r="K147" i="53"/>
  <c r="L147" i="53"/>
  <c r="M147" i="53"/>
  <c r="N147" i="53"/>
  <c r="O147" i="53"/>
  <c r="P147" i="53"/>
  <c r="Q147" i="53"/>
  <c r="R147" i="53"/>
  <c r="S147" i="53"/>
  <c r="T147" i="53"/>
  <c r="U147" i="53"/>
  <c r="V147" i="53"/>
  <c r="W147" i="53"/>
  <c r="X147" i="53"/>
  <c r="Y147" i="53"/>
  <c r="Z147" i="53"/>
  <c r="AA147" i="53"/>
  <c r="AB147" i="53"/>
  <c r="AC147" i="53"/>
  <c r="AD147" i="53"/>
  <c r="AE147" i="53"/>
  <c r="AF147" i="53"/>
  <c r="AG147" i="53"/>
  <c r="AH147" i="53"/>
  <c r="AI147" i="53"/>
  <c r="AJ147" i="53"/>
  <c r="D148" i="53"/>
  <c r="E148" i="53"/>
  <c r="F148" i="53"/>
  <c r="G148" i="53"/>
  <c r="H148" i="53"/>
  <c r="I148" i="53"/>
  <c r="J148" i="53"/>
  <c r="K148" i="53"/>
  <c r="L148" i="53"/>
  <c r="M148" i="53"/>
  <c r="N148" i="53"/>
  <c r="O148" i="53"/>
  <c r="P148" i="53"/>
  <c r="Q148" i="53"/>
  <c r="R148" i="53"/>
  <c r="S148" i="53"/>
  <c r="T148" i="53"/>
  <c r="U148" i="53"/>
  <c r="V148" i="53"/>
  <c r="W148" i="53"/>
  <c r="X148" i="53"/>
  <c r="Y148" i="53"/>
  <c r="Z148" i="53"/>
  <c r="AA148" i="53"/>
  <c r="AB148" i="53"/>
  <c r="AC148" i="53"/>
  <c r="AD148" i="53"/>
  <c r="AE148" i="53"/>
  <c r="AF148" i="53"/>
  <c r="AG148" i="53"/>
  <c r="AH148" i="53"/>
  <c r="AI148" i="53"/>
  <c r="AJ148" i="53"/>
  <c r="D149" i="53"/>
  <c r="E149" i="53"/>
  <c r="F149" i="53"/>
  <c r="G149" i="53"/>
  <c r="H149" i="53"/>
  <c r="I149" i="53"/>
  <c r="J149" i="53"/>
  <c r="K149" i="53"/>
  <c r="L149" i="53"/>
  <c r="M149" i="53"/>
  <c r="N149" i="53"/>
  <c r="O149" i="53"/>
  <c r="P149" i="53"/>
  <c r="Q149" i="53"/>
  <c r="R149" i="53"/>
  <c r="S149" i="53"/>
  <c r="T149" i="53"/>
  <c r="U149" i="53"/>
  <c r="V149" i="53"/>
  <c r="W149" i="53"/>
  <c r="X149" i="53"/>
  <c r="Y149" i="53"/>
  <c r="Z149" i="53"/>
  <c r="AA149" i="53"/>
  <c r="AB149" i="53"/>
  <c r="AC149" i="53"/>
  <c r="AD149" i="53"/>
  <c r="AE149" i="53"/>
  <c r="AF149" i="53"/>
  <c r="AG149" i="53"/>
  <c r="AH149" i="53"/>
  <c r="AI149" i="53"/>
  <c r="AJ149" i="53"/>
  <c r="D150" i="53"/>
  <c r="E150" i="53"/>
  <c r="F150" i="53"/>
  <c r="G150" i="53"/>
  <c r="H150" i="53"/>
  <c r="I150" i="53"/>
  <c r="J150" i="53"/>
  <c r="K150" i="53"/>
  <c r="L150" i="53"/>
  <c r="M150" i="53"/>
  <c r="N150" i="53"/>
  <c r="O150" i="53"/>
  <c r="P150" i="53"/>
  <c r="Q150" i="53"/>
  <c r="R150" i="53"/>
  <c r="S150" i="53"/>
  <c r="T150" i="53"/>
  <c r="U150" i="53"/>
  <c r="V150" i="53"/>
  <c r="W150" i="53"/>
  <c r="X150" i="53"/>
  <c r="Y150" i="53"/>
  <c r="Z150" i="53"/>
  <c r="AA150" i="53"/>
  <c r="AB150" i="53"/>
  <c r="AC150" i="53"/>
  <c r="AD150" i="53"/>
  <c r="AE150" i="53"/>
  <c r="AF150" i="53"/>
  <c r="AG150" i="53"/>
  <c r="AH150" i="53"/>
  <c r="AI150" i="53"/>
  <c r="AJ150" i="53"/>
  <c r="C146" i="53"/>
  <c r="C147" i="53"/>
  <c r="C148" i="53"/>
  <c r="C149" i="53"/>
  <c r="C150" i="53"/>
  <c r="C145" i="53"/>
  <c r="D139" i="53"/>
  <c r="E139" i="53"/>
  <c r="F139" i="53"/>
  <c r="G139" i="53"/>
  <c r="H139" i="53"/>
  <c r="I139" i="53"/>
  <c r="J139" i="53"/>
  <c r="K139" i="53"/>
  <c r="L139" i="53"/>
  <c r="M139" i="53"/>
  <c r="N139" i="53"/>
  <c r="O139" i="53"/>
  <c r="P139" i="53"/>
  <c r="Q139" i="53"/>
  <c r="R139" i="53"/>
  <c r="S139" i="53"/>
  <c r="T139" i="53"/>
  <c r="U139" i="53"/>
  <c r="V139" i="53"/>
  <c r="W139" i="53"/>
  <c r="X139" i="53"/>
  <c r="Y139" i="53"/>
  <c r="Z139" i="53"/>
  <c r="AA139" i="53"/>
  <c r="AB139" i="53"/>
  <c r="AC139" i="53"/>
  <c r="AD139" i="53"/>
  <c r="AE139" i="53"/>
  <c r="AF139" i="53"/>
  <c r="AG139" i="53"/>
  <c r="AH139" i="53"/>
  <c r="AI139" i="53"/>
  <c r="AJ139" i="53"/>
  <c r="D140" i="53"/>
  <c r="E140" i="53"/>
  <c r="F140" i="53"/>
  <c r="G140" i="53"/>
  <c r="H140" i="53"/>
  <c r="I140" i="53"/>
  <c r="J140" i="53"/>
  <c r="K140" i="53"/>
  <c r="L140" i="53"/>
  <c r="M140" i="53"/>
  <c r="N140" i="53"/>
  <c r="O140" i="53"/>
  <c r="P140" i="53"/>
  <c r="Q140" i="53"/>
  <c r="R140" i="53"/>
  <c r="S140" i="53"/>
  <c r="T140" i="53"/>
  <c r="U140" i="53"/>
  <c r="V140" i="53"/>
  <c r="W140" i="53"/>
  <c r="X140" i="53"/>
  <c r="Y140" i="53"/>
  <c r="Z140" i="53"/>
  <c r="AA140" i="53"/>
  <c r="AB140" i="53"/>
  <c r="AC140" i="53"/>
  <c r="AD140" i="53"/>
  <c r="AE140" i="53"/>
  <c r="AF140" i="53"/>
  <c r="AG140" i="53"/>
  <c r="AH140" i="53"/>
  <c r="AI140" i="53"/>
  <c r="AJ140" i="53"/>
  <c r="C140" i="53"/>
  <c r="C139" i="53"/>
  <c r="D302" i="53"/>
  <c r="E302" i="53"/>
  <c r="F302" i="53"/>
  <c r="G302" i="53"/>
  <c r="H302" i="53"/>
  <c r="I302" i="53"/>
  <c r="J302" i="53"/>
  <c r="K302" i="53"/>
  <c r="L302" i="53"/>
  <c r="M302" i="53"/>
  <c r="N302" i="53"/>
  <c r="O302" i="53"/>
  <c r="P302" i="53"/>
  <c r="Q302" i="53"/>
  <c r="R302" i="53"/>
  <c r="S302" i="53"/>
  <c r="T302" i="53"/>
  <c r="U302" i="53"/>
  <c r="V302" i="53"/>
  <c r="W302" i="53"/>
  <c r="X302" i="53"/>
  <c r="Y302" i="53"/>
  <c r="Z302" i="53"/>
  <c r="AA302" i="53"/>
  <c r="AB302" i="53"/>
  <c r="AC302" i="53"/>
  <c r="AD302" i="53"/>
  <c r="AE302" i="53"/>
  <c r="AF302" i="53"/>
  <c r="AG302" i="53"/>
  <c r="AH302" i="53"/>
  <c r="AI302" i="53"/>
  <c r="AJ302" i="53"/>
  <c r="D303" i="53"/>
  <c r="E303" i="53"/>
  <c r="F303" i="53"/>
  <c r="G303" i="53"/>
  <c r="H303" i="53"/>
  <c r="I303" i="53"/>
  <c r="J303" i="53"/>
  <c r="K303" i="53"/>
  <c r="L303" i="53"/>
  <c r="M303" i="53"/>
  <c r="N303" i="53"/>
  <c r="O303" i="53"/>
  <c r="P303" i="53"/>
  <c r="Q303" i="53"/>
  <c r="R303" i="53"/>
  <c r="S303" i="53"/>
  <c r="T303" i="53"/>
  <c r="U303" i="53"/>
  <c r="V303" i="53"/>
  <c r="W303" i="53"/>
  <c r="X303" i="53"/>
  <c r="Y303" i="53"/>
  <c r="Z303" i="53"/>
  <c r="AA303" i="53"/>
  <c r="AB303" i="53"/>
  <c r="AC303" i="53"/>
  <c r="AD303" i="53"/>
  <c r="AE303" i="53"/>
  <c r="AF303" i="53"/>
  <c r="AG303" i="53"/>
  <c r="AH303" i="53"/>
  <c r="AI303" i="53"/>
  <c r="AJ303" i="53"/>
  <c r="C303" i="53"/>
  <c r="C302" i="53"/>
  <c r="D296" i="53"/>
  <c r="E296" i="53"/>
  <c r="F296" i="53"/>
  <c r="G296" i="53"/>
  <c r="H296" i="53"/>
  <c r="I296" i="53"/>
  <c r="J296" i="53"/>
  <c r="K296" i="53"/>
  <c r="L296" i="53"/>
  <c r="M296" i="53"/>
  <c r="N296" i="53"/>
  <c r="O296" i="53"/>
  <c r="P296" i="53"/>
  <c r="Q296" i="53"/>
  <c r="R296" i="53"/>
  <c r="S296" i="53"/>
  <c r="T296" i="53"/>
  <c r="U296" i="53"/>
  <c r="V296" i="53"/>
  <c r="W296" i="53"/>
  <c r="X296" i="53"/>
  <c r="Y296" i="53"/>
  <c r="Z296" i="53"/>
  <c r="AA296" i="53"/>
  <c r="AB296" i="53"/>
  <c r="AC296" i="53"/>
  <c r="AD296" i="53"/>
  <c r="AE296" i="53"/>
  <c r="AF296" i="53"/>
  <c r="AG296" i="53"/>
  <c r="AH296" i="53"/>
  <c r="AI296" i="53"/>
  <c r="AJ296" i="53"/>
  <c r="D297" i="53"/>
  <c r="E297" i="53"/>
  <c r="F297" i="53"/>
  <c r="G297" i="53"/>
  <c r="H297" i="53"/>
  <c r="I297" i="53"/>
  <c r="J297" i="53"/>
  <c r="K297" i="53"/>
  <c r="L297" i="53"/>
  <c r="M297" i="53"/>
  <c r="N297" i="53"/>
  <c r="O297" i="53"/>
  <c r="P297" i="53"/>
  <c r="Q297" i="53"/>
  <c r="R297" i="53"/>
  <c r="S297" i="53"/>
  <c r="T297" i="53"/>
  <c r="U297" i="53"/>
  <c r="V297" i="53"/>
  <c r="W297" i="53"/>
  <c r="X297" i="53"/>
  <c r="Y297" i="53"/>
  <c r="Z297" i="53"/>
  <c r="AA297" i="53"/>
  <c r="AB297" i="53"/>
  <c r="AC297" i="53"/>
  <c r="AD297" i="53"/>
  <c r="AE297" i="53"/>
  <c r="AF297" i="53"/>
  <c r="AG297" i="53"/>
  <c r="AH297" i="53"/>
  <c r="AI297" i="53"/>
  <c r="AJ297" i="53"/>
  <c r="C297" i="53"/>
  <c r="C296" i="53"/>
  <c r="D288" i="53"/>
  <c r="E288" i="53"/>
  <c r="F288" i="53"/>
  <c r="G288" i="53"/>
  <c r="H288" i="53"/>
  <c r="I288" i="53"/>
  <c r="J288" i="53"/>
  <c r="K288" i="53"/>
  <c r="L288" i="53"/>
  <c r="M288" i="53"/>
  <c r="N288" i="53"/>
  <c r="O288" i="53"/>
  <c r="P288" i="53"/>
  <c r="Q288" i="53"/>
  <c r="R288" i="53"/>
  <c r="S288" i="53"/>
  <c r="T288" i="53"/>
  <c r="U288" i="53"/>
  <c r="V288" i="53"/>
  <c r="W288" i="53"/>
  <c r="X288" i="53"/>
  <c r="Y288" i="53"/>
  <c r="Z288" i="53"/>
  <c r="AA288" i="53"/>
  <c r="AB288" i="53"/>
  <c r="AC288" i="53"/>
  <c r="AD288" i="53"/>
  <c r="AE288" i="53"/>
  <c r="AF288" i="53"/>
  <c r="AG288" i="53"/>
  <c r="AH288" i="53"/>
  <c r="AI288" i="53"/>
  <c r="AJ288" i="53"/>
  <c r="D289" i="53"/>
  <c r="E289" i="53"/>
  <c r="F289" i="53"/>
  <c r="G289" i="53"/>
  <c r="H289" i="53"/>
  <c r="I289" i="53"/>
  <c r="J289" i="53"/>
  <c r="K289" i="53"/>
  <c r="L289" i="53"/>
  <c r="M289" i="53"/>
  <c r="N289" i="53"/>
  <c r="O289" i="53"/>
  <c r="P289" i="53"/>
  <c r="Q289" i="53"/>
  <c r="R289" i="53"/>
  <c r="S289" i="53"/>
  <c r="T289" i="53"/>
  <c r="U289" i="53"/>
  <c r="V289" i="53"/>
  <c r="W289" i="53"/>
  <c r="X289" i="53"/>
  <c r="Y289" i="53"/>
  <c r="Z289" i="53"/>
  <c r="AA289" i="53"/>
  <c r="AB289" i="53"/>
  <c r="AC289" i="53"/>
  <c r="AD289" i="53"/>
  <c r="AE289" i="53"/>
  <c r="AF289" i="53"/>
  <c r="AG289" i="53"/>
  <c r="AH289" i="53"/>
  <c r="AI289" i="53"/>
  <c r="AJ289" i="53"/>
  <c r="D290" i="53"/>
  <c r="E290" i="53"/>
  <c r="F290" i="53"/>
  <c r="G290" i="53"/>
  <c r="H290" i="53"/>
  <c r="I290" i="53"/>
  <c r="J290" i="53"/>
  <c r="K290" i="53"/>
  <c r="L290" i="53"/>
  <c r="M290" i="53"/>
  <c r="N290" i="53"/>
  <c r="O290" i="53"/>
  <c r="P290" i="53"/>
  <c r="Q290" i="53"/>
  <c r="R290" i="53"/>
  <c r="S290" i="53"/>
  <c r="T290" i="53"/>
  <c r="U290" i="53"/>
  <c r="V290" i="53"/>
  <c r="W290" i="53"/>
  <c r="X290" i="53"/>
  <c r="Y290" i="53"/>
  <c r="Z290" i="53"/>
  <c r="AA290" i="53"/>
  <c r="AB290" i="53"/>
  <c r="AC290" i="53"/>
  <c r="AD290" i="53"/>
  <c r="AE290" i="53"/>
  <c r="AF290" i="53"/>
  <c r="AG290" i="53"/>
  <c r="AH290" i="53"/>
  <c r="AI290" i="53"/>
  <c r="AJ290" i="53"/>
  <c r="D291" i="53"/>
  <c r="E291" i="53"/>
  <c r="F291" i="53"/>
  <c r="G291" i="53"/>
  <c r="H291" i="53"/>
  <c r="I291" i="53"/>
  <c r="J291" i="53"/>
  <c r="K291" i="53"/>
  <c r="L291" i="53"/>
  <c r="M291" i="53"/>
  <c r="N291" i="53"/>
  <c r="O291" i="53"/>
  <c r="P291" i="53"/>
  <c r="Q291" i="53"/>
  <c r="R291" i="53"/>
  <c r="S291" i="53"/>
  <c r="T291" i="53"/>
  <c r="U291" i="53"/>
  <c r="V291" i="53"/>
  <c r="W291" i="53"/>
  <c r="X291" i="53"/>
  <c r="Y291" i="53"/>
  <c r="Z291" i="53"/>
  <c r="AA291" i="53"/>
  <c r="AB291" i="53"/>
  <c r="AC291" i="53"/>
  <c r="AD291" i="53"/>
  <c r="AE291" i="53"/>
  <c r="AF291" i="53"/>
  <c r="AG291" i="53"/>
  <c r="AH291" i="53"/>
  <c r="AI291" i="53"/>
  <c r="AJ291" i="53"/>
  <c r="C289" i="53"/>
  <c r="C290" i="53"/>
  <c r="C291" i="53"/>
  <c r="C279" i="53"/>
  <c r="D279" i="53"/>
  <c r="E279" i="53"/>
  <c r="F279" i="53"/>
  <c r="G279" i="53"/>
  <c r="H279" i="53"/>
  <c r="I279" i="53"/>
  <c r="J279" i="53"/>
  <c r="K279" i="53"/>
  <c r="L279" i="53"/>
  <c r="M279" i="53"/>
  <c r="N279" i="53"/>
  <c r="O279" i="53"/>
  <c r="P279" i="53"/>
  <c r="Q279" i="53"/>
  <c r="R279" i="53"/>
  <c r="S279" i="53"/>
  <c r="T279" i="53"/>
  <c r="U279" i="53"/>
  <c r="V279" i="53"/>
  <c r="W279" i="53"/>
  <c r="C280" i="53"/>
  <c r="D280" i="53"/>
  <c r="E280" i="53"/>
  <c r="F280" i="53"/>
  <c r="G280" i="53"/>
  <c r="H280" i="53"/>
  <c r="I280" i="53"/>
  <c r="J280" i="53"/>
  <c r="K280" i="53"/>
  <c r="L280" i="53"/>
  <c r="M280" i="53"/>
  <c r="N280" i="53"/>
  <c r="O280" i="53"/>
  <c r="P280" i="53"/>
  <c r="Q280" i="53"/>
  <c r="R280" i="53"/>
  <c r="S280" i="53"/>
  <c r="T280" i="53"/>
  <c r="U280" i="53"/>
  <c r="V280" i="53"/>
  <c r="W280" i="53"/>
  <c r="C281" i="53"/>
  <c r="D281" i="53"/>
  <c r="E281" i="53"/>
  <c r="F281" i="53"/>
  <c r="G281" i="53"/>
  <c r="H281" i="53"/>
  <c r="I281" i="53"/>
  <c r="J281" i="53"/>
  <c r="K281" i="53"/>
  <c r="L281" i="53"/>
  <c r="M281" i="53"/>
  <c r="N281" i="53"/>
  <c r="O281" i="53"/>
  <c r="P281" i="53"/>
  <c r="Q281" i="53"/>
  <c r="R281" i="53"/>
  <c r="S281" i="53"/>
  <c r="T281" i="53"/>
  <c r="U281" i="53"/>
  <c r="V281" i="53"/>
  <c r="W281" i="53"/>
  <c r="C282" i="53"/>
  <c r="D282" i="53"/>
  <c r="E282" i="53"/>
  <c r="F282" i="53"/>
  <c r="G282" i="53"/>
  <c r="H282" i="53"/>
  <c r="I282" i="53"/>
  <c r="J282" i="53"/>
  <c r="K282" i="53"/>
  <c r="L282" i="53"/>
  <c r="M282" i="53"/>
  <c r="N282" i="53"/>
  <c r="O282" i="53"/>
  <c r="P282" i="53"/>
  <c r="Q282" i="53"/>
  <c r="R282" i="53"/>
  <c r="S282" i="53"/>
  <c r="T282" i="53"/>
  <c r="U282" i="53"/>
  <c r="V282" i="53"/>
  <c r="W282" i="53"/>
  <c r="C288" i="53"/>
  <c r="Y279" i="53"/>
  <c r="Z279" i="53"/>
  <c r="AA279" i="53"/>
  <c r="AB279" i="53"/>
  <c r="AC279" i="53"/>
  <c r="AD279" i="53"/>
  <c r="AE279" i="53"/>
  <c r="AF279" i="53"/>
  <c r="AG279" i="53"/>
  <c r="AH279" i="53"/>
  <c r="AI279" i="53"/>
  <c r="AJ279" i="53"/>
  <c r="Y280" i="53"/>
  <c r="Z280" i="53"/>
  <c r="AA280" i="53"/>
  <c r="AB280" i="53"/>
  <c r="AC280" i="53"/>
  <c r="AD280" i="53"/>
  <c r="AE280" i="53"/>
  <c r="AF280" i="53"/>
  <c r="AG280" i="53"/>
  <c r="AH280" i="53"/>
  <c r="AI280" i="53"/>
  <c r="AJ280" i="53"/>
  <c r="Y281" i="53"/>
  <c r="Z281" i="53"/>
  <c r="AA281" i="53"/>
  <c r="AB281" i="53"/>
  <c r="AC281" i="53"/>
  <c r="AD281" i="53"/>
  <c r="AE281" i="53"/>
  <c r="AF281" i="53"/>
  <c r="AG281" i="53"/>
  <c r="AH281" i="53"/>
  <c r="AI281" i="53"/>
  <c r="AJ281" i="53"/>
  <c r="Y282" i="53"/>
  <c r="Z282" i="53"/>
  <c r="AA282" i="53"/>
  <c r="AB282" i="53"/>
  <c r="AC282" i="53"/>
  <c r="AD282" i="53"/>
  <c r="AE282" i="53"/>
  <c r="AF282" i="53"/>
  <c r="AG282" i="53"/>
  <c r="AH282" i="53"/>
  <c r="AI282" i="53"/>
  <c r="AJ282" i="53"/>
  <c r="X280" i="53"/>
  <c r="X281" i="53"/>
  <c r="X282" i="53"/>
  <c r="X279" i="53"/>
  <c r="D283" i="53"/>
  <c r="E283" i="53"/>
  <c r="F283" i="53"/>
  <c r="G283" i="53"/>
  <c r="H283" i="53"/>
  <c r="I283" i="53"/>
  <c r="J283" i="53"/>
  <c r="K283" i="53"/>
  <c r="L283" i="53"/>
  <c r="M283" i="53"/>
  <c r="N283" i="53"/>
  <c r="O283" i="53"/>
  <c r="P283" i="53"/>
  <c r="Q283" i="53"/>
  <c r="R283" i="53"/>
  <c r="S283" i="53"/>
  <c r="T283" i="53"/>
  <c r="U283" i="53"/>
  <c r="V283" i="53"/>
  <c r="W283" i="53"/>
  <c r="X283" i="53"/>
  <c r="Y283" i="53"/>
  <c r="Z283" i="53"/>
  <c r="AA283" i="53"/>
  <c r="AB283" i="53"/>
  <c r="AC283" i="53"/>
  <c r="AD283" i="53"/>
  <c r="AE283" i="53"/>
  <c r="AF283" i="53"/>
  <c r="AG283" i="53"/>
  <c r="AH283" i="53"/>
  <c r="AI283" i="53"/>
  <c r="AJ283" i="53"/>
  <c r="C283" i="53"/>
  <c r="D278" i="53"/>
  <c r="E278" i="53"/>
  <c r="F278" i="53"/>
  <c r="G278" i="53"/>
  <c r="H278" i="53"/>
  <c r="I278" i="53"/>
  <c r="J278" i="53"/>
  <c r="K278" i="53"/>
  <c r="L278" i="53"/>
  <c r="M278" i="53"/>
  <c r="N278" i="53"/>
  <c r="O278" i="53"/>
  <c r="P278" i="53"/>
  <c r="Q278" i="53"/>
  <c r="R278" i="53"/>
  <c r="S278" i="53"/>
  <c r="T278" i="53"/>
  <c r="U278" i="53"/>
  <c r="V278" i="53"/>
  <c r="W278" i="53"/>
  <c r="X278" i="53"/>
  <c r="Y278" i="53"/>
  <c r="Z278" i="53"/>
  <c r="AA278" i="53"/>
  <c r="AB278" i="53"/>
  <c r="AC278" i="53"/>
  <c r="AD278" i="53"/>
  <c r="AE278" i="53"/>
  <c r="AF278" i="53"/>
  <c r="AG278" i="53"/>
  <c r="AH278" i="53"/>
  <c r="AI278" i="53"/>
  <c r="AJ278" i="53"/>
  <c r="C278" i="53"/>
  <c r="D272" i="53"/>
  <c r="E272" i="53"/>
  <c r="F272" i="53"/>
  <c r="G272" i="53"/>
  <c r="H272" i="53"/>
  <c r="I272" i="53"/>
  <c r="J272" i="53"/>
  <c r="K272" i="53"/>
  <c r="L272" i="53"/>
  <c r="M272" i="53"/>
  <c r="N272" i="53"/>
  <c r="O272" i="53"/>
  <c r="P272" i="53"/>
  <c r="Q272" i="53"/>
  <c r="R272" i="53"/>
  <c r="S272" i="53"/>
  <c r="T272" i="53"/>
  <c r="U272" i="53"/>
  <c r="V272" i="53"/>
  <c r="W272" i="53"/>
  <c r="X272" i="53"/>
  <c r="Y272" i="53"/>
  <c r="Z272" i="53"/>
  <c r="AA272" i="53"/>
  <c r="AB272" i="53"/>
  <c r="AC272" i="53"/>
  <c r="AD272" i="53"/>
  <c r="AE272" i="53"/>
  <c r="AF272" i="53"/>
  <c r="AG272" i="53"/>
  <c r="AH272" i="53"/>
  <c r="AI272" i="53"/>
  <c r="AJ272" i="53"/>
  <c r="D273" i="53"/>
  <c r="E273" i="53"/>
  <c r="F273" i="53"/>
  <c r="G273" i="53"/>
  <c r="H273" i="53"/>
  <c r="I273" i="53"/>
  <c r="J273" i="53"/>
  <c r="K273" i="53"/>
  <c r="L273" i="53"/>
  <c r="M273" i="53"/>
  <c r="N273" i="53"/>
  <c r="O273" i="53"/>
  <c r="P273" i="53"/>
  <c r="Q273" i="53"/>
  <c r="R273" i="53"/>
  <c r="S273" i="53"/>
  <c r="T273" i="53"/>
  <c r="U273" i="53"/>
  <c r="V273" i="53"/>
  <c r="W273" i="53"/>
  <c r="X273" i="53"/>
  <c r="Y273" i="53"/>
  <c r="Z273" i="53"/>
  <c r="AA273" i="53"/>
  <c r="AB273" i="53"/>
  <c r="AC273" i="53"/>
  <c r="AD273" i="53"/>
  <c r="AE273" i="53"/>
  <c r="AF273" i="53"/>
  <c r="AG273" i="53"/>
  <c r="AH273" i="53"/>
  <c r="AI273" i="53"/>
  <c r="AJ273" i="53"/>
  <c r="C273" i="53"/>
  <c r="C272" i="53"/>
  <c r="D255" i="27"/>
  <c r="E255" i="27"/>
  <c r="F255" i="27"/>
  <c r="G255" i="27"/>
  <c r="H255" i="27"/>
  <c r="I255" i="27"/>
  <c r="J255" i="27"/>
  <c r="K255" i="27"/>
  <c r="L255" i="27"/>
  <c r="M255" i="27"/>
  <c r="N255" i="27"/>
  <c r="O255" i="27"/>
  <c r="P255" i="27"/>
  <c r="Q255" i="27"/>
  <c r="R255" i="27"/>
  <c r="S255" i="27"/>
  <c r="T255" i="27"/>
  <c r="U255" i="27"/>
  <c r="V255" i="27"/>
  <c r="W255" i="27"/>
  <c r="X255" i="27"/>
  <c r="Y255" i="27"/>
  <c r="Z255" i="27"/>
  <c r="AA255" i="27"/>
  <c r="AB255" i="27"/>
  <c r="AC255" i="27"/>
  <c r="AD255" i="27"/>
  <c r="AE255" i="27"/>
  <c r="AF255" i="27"/>
  <c r="AG255" i="27"/>
  <c r="AH255" i="27"/>
  <c r="AI255" i="27"/>
  <c r="AJ255" i="27"/>
  <c r="C255" i="27"/>
  <c r="D253" i="27"/>
  <c r="E253" i="27"/>
  <c r="F253" i="27"/>
  <c r="G253" i="27"/>
  <c r="H253" i="27"/>
  <c r="I253" i="27"/>
  <c r="J253" i="27"/>
  <c r="K253" i="27"/>
  <c r="L253" i="27"/>
  <c r="M253" i="27"/>
  <c r="N253" i="27"/>
  <c r="O253" i="27"/>
  <c r="P253" i="27"/>
  <c r="Q253" i="27"/>
  <c r="R253" i="27"/>
  <c r="S253" i="27"/>
  <c r="T253" i="27"/>
  <c r="U253" i="27"/>
  <c r="V253" i="27"/>
  <c r="W253" i="27"/>
  <c r="X253" i="27"/>
  <c r="Y253" i="27"/>
  <c r="Z253" i="27"/>
  <c r="AA253" i="27"/>
  <c r="AB253" i="27"/>
  <c r="AC253" i="27"/>
  <c r="AD253" i="27"/>
  <c r="AE253" i="27"/>
  <c r="AF253" i="27"/>
  <c r="AG253" i="27"/>
  <c r="AH253" i="27"/>
  <c r="AI253" i="27"/>
  <c r="AJ253" i="27"/>
  <c r="D254" i="27"/>
  <c r="E254" i="27"/>
  <c r="F254" i="27"/>
  <c r="G254" i="27"/>
  <c r="H254" i="27"/>
  <c r="I254" i="27"/>
  <c r="J254" i="27"/>
  <c r="K254" i="27"/>
  <c r="L254" i="27"/>
  <c r="M254" i="27"/>
  <c r="N254" i="27"/>
  <c r="O254" i="27"/>
  <c r="P254" i="27"/>
  <c r="Q254" i="27"/>
  <c r="R254" i="27"/>
  <c r="S254" i="27"/>
  <c r="T254" i="27"/>
  <c r="U254" i="27"/>
  <c r="V254" i="27"/>
  <c r="W254" i="27"/>
  <c r="X254" i="27"/>
  <c r="Y254" i="27"/>
  <c r="Z254" i="27"/>
  <c r="AA254" i="27"/>
  <c r="AB254" i="27"/>
  <c r="AC254" i="27"/>
  <c r="AD254" i="27"/>
  <c r="AE254" i="27"/>
  <c r="AF254" i="27"/>
  <c r="AG254" i="27"/>
  <c r="AH254" i="27"/>
  <c r="AI254" i="27"/>
  <c r="AJ254" i="27"/>
  <c r="C254" i="27"/>
  <c r="C253" i="27"/>
  <c r="D246" i="27"/>
  <c r="E246" i="27"/>
  <c r="F246" i="27"/>
  <c r="G246" i="27"/>
  <c r="H246" i="27"/>
  <c r="I246" i="27"/>
  <c r="J246" i="27"/>
  <c r="K246" i="27"/>
  <c r="L246" i="27"/>
  <c r="M246" i="27"/>
  <c r="N246" i="27"/>
  <c r="O246" i="27"/>
  <c r="P246" i="27"/>
  <c r="Q246" i="27"/>
  <c r="R246" i="27"/>
  <c r="S246" i="27"/>
  <c r="T246" i="27"/>
  <c r="U246" i="27"/>
  <c r="V246" i="27"/>
  <c r="W246" i="27"/>
  <c r="X246" i="27"/>
  <c r="Y246" i="27"/>
  <c r="Z246" i="27"/>
  <c r="AA246" i="27"/>
  <c r="AB246" i="27"/>
  <c r="AC246" i="27"/>
  <c r="AD246" i="27"/>
  <c r="AE246" i="27"/>
  <c r="AF246" i="27"/>
  <c r="AG246" i="27"/>
  <c r="AH246" i="27"/>
  <c r="AI246" i="27"/>
  <c r="AJ246" i="27"/>
  <c r="D247" i="27"/>
  <c r="E247" i="27"/>
  <c r="F247" i="27"/>
  <c r="G247" i="27"/>
  <c r="H247" i="27"/>
  <c r="I247" i="27"/>
  <c r="J247" i="27"/>
  <c r="K247" i="27"/>
  <c r="L247" i="27"/>
  <c r="M247" i="27"/>
  <c r="N247" i="27"/>
  <c r="O247" i="27"/>
  <c r="P247" i="27"/>
  <c r="Q247" i="27"/>
  <c r="R247" i="27"/>
  <c r="S247" i="27"/>
  <c r="T247" i="27"/>
  <c r="U247" i="27"/>
  <c r="V247" i="27"/>
  <c r="W247" i="27"/>
  <c r="X247" i="27"/>
  <c r="Y247" i="27"/>
  <c r="Z247" i="27"/>
  <c r="AA247" i="27"/>
  <c r="AB247" i="27"/>
  <c r="AC247" i="27"/>
  <c r="AD247" i="27"/>
  <c r="AE247" i="27"/>
  <c r="AF247" i="27"/>
  <c r="AG247" i="27"/>
  <c r="AH247" i="27"/>
  <c r="AI247" i="27"/>
  <c r="AJ247" i="27"/>
  <c r="D248" i="27"/>
  <c r="E248" i="27"/>
  <c r="F248" i="27"/>
  <c r="G248" i="27"/>
  <c r="H248" i="27"/>
  <c r="I248" i="27"/>
  <c r="J248" i="27"/>
  <c r="K248" i="27"/>
  <c r="L248" i="27"/>
  <c r="M248" i="27"/>
  <c r="N248" i="27"/>
  <c r="O248" i="27"/>
  <c r="P248" i="27"/>
  <c r="Q248" i="27"/>
  <c r="R248" i="27"/>
  <c r="S248" i="27"/>
  <c r="T248" i="27"/>
  <c r="U248" i="27"/>
  <c r="V248" i="27"/>
  <c r="W248" i="27"/>
  <c r="X248" i="27"/>
  <c r="Y248" i="27"/>
  <c r="Z248" i="27"/>
  <c r="AA248" i="27"/>
  <c r="AB248" i="27"/>
  <c r="AC248" i="27"/>
  <c r="AD248" i="27"/>
  <c r="AE248" i="27"/>
  <c r="AF248" i="27"/>
  <c r="AG248" i="27"/>
  <c r="AH248" i="27"/>
  <c r="AI248" i="27"/>
  <c r="AJ248" i="27"/>
  <c r="C247" i="27"/>
  <c r="C248" i="27"/>
  <c r="C246" i="27"/>
  <c r="D232" i="27"/>
  <c r="E232" i="27"/>
  <c r="F232" i="27"/>
  <c r="G232" i="27"/>
  <c r="H232" i="27"/>
  <c r="I232" i="27"/>
  <c r="J232" i="27"/>
  <c r="K232" i="27"/>
  <c r="L232" i="27"/>
  <c r="M232" i="27"/>
  <c r="N232" i="27"/>
  <c r="O232" i="27"/>
  <c r="P232" i="27"/>
  <c r="Q232" i="27"/>
  <c r="R232" i="27"/>
  <c r="S232" i="27"/>
  <c r="T232" i="27"/>
  <c r="U232" i="27"/>
  <c r="V232" i="27"/>
  <c r="W232" i="27"/>
  <c r="X232" i="27"/>
  <c r="Y232" i="27"/>
  <c r="Z232" i="27"/>
  <c r="AA232" i="27"/>
  <c r="AB232" i="27"/>
  <c r="AC232" i="27"/>
  <c r="AD232" i="27"/>
  <c r="AE232" i="27"/>
  <c r="AF232" i="27"/>
  <c r="AG232" i="27"/>
  <c r="AH232" i="27"/>
  <c r="AI232" i="27"/>
  <c r="AJ232" i="27"/>
  <c r="D233" i="27"/>
  <c r="E233" i="27"/>
  <c r="F233" i="27"/>
  <c r="G233" i="27"/>
  <c r="H233" i="27"/>
  <c r="I233" i="27"/>
  <c r="J233" i="27"/>
  <c r="K233" i="27"/>
  <c r="L233" i="27"/>
  <c r="M233" i="27"/>
  <c r="N233" i="27"/>
  <c r="O233" i="27"/>
  <c r="P233" i="27"/>
  <c r="Q233" i="27"/>
  <c r="R233" i="27"/>
  <c r="S233" i="27"/>
  <c r="T233" i="27"/>
  <c r="U233" i="27"/>
  <c r="V233" i="27"/>
  <c r="W233" i="27"/>
  <c r="X233" i="27"/>
  <c r="Y233" i="27"/>
  <c r="Z233" i="27"/>
  <c r="AA233" i="27"/>
  <c r="AB233" i="27"/>
  <c r="AC233" i="27"/>
  <c r="AD233" i="27"/>
  <c r="AE233" i="27"/>
  <c r="AF233" i="27"/>
  <c r="AG233" i="27"/>
  <c r="AH233" i="27"/>
  <c r="AI233" i="27"/>
  <c r="AJ233" i="27"/>
  <c r="D234" i="27"/>
  <c r="E234" i="27"/>
  <c r="F234" i="27"/>
  <c r="G234" i="27"/>
  <c r="H234" i="27"/>
  <c r="I234" i="27"/>
  <c r="J234" i="27"/>
  <c r="K234" i="27"/>
  <c r="L234" i="27"/>
  <c r="M234" i="27"/>
  <c r="N234" i="27"/>
  <c r="O234" i="27"/>
  <c r="P234" i="27"/>
  <c r="Q234" i="27"/>
  <c r="R234" i="27"/>
  <c r="S234" i="27"/>
  <c r="T234" i="27"/>
  <c r="U234" i="27"/>
  <c r="V234" i="27"/>
  <c r="W234" i="27"/>
  <c r="X234" i="27"/>
  <c r="Y234" i="27"/>
  <c r="Z234" i="27"/>
  <c r="AA234" i="27"/>
  <c r="AB234" i="27"/>
  <c r="AC234" i="27"/>
  <c r="AD234" i="27"/>
  <c r="AE234" i="27"/>
  <c r="AF234" i="27"/>
  <c r="AG234" i="27"/>
  <c r="AH234" i="27"/>
  <c r="AI234" i="27"/>
  <c r="AJ234" i="27"/>
  <c r="D235" i="27"/>
  <c r="E235" i="27"/>
  <c r="F235" i="27"/>
  <c r="G235" i="27"/>
  <c r="H235" i="27"/>
  <c r="I235" i="27"/>
  <c r="J235" i="27"/>
  <c r="K235" i="27"/>
  <c r="L235" i="27"/>
  <c r="M235" i="27"/>
  <c r="N235" i="27"/>
  <c r="O235" i="27"/>
  <c r="P235" i="27"/>
  <c r="Q235" i="27"/>
  <c r="R235" i="27"/>
  <c r="S235" i="27"/>
  <c r="T235" i="27"/>
  <c r="U235" i="27"/>
  <c r="V235" i="27"/>
  <c r="W235" i="27"/>
  <c r="X235" i="27"/>
  <c r="Y235" i="27"/>
  <c r="Z235" i="27"/>
  <c r="AA235" i="27"/>
  <c r="AB235" i="27"/>
  <c r="AC235" i="27"/>
  <c r="AD235" i="27"/>
  <c r="AE235" i="27"/>
  <c r="AF235" i="27"/>
  <c r="AG235" i="27"/>
  <c r="AH235" i="27"/>
  <c r="AI235" i="27"/>
  <c r="AJ235" i="27"/>
  <c r="D236" i="27"/>
  <c r="E236" i="27"/>
  <c r="F236" i="27"/>
  <c r="G236" i="27"/>
  <c r="H236" i="27"/>
  <c r="I236" i="27"/>
  <c r="J236" i="27"/>
  <c r="K236" i="27"/>
  <c r="L236" i="27"/>
  <c r="M236" i="27"/>
  <c r="N236" i="27"/>
  <c r="O236" i="27"/>
  <c r="P236" i="27"/>
  <c r="Q236" i="27"/>
  <c r="R236" i="27"/>
  <c r="S236" i="27"/>
  <c r="T236" i="27"/>
  <c r="U236" i="27"/>
  <c r="V236" i="27"/>
  <c r="W236" i="27"/>
  <c r="X236" i="27"/>
  <c r="Y236" i="27"/>
  <c r="Z236" i="27"/>
  <c r="AA236" i="27"/>
  <c r="AB236" i="27"/>
  <c r="AC236" i="27"/>
  <c r="AD236" i="27"/>
  <c r="AE236" i="27"/>
  <c r="AF236" i="27"/>
  <c r="AG236" i="27"/>
  <c r="AH236" i="27"/>
  <c r="AI236" i="27"/>
  <c r="AJ236" i="27"/>
  <c r="D237" i="27"/>
  <c r="E237" i="27"/>
  <c r="F237" i="27"/>
  <c r="G237" i="27"/>
  <c r="H237" i="27"/>
  <c r="I237" i="27"/>
  <c r="J237" i="27"/>
  <c r="K237" i="27"/>
  <c r="L237" i="27"/>
  <c r="M237" i="27"/>
  <c r="N237" i="27"/>
  <c r="O237" i="27"/>
  <c r="P237" i="27"/>
  <c r="Q237" i="27"/>
  <c r="R237" i="27"/>
  <c r="S237" i="27"/>
  <c r="T237" i="27"/>
  <c r="U237" i="27"/>
  <c r="V237" i="27"/>
  <c r="W237" i="27"/>
  <c r="X237" i="27"/>
  <c r="Y237" i="27"/>
  <c r="Z237" i="27"/>
  <c r="AA237" i="27"/>
  <c r="AB237" i="27"/>
  <c r="AC237" i="27"/>
  <c r="AD237" i="27"/>
  <c r="AE237" i="27"/>
  <c r="AF237" i="27"/>
  <c r="AG237" i="27"/>
  <c r="AH237" i="27"/>
  <c r="AI237" i="27"/>
  <c r="AJ237" i="27"/>
  <c r="D238" i="27"/>
  <c r="E238" i="27"/>
  <c r="F238" i="27"/>
  <c r="G238" i="27"/>
  <c r="H238" i="27"/>
  <c r="I238" i="27"/>
  <c r="J238" i="27"/>
  <c r="K238" i="27"/>
  <c r="L238" i="27"/>
  <c r="M238" i="27"/>
  <c r="N238" i="27"/>
  <c r="O238" i="27"/>
  <c r="P238" i="27"/>
  <c r="Q238" i="27"/>
  <c r="R238" i="27"/>
  <c r="S238" i="27"/>
  <c r="T238" i="27"/>
  <c r="U238" i="27"/>
  <c r="V238" i="27"/>
  <c r="W238" i="27"/>
  <c r="X238" i="27"/>
  <c r="Y238" i="27"/>
  <c r="Z238" i="27"/>
  <c r="AA238" i="27"/>
  <c r="AB238" i="27"/>
  <c r="AC238" i="27"/>
  <c r="AD238" i="27"/>
  <c r="AE238" i="27"/>
  <c r="AF238" i="27"/>
  <c r="AG238" i="27"/>
  <c r="AH238" i="27"/>
  <c r="AI238" i="27"/>
  <c r="AJ238" i="27"/>
  <c r="D239" i="27"/>
  <c r="E239" i="27"/>
  <c r="F239" i="27"/>
  <c r="G239" i="27"/>
  <c r="H239" i="27"/>
  <c r="I239" i="27"/>
  <c r="J239" i="27"/>
  <c r="K239" i="27"/>
  <c r="L239" i="27"/>
  <c r="M239" i="27"/>
  <c r="N239" i="27"/>
  <c r="O239" i="27"/>
  <c r="P239" i="27"/>
  <c r="Q239" i="27"/>
  <c r="R239" i="27"/>
  <c r="S239" i="27"/>
  <c r="T239" i="27"/>
  <c r="U239" i="27"/>
  <c r="V239" i="27"/>
  <c r="W239" i="27"/>
  <c r="X239" i="27"/>
  <c r="Y239" i="27"/>
  <c r="Z239" i="27"/>
  <c r="AA239" i="27"/>
  <c r="AB239" i="27"/>
  <c r="AC239" i="27"/>
  <c r="AD239" i="27"/>
  <c r="AE239" i="27"/>
  <c r="AF239" i="27"/>
  <c r="AG239" i="27"/>
  <c r="AH239" i="27"/>
  <c r="AI239" i="27"/>
  <c r="AJ239" i="27"/>
  <c r="D240" i="27"/>
  <c r="E240" i="27"/>
  <c r="F240" i="27"/>
  <c r="G240" i="27"/>
  <c r="H240" i="27"/>
  <c r="I240" i="27"/>
  <c r="J240" i="27"/>
  <c r="K240" i="27"/>
  <c r="L240" i="27"/>
  <c r="M240" i="27"/>
  <c r="N240" i="27"/>
  <c r="O240" i="27"/>
  <c r="P240" i="27"/>
  <c r="Q240" i="27"/>
  <c r="R240" i="27"/>
  <c r="S240" i="27"/>
  <c r="T240" i="27"/>
  <c r="U240" i="27"/>
  <c r="V240" i="27"/>
  <c r="W240" i="27"/>
  <c r="X240" i="27"/>
  <c r="Y240" i="27"/>
  <c r="Z240" i="27"/>
  <c r="AA240" i="27"/>
  <c r="AB240" i="27"/>
  <c r="AC240" i="27"/>
  <c r="AD240" i="27"/>
  <c r="AE240" i="27"/>
  <c r="AF240" i="27"/>
  <c r="AG240" i="27"/>
  <c r="AH240" i="27"/>
  <c r="AI240" i="27"/>
  <c r="AJ240" i="27"/>
  <c r="D241" i="27"/>
  <c r="E241" i="27"/>
  <c r="F241" i="27"/>
  <c r="G241" i="27"/>
  <c r="H241" i="27"/>
  <c r="I241" i="27"/>
  <c r="J241" i="27"/>
  <c r="K241" i="27"/>
  <c r="L241" i="27"/>
  <c r="M241" i="27"/>
  <c r="N241" i="27"/>
  <c r="O241" i="27"/>
  <c r="P241" i="27"/>
  <c r="Q241" i="27"/>
  <c r="R241" i="27"/>
  <c r="S241" i="27"/>
  <c r="T241" i="27"/>
  <c r="U241" i="27"/>
  <c r="V241" i="27"/>
  <c r="W241" i="27"/>
  <c r="X241" i="27"/>
  <c r="Y241" i="27"/>
  <c r="Z241" i="27"/>
  <c r="AA241" i="27"/>
  <c r="AB241" i="27"/>
  <c r="AC241" i="27"/>
  <c r="AD241" i="27"/>
  <c r="AE241" i="27"/>
  <c r="AF241" i="27"/>
  <c r="AG241" i="27"/>
  <c r="AH241" i="27"/>
  <c r="AI241" i="27"/>
  <c r="AJ241" i="27"/>
  <c r="C233" i="27"/>
  <c r="C234" i="27"/>
  <c r="C235" i="27"/>
  <c r="C236" i="27"/>
  <c r="C237" i="27"/>
  <c r="C238" i="27"/>
  <c r="C239" i="27"/>
  <c r="C240" i="27"/>
  <c r="C241" i="27"/>
  <c r="C232" i="27"/>
  <c r="D220" i="27"/>
  <c r="E220" i="27"/>
  <c r="F220" i="27"/>
  <c r="G220" i="27"/>
  <c r="H220" i="27"/>
  <c r="I220" i="27"/>
  <c r="J220" i="27"/>
  <c r="K220" i="27"/>
  <c r="L220" i="27"/>
  <c r="M220" i="27"/>
  <c r="N220" i="27"/>
  <c r="O220" i="27"/>
  <c r="P220" i="27"/>
  <c r="Q220" i="27"/>
  <c r="R220" i="27"/>
  <c r="S220" i="27"/>
  <c r="T220" i="27"/>
  <c r="U220" i="27"/>
  <c r="V220" i="27"/>
  <c r="W220" i="27"/>
  <c r="X220" i="27"/>
  <c r="Y220" i="27"/>
  <c r="Z220" i="27"/>
  <c r="AA220" i="27"/>
  <c r="AB220" i="27"/>
  <c r="AC220" i="27"/>
  <c r="AD220" i="27"/>
  <c r="AE220" i="27"/>
  <c r="AF220" i="27"/>
  <c r="AG220" i="27"/>
  <c r="AH220" i="27"/>
  <c r="AI220" i="27"/>
  <c r="AJ220" i="27"/>
  <c r="D221" i="27"/>
  <c r="E221" i="27"/>
  <c r="F221" i="27"/>
  <c r="G221" i="27"/>
  <c r="H221" i="27"/>
  <c r="I221" i="27"/>
  <c r="J221" i="27"/>
  <c r="K221" i="27"/>
  <c r="L221" i="27"/>
  <c r="M221" i="27"/>
  <c r="N221" i="27"/>
  <c r="O221" i="27"/>
  <c r="P221" i="27"/>
  <c r="Q221" i="27"/>
  <c r="R221" i="27"/>
  <c r="S221" i="27"/>
  <c r="T221" i="27"/>
  <c r="U221" i="27"/>
  <c r="V221" i="27"/>
  <c r="W221" i="27"/>
  <c r="X221" i="27"/>
  <c r="Y221" i="27"/>
  <c r="Z221" i="27"/>
  <c r="AA221" i="27"/>
  <c r="AB221" i="27"/>
  <c r="AC221" i="27"/>
  <c r="AD221" i="27"/>
  <c r="AE221" i="27"/>
  <c r="AF221" i="27"/>
  <c r="AG221" i="27"/>
  <c r="AH221" i="27"/>
  <c r="AI221" i="27"/>
  <c r="AJ221" i="27"/>
  <c r="D222" i="27"/>
  <c r="E222" i="27"/>
  <c r="F222" i="27"/>
  <c r="G222" i="27"/>
  <c r="H222" i="27"/>
  <c r="I222" i="27"/>
  <c r="J222" i="27"/>
  <c r="K222" i="27"/>
  <c r="L222" i="27"/>
  <c r="M222" i="27"/>
  <c r="N222" i="27"/>
  <c r="O222" i="27"/>
  <c r="P222" i="27"/>
  <c r="Q222" i="27"/>
  <c r="R222" i="27"/>
  <c r="S222" i="27"/>
  <c r="T222" i="27"/>
  <c r="U222" i="27"/>
  <c r="V222" i="27"/>
  <c r="W222" i="27"/>
  <c r="X222" i="27"/>
  <c r="Y222" i="27"/>
  <c r="Z222" i="27"/>
  <c r="AA222" i="27"/>
  <c r="AB222" i="27"/>
  <c r="AC222" i="27"/>
  <c r="AD222" i="27"/>
  <c r="AE222" i="27"/>
  <c r="AF222" i="27"/>
  <c r="AG222" i="27"/>
  <c r="AH222" i="27"/>
  <c r="AI222" i="27"/>
  <c r="AJ222" i="27"/>
  <c r="D223" i="27"/>
  <c r="E223" i="27"/>
  <c r="F223" i="27"/>
  <c r="G223" i="27"/>
  <c r="H223" i="27"/>
  <c r="I223" i="27"/>
  <c r="J223" i="27"/>
  <c r="K223" i="27"/>
  <c r="L223" i="27"/>
  <c r="M223" i="27"/>
  <c r="N223" i="27"/>
  <c r="O223" i="27"/>
  <c r="P223" i="27"/>
  <c r="Q223" i="27"/>
  <c r="R223" i="27"/>
  <c r="S223" i="27"/>
  <c r="T223" i="27"/>
  <c r="U223" i="27"/>
  <c r="V223" i="27"/>
  <c r="W223" i="27"/>
  <c r="X223" i="27"/>
  <c r="Y223" i="27"/>
  <c r="Z223" i="27"/>
  <c r="AA223" i="27"/>
  <c r="AB223" i="27"/>
  <c r="AC223" i="27"/>
  <c r="AD223" i="27"/>
  <c r="AE223" i="27"/>
  <c r="AF223" i="27"/>
  <c r="AG223" i="27"/>
  <c r="AH223" i="27"/>
  <c r="AI223" i="27"/>
  <c r="AJ223" i="27"/>
  <c r="D224" i="27"/>
  <c r="E224" i="27"/>
  <c r="F224" i="27"/>
  <c r="G224" i="27"/>
  <c r="H224" i="27"/>
  <c r="I224" i="27"/>
  <c r="J224" i="27"/>
  <c r="K224" i="27"/>
  <c r="L224" i="27"/>
  <c r="M224" i="27"/>
  <c r="N224" i="27"/>
  <c r="O224" i="27"/>
  <c r="P224" i="27"/>
  <c r="Q224" i="27"/>
  <c r="R224" i="27"/>
  <c r="S224" i="27"/>
  <c r="T224" i="27"/>
  <c r="U224" i="27"/>
  <c r="V224" i="27"/>
  <c r="W224" i="27"/>
  <c r="X224" i="27"/>
  <c r="Y224" i="27"/>
  <c r="Z224" i="27"/>
  <c r="AA224" i="27"/>
  <c r="AB224" i="27"/>
  <c r="AC224" i="27"/>
  <c r="AD224" i="27"/>
  <c r="AE224" i="27"/>
  <c r="AF224" i="27"/>
  <c r="AG224" i="27"/>
  <c r="AH224" i="27"/>
  <c r="AI224" i="27"/>
  <c r="AJ224" i="27"/>
  <c r="D225" i="27"/>
  <c r="E225" i="27"/>
  <c r="F225" i="27"/>
  <c r="G225" i="27"/>
  <c r="H225" i="27"/>
  <c r="I225" i="27"/>
  <c r="J225" i="27"/>
  <c r="K225" i="27"/>
  <c r="L225" i="27"/>
  <c r="M225" i="27"/>
  <c r="N225" i="27"/>
  <c r="O225" i="27"/>
  <c r="P225" i="27"/>
  <c r="Q225" i="27"/>
  <c r="R225" i="27"/>
  <c r="S225" i="27"/>
  <c r="T225" i="27"/>
  <c r="U225" i="27"/>
  <c r="V225" i="27"/>
  <c r="W225" i="27"/>
  <c r="X225" i="27"/>
  <c r="Y225" i="27"/>
  <c r="Z225" i="27"/>
  <c r="AA225" i="27"/>
  <c r="AB225" i="27"/>
  <c r="AC225" i="27"/>
  <c r="AD225" i="27"/>
  <c r="AE225" i="27"/>
  <c r="AF225" i="27"/>
  <c r="AG225" i="27"/>
  <c r="AH225" i="27"/>
  <c r="AI225" i="27"/>
  <c r="AJ225" i="27"/>
  <c r="D226" i="27"/>
  <c r="E226" i="27"/>
  <c r="F226" i="27"/>
  <c r="G226" i="27"/>
  <c r="H226" i="27"/>
  <c r="I226" i="27"/>
  <c r="J226" i="27"/>
  <c r="K226" i="27"/>
  <c r="L226" i="27"/>
  <c r="M226" i="27"/>
  <c r="N226" i="27"/>
  <c r="O226" i="27"/>
  <c r="P226" i="27"/>
  <c r="Q226" i="27"/>
  <c r="R226" i="27"/>
  <c r="S226" i="27"/>
  <c r="T226" i="27"/>
  <c r="U226" i="27"/>
  <c r="V226" i="27"/>
  <c r="W226" i="27"/>
  <c r="X226" i="27"/>
  <c r="Y226" i="27"/>
  <c r="Z226" i="27"/>
  <c r="AA226" i="27"/>
  <c r="AB226" i="27"/>
  <c r="AC226" i="27"/>
  <c r="AD226" i="27"/>
  <c r="AE226" i="27"/>
  <c r="AF226" i="27"/>
  <c r="AG226" i="27"/>
  <c r="AH226" i="27"/>
  <c r="AI226" i="27"/>
  <c r="AJ226" i="27"/>
  <c r="D227" i="27"/>
  <c r="E227" i="27"/>
  <c r="F227" i="27"/>
  <c r="G227" i="27"/>
  <c r="H227" i="27"/>
  <c r="I227" i="27"/>
  <c r="J227" i="27"/>
  <c r="K227" i="27"/>
  <c r="L227" i="27"/>
  <c r="M227" i="27"/>
  <c r="N227" i="27"/>
  <c r="O227" i="27"/>
  <c r="P227" i="27"/>
  <c r="Q227" i="27"/>
  <c r="R227" i="27"/>
  <c r="S227" i="27"/>
  <c r="T227" i="27"/>
  <c r="U227" i="27"/>
  <c r="V227" i="27"/>
  <c r="W227" i="27"/>
  <c r="X227" i="27"/>
  <c r="Y227" i="27"/>
  <c r="Z227" i="27"/>
  <c r="AA227" i="27"/>
  <c r="AB227" i="27"/>
  <c r="AC227" i="27"/>
  <c r="AD227" i="27"/>
  <c r="AE227" i="27"/>
  <c r="AF227" i="27"/>
  <c r="AG227" i="27"/>
  <c r="AH227" i="27"/>
  <c r="AI227" i="27"/>
  <c r="AJ227" i="27"/>
  <c r="C221" i="27"/>
  <c r="C222" i="27"/>
  <c r="C223" i="27"/>
  <c r="C224" i="27"/>
  <c r="C225" i="27"/>
  <c r="C226" i="27"/>
  <c r="C227" i="27"/>
  <c r="C220" i="27"/>
  <c r="D404" i="27"/>
  <c r="E404" i="27"/>
  <c r="F404" i="27"/>
  <c r="G404" i="27"/>
  <c r="H404" i="27"/>
  <c r="I404" i="27"/>
  <c r="J404" i="27"/>
  <c r="K404" i="27"/>
  <c r="L404" i="27"/>
  <c r="M404" i="27"/>
  <c r="N404" i="27"/>
  <c r="O404" i="27"/>
  <c r="P404" i="27"/>
  <c r="Q404" i="27"/>
  <c r="R404" i="27"/>
  <c r="S404" i="27"/>
  <c r="T404" i="27"/>
  <c r="U404" i="27"/>
  <c r="V404" i="27"/>
  <c r="W404" i="27"/>
  <c r="X404" i="27"/>
  <c r="Y404" i="27"/>
  <c r="Z404" i="27"/>
  <c r="AA404" i="27"/>
  <c r="AB404" i="27"/>
  <c r="AC404" i="27"/>
  <c r="AD404" i="27"/>
  <c r="AE404" i="27"/>
  <c r="AF404" i="27"/>
  <c r="AG404" i="27"/>
  <c r="AH404" i="27"/>
  <c r="AI404" i="27"/>
  <c r="AJ404" i="27"/>
  <c r="C404" i="27"/>
  <c r="D402" i="27"/>
  <c r="E402" i="27"/>
  <c r="F402" i="27"/>
  <c r="G402" i="27"/>
  <c r="H402" i="27"/>
  <c r="I402" i="27"/>
  <c r="J402" i="27"/>
  <c r="K402" i="27"/>
  <c r="L402" i="27"/>
  <c r="M402" i="27"/>
  <c r="N402" i="27"/>
  <c r="O402" i="27"/>
  <c r="P402" i="27"/>
  <c r="Q402" i="27"/>
  <c r="R402" i="27"/>
  <c r="S402" i="27"/>
  <c r="T402" i="27"/>
  <c r="U402" i="27"/>
  <c r="V402" i="27"/>
  <c r="W402" i="27"/>
  <c r="X402" i="27"/>
  <c r="Y402" i="27"/>
  <c r="Z402" i="27"/>
  <c r="AA402" i="27"/>
  <c r="AB402" i="27"/>
  <c r="AC402" i="27"/>
  <c r="AD402" i="27"/>
  <c r="AE402" i="27"/>
  <c r="AF402" i="27"/>
  <c r="AG402" i="27"/>
  <c r="AH402" i="27"/>
  <c r="AI402" i="27"/>
  <c r="AJ402" i="27"/>
  <c r="D403" i="27"/>
  <c r="E403" i="27"/>
  <c r="F403" i="27"/>
  <c r="G403" i="27"/>
  <c r="H403" i="27"/>
  <c r="I403" i="27"/>
  <c r="J403" i="27"/>
  <c r="K403" i="27"/>
  <c r="L403" i="27"/>
  <c r="M403" i="27"/>
  <c r="N403" i="27"/>
  <c r="O403" i="27"/>
  <c r="P403" i="27"/>
  <c r="Q403" i="27"/>
  <c r="R403" i="27"/>
  <c r="S403" i="27"/>
  <c r="T403" i="27"/>
  <c r="U403" i="27"/>
  <c r="V403" i="27"/>
  <c r="W403" i="27"/>
  <c r="X403" i="27"/>
  <c r="Y403" i="27"/>
  <c r="Z403" i="27"/>
  <c r="AA403" i="27"/>
  <c r="AB403" i="27"/>
  <c r="AC403" i="27"/>
  <c r="AD403" i="27"/>
  <c r="AE403" i="27"/>
  <c r="AF403" i="27"/>
  <c r="AG403" i="27"/>
  <c r="AH403" i="27"/>
  <c r="AI403" i="27"/>
  <c r="AJ403" i="27"/>
  <c r="C403" i="27"/>
  <c r="C402" i="27"/>
  <c r="D395" i="27"/>
  <c r="E395" i="27"/>
  <c r="F395" i="27"/>
  <c r="G395" i="27"/>
  <c r="H395" i="27"/>
  <c r="I395" i="27"/>
  <c r="J395" i="27"/>
  <c r="K395" i="27"/>
  <c r="L395" i="27"/>
  <c r="M395" i="27"/>
  <c r="N395" i="27"/>
  <c r="O395" i="27"/>
  <c r="P395" i="27"/>
  <c r="Q395" i="27"/>
  <c r="R395" i="27"/>
  <c r="S395" i="27"/>
  <c r="T395" i="27"/>
  <c r="U395" i="27"/>
  <c r="V395" i="27"/>
  <c r="W395" i="27"/>
  <c r="X395" i="27"/>
  <c r="Y395" i="27"/>
  <c r="Z395" i="27"/>
  <c r="AA395" i="27"/>
  <c r="AB395" i="27"/>
  <c r="AC395" i="27"/>
  <c r="AD395" i="27"/>
  <c r="AE395" i="27"/>
  <c r="AF395" i="27"/>
  <c r="AG395" i="27"/>
  <c r="AH395" i="27"/>
  <c r="AI395" i="27"/>
  <c r="AJ395" i="27"/>
  <c r="D396" i="27"/>
  <c r="E396" i="27"/>
  <c r="F396" i="27"/>
  <c r="G396" i="27"/>
  <c r="H396" i="27"/>
  <c r="I396" i="27"/>
  <c r="J396" i="27"/>
  <c r="K396" i="27"/>
  <c r="L396" i="27"/>
  <c r="M396" i="27"/>
  <c r="N396" i="27"/>
  <c r="O396" i="27"/>
  <c r="P396" i="27"/>
  <c r="Q396" i="27"/>
  <c r="R396" i="27"/>
  <c r="S396" i="27"/>
  <c r="T396" i="27"/>
  <c r="U396" i="27"/>
  <c r="V396" i="27"/>
  <c r="W396" i="27"/>
  <c r="X396" i="27"/>
  <c r="Y396" i="27"/>
  <c r="Z396" i="27"/>
  <c r="AA396" i="27"/>
  <c r="AB396" i="27"/>
  <c r="AC396" i="27"/>
  <c r="AD396" i="27"/>
  <c r="AE396" i="27"/>
  <c r="AF396" i="27"/>
  <c r="AG396" i="27"/>
  <c r="AH396" i="27"/>
  <c r="AI396" i="27"/>
  <c r="AJ396" i="27"/>
  <c r="D397" i="27"/>
  <c r="E397" i="27"/>
  <c r="F397" i="27"/>
  <c r="G397" i="27"/>
  <c r="H397" i="27"/>
  <c r="I397" i="27"/>
  <c r="J397" i="27"/>
  <c r="K397" i="27"/>
  <c r="L397" i="27"/>
  <c r="M397" i="27"/>
  <c r="N397" i="27"/>
  <c r="O397" i="27"/>
  <c r="P397" i="27"/>
  <c r="Q397" i="27"/>
  <c r="R397" i="27"/>
  <c r="S397" i="27"/>
  <c r="T397" i="27"/>
  <c r="U397" i="27"/>
  <c r="V397" i="27"/>
  <c r="W397" i="27"/>
  <c r="X397" i="27"/>
  <c r="Y397" i="27"/>
  <c r="Z397" i="27"/>
  <c r="AA397" i="27"/>
  <c r="AB397" i="27"/>
  <c r="AC397" i="27"/>
  <c r="AD397" i="27"/>
  <c r="AE397" i="27"/>
  <c r="AF397" i="27"/>
  <c r="AG397" i="27"/>
  <c r="AH397" i="27"/>
  <c r="AI397" i="27"/>
  <c r="AJ397" i="27"/>
  <c r="C396" i="27"/>
  <c r="C397" i="27"/>
  <c r="C395" i="27"/>
  <c r="D381" i="27"/>
  <c r="E381" i="27"/>
  <c r="F381" i="27"/>
  <c r="G381" i="27"/>
  <c r="H381" i="27"/>
  <c r="I381" i="27"/>
  <c r="J381" i="27"/>
  <c r="K381" i="27"/>
  <c r="L381" i="27"/>
  <c r="M381" i="27"/>
  <c r="N381" i="27"/>
  <c r="O381" i="27"/>
  <c r="P381" i="27"/>
  <c r="Q381" i="27"/>
  <c r="R381" i="27"/>
  <c r="S381" i="27"/>
  <c r="T381" i="27"/>
  <c r="U381" i="27"/>
  <c r="V381" i="27"/>
  <c r="W381" i="27"/>
  <c r="X381" i="27"/>
  <c r="Y381" i="27"/>
  <c r="Z381" i="27"/>
  <c r="AA381" i="27"/>
  <c r="AB381" i="27"/>
  <c r="AC381" i="27"/>
  <c r="AD381" i="27"/>
  <c r="AE381" i="27"/>
  <c r="AF381" i="27"/>
  <c r="AG381" i="27"/>
  <c r="AH381" i="27"/>
  <c r="AI381" i="27"/>
  <c r="AJ381" i="27"/>
  <c r="D382" i="27"/>
  <c r="E382" i="27"/>
  <c r="F382" i="27"/>
  <c r="G382" i="27"/>
  <c r="H382" i="27"/>
  <c r="I382" i="27"/>
  <c r="J382" i="27"/>
  <c r="K382" i="27"/>
  <c r="L382" i="27"/>
  <c r="M382" i="27"/>
  <c r="N382" i="27"/>
  <c r="O382" i="27"/>
  <c r="P382" i="27"/>
  <c r="Q382" i="27"/>
  <c r="R382" i="27"/>
  <c r="S382" i="27"/>
  <c r="T382" i="27"/>
  <c r="U382" i="27"/>
  <c r="V382" i="27"/>
  <c r="W382" i="27"/>
  <c r="X382" i="27"/>
  <c r="Y382" i="27"/>
  <c r="Z382" i="27"/>
  <c r="AA382" i="27"/>
  <c r="AB382" i="27"/>
  <c r="AC382" i="27"/>
  <c r="AD382" i="27"/>
  <c r="AE382" i="27"/>
  <c r="AF382" i="27"/>
  <c r="AG382" i="27"/>
  <c r="AH382" i="27"/>
  <c r="AI382" i="27"/>
  <c r="AJ382" i="27"/>
  <c r="D383" i="27"/>
  <c r="E383" i="27"/>
  <c r="F383" i="27"/>
  <c r="G383" i="27"/>
  <c r="H383" i="27"/>
  <c r="I383" i="27"/>
  <c r="J383" i="27"/>
  <c r="K383" i="27"/>
  <c r="L383" i="27"/>
  <c r="M383" i="27"/>
  <c r="N383" i="27"/>
  <c r="O383" i="27"/>
  <c r="P383" i="27"/>
  <c r="Q383" i="27"/>
  <c r="R383" i="27"/>
  <c r="S383" i="27"/>
  <c r="T383" i="27"/>
  <c r="U383" i="27"/>
  <c r="V383" i="27"/>
  <c r="W383" i="27"/>
  <c r="X383" i="27"/>
  <c r="Y383" i="27"/>
  <c r="Z383" i="27"/>
  <c r="AA383" i="27"/>
  <c r="AB383" i="27"/>
  <c r="AC383" i="27"/>
  <c r="AD383" i="27"/>
  <c r="AE383" i="27"/>
  <c r="AF383" i="27"/>
  <c r="AG383" i="27"/>
  <c r="AH383" i="27"/>
  <c r="AI383" i="27"/>
  <c r="AJ383" i="27"/>
  <c r="D384" i="27"/>
  <c r="E384" i="27"/>
  <c r="F384" i="27"/>
  <c r="G384" i="27"/>
  <c r="H384" i="27"/>
  <c r="I384" i="27"/>
  <c r="J384" i="27"/>
  <c r="K384" i="27"/>
  <c r="L384" i="27"/>
  <c r="M384" i="27"/>
  <c r="N384" i="27"/>
  <c r="O384" i="27"/>
  <c r="P384" i="27"/>
  <c r="Q384" i="27"/>
  <c r="R384" i="27"/>
  <c r="S384" i="27"/>
  <c r="T384" i="27"/>
  <c r="U384" i="27"/>
  <c r="V384" i="27"/>
  <c r="W384" i="27"/>
  <c r="X384" i="27"/>
  <c r="Y384" i="27"/>
  <c r="Z384" i="27"/>
  <c r="AA384" i="27"/>
  <c r="AB384" i="27"/>
  <c r="AC384" i="27"/>
  <c r="AD384" i="27"/>
  <c r="AE384" i="27"/>
  <c r="AF384" i="27"/>
  <c r="AG384" i="27"/>
  <c r="AH384" i="27"/>
  <c r="AI384" i="27"/>
  <c r="AJ384" i="27"/>
  <c r="D385" i="27"/>
  <c r="E385" i="27"/>
  <c r="F385" i="27"/>
  <c r="G385" i="27"/>
  <c r="H385" i="27"/>
  <c r="I385" i="27"/>
  <c r="J385" i="27"/>
  <c r="K385" i="27"/>
  <c r="L385" i="27"/>
  <c r="M385" i="27"/>
  <c r="N385" i="27"/>
  <c r="O385" i="27"/>
  <c r="P385" i="27"/>
  <c r="Q385" i="27"/>
  <c r="R385" i="27"/>
  <c r="S385" i="27"/>
  <c r="T385" i="27"/>
  <c r="U385" i="27"/>
  <c r="V385" i="27"/>
  <c r="W385" i="27"/>
  <c r="X385" i="27"/>
  <c r="Y385" i="27"/>
  <c r="Z385" i="27"/>
  <c r="AA385" i="27"/>
  <c r="AB385" i="27"/>
  <c r="AC385" i="27"/>
  <c r="AD385" i="27"/>
  <c r="AE385" i="27"/>
  <c r="AF385" i="27"/>
  <c r="AG385" i="27"/>
  <c r="AH385" i="27"/>
  <c r="AI385" i="27"/>
  <c r="AJ385" i="27"/>
  <c r="D386" i="27"/>
  <c r="E386" i="27"/>
  <c r="F386" i="27"/>
  <c r="G386" i="27"/>
  <c r="H386" i="27"/>
  <c r="I386" i="27"/>
  <c r="J386" i="27"/>
  <c r="K386" i="27"/>
  <c r="L386" i="27"/>
  <c r="M386" i="27"/>
  <c r="N386" i="27"/>
  <c r="O386" i="27"/>
  <c r="P386" i="27"/>
  <c r="Q386" i="27"/>
  <c r="R386" i="27"/>
  <c r="S386" i="27"/>
  <c r="T386" i="27"/>
  <c r="U386" i="27"/>
  <c r="V386" i="27"/>
  <c r="W386" i="27"/>
  <c r="X386" i="27"/>
  <c r="Y386" i="27"/>
  <c r="Z386" i="27"/>
  <c r="AA386" i="27"/>
  <c r="AB386" i="27"/>
  <c r="AC386" i="27"/>
  <c r="AD386" i="27"/>
  <c r="AE386" i="27"/>
  <c r="AF386" i="27"/>
  <c r="AG386" i="27"/>
  <c r="AH386" i="27"/>
  <c r="AI386" i="27"/>
  <c r="AJ386" i="27"/>
  <c r="D387" i="27"/>
  <c r="E387" i="27"/>
  <c r="F387" i="27"/>
  <c r="G387" i="27"/>
  <c r="H387" i="27"/>
  <c r="I387" i="27"/>
  <c r="J387" i="27"/>
  <c r="K387" i="27"/>
  <c r="L387" i="27"/>
  <c r="M387" i="27"/>
  <c r="N387" i="27"/>
  <c r="O387" i="27"/>
  <c r="P387" i="27"/>
  <c r="Q387" i="27"/>
  <c r="R387" i="27"/>
  <c r="S387" i="27"/>
  <c r="T387" i="27"/>
  <c r="U387" i="27"/>
  <c r="V387" i="27"/>
  <c r="W387" i="27"/>
  <c r="X387" i="27"/>
  <c r="Y387" i="27"/>
  <c r="Z387" i="27"/>
  <c r="AA387" i="27"/>
  <c r="AB387" i="27"/>
  <c r="AC387" i="27"/>
  <c r="AD387" i="27"/>
  <c r="AE387" i="27"/>
  <c r="AF387" i="27"/>
  <c r="AG387" i="27"/>
  <c r="AH387" i="27"/>
  <c r="AI387" i="27"/>
  <c r="AJ387" i="27"/>
  <c r="D388" i="27"/>
  <c r="E388" i="27"/>
  <c r="F388" i="27"/>
  <c r="G388" i="27"/>
  <c r="H388" i="27"/>
  <c r="I388" i="27"/>
  <c r="J388" i="27"/>
  <c r="K388" i="27"/>
  <c r="L388" i="27"/>
  <c r="M388" i="27"/>
  <c r="N388" i="27"/>
  <c r="O388" i="27"/>
  <c r="P388" i="27"/>
  <c r="Q388" i="27"/>
  <c r="R388" i="27"/>
  <c r="S388" i="27"/>
  <c r="T388" i="27"/>
  <c r="U388" i="27"/>
  <c r="V388" i="27"/>
  <c r="W388" i="27"/>
  <c r="X388" i="27"/>
  <c r="Y388" i="27"/>
  <c r="Z388" i="27"/>
  <c r="AA388" i="27"/>
  <c r="AB388" i="27"/>
  <c r="AC388" i="27"/>
  <c r="AD388" i="27"/>
  <c r="AE388" i="27"/>
  <c r="AF388" i="27"/>
  <c r="AG388" i="27"/>
  <c r="AH388" i="27"/>
  <c r="AI388" i="27"/>
  <c r="AJ388" i="27"/>
  <c r="D389" i="27"/>
  <c r="E389" i="27"/>
  <c r="F389" i="27"/>
  <c r="G389" i="27"/>
  <c r="H389" i="27"/>
  <c r="I389" i="27"/>
  <c r="J389" i="27"/>
  <c r="K389" i="27"/>
  <c r="L389" i="27"/>
  <c r="M389" i="27"/>
  <c r="N389" i="27"/>
  <c r="O389" i="27"/>
  <c r="P389" i="27"/>
  <c r="Q389" i="27"/>
  <c r="R389" i="27"/>
  <c r="S389" i="27"/>
  <c r="T389" i="27"/>
  <c r="U389" i="27"/>
  <c r="V389" i="27"/>
  <c r="W389" i="27"/>
  <c r="X389" i="27"/>
  <c r="Y389" i="27"/>
  <c r="Z389" i="27"/>
  <c r="AA389" i="27"/>
  <c r="AB389" i="27"/>
  <c r="AC389" i="27"/>
  <c r="AD389" i="27"/>
  <c r="AE389" i="27"/>
  <c r="AF389" i="27"/>
  <c r="AG389" i="27"/>
  <c r="AH389" i="27"/>
  <c r="AI389" i="27"/>
  <c r="AJ389" i="27"/>
  <c r="D390" i="27"/>
  <c r="E390" i="27"/>
  <c r="F390" i="27"/>
  <c r="G390" i="27"/>
  <c r="H390" i="27"/>
  <c r="I390" i="27"/>
  <c r="J390" i="27"/>
  <c r="K390" i="27"/>
  <c r="L390" i="27"/>
  <c r="M390" i="27"/>
  <c r="N390" i="27"/>
  <c r="O390" i="27"/>
  <c r="P390" i="27"/>
  <c r="Q390" i="27"/>
  <c r="R390" i="27"/>
  <c r="S390" i="27"/>
  <c r="T390" i="27"/>
  <c r="U390" i="27"/>
  <c r="V390" i="27"/>
  <c r="W390" i="27"/>
  <c r="X390" i="27"/>
  <c r="Y390" i="27"/>
  <c r="Z390" i="27"/>
  <c r="AA390" i="27"/>
  <c r="AB390" i="27"/>
  <c r="AC390" i="27"/>
  <c r="AD390" i="27"/>
  <c r="AE390" i="27"/>
  <c r="AF390" i="27"/>
  <c r="AG390" i="27"/>
  <c r="AH390" i="27"/>
  <c r="AI390" i="27"/>
  <c r="AJ390" i="27"/>
  <c r="C382" i="27"/>
  <c r="C383" i="27"/>
  <c r="C384" i="27"/>
  <c r="C385" i="27"/>
  <c r="C386" i="27"/>
  <c r="C387" i="27"/>
  <c r="C388" i="27"/>
  <c r="C389" i="27"/>
  <c r="C390" i="27"/>
  <c r="C381" i="27"/>
  <c r="D369" i="27"/>
  <c r="E369" i="27"/>
  <c r="F369" i="27"/>
  <c r="G369" i="27"/>
  <c r="H369" i="27"/>
  <c r="I369" i="27"/>
  <c r="J369" i="27"/>
  <c r="K369" i="27"/>
  <c r="L369" i="27"/>
  <c r="M369" i="27"/>
  <c r="N369" i="27"/>
  <c r="O369" i="27"/>
  <c r="P369" i="27"/>
  <c r="Q369" i="27"/>
  <c r="R369" i="27"/>
  <c r="S369" i="27"/>
  <c r="T369" i="27"/>
  <c r="U369" i="27"/>
  <c r="V369" i="27"/>
  <c r="W369" i="27"/>
  <c r="X369" i="27"/>
  <c r="Y369" i="27"/>
  <c r="Z369" i="27"/>
  <c r="AA369" i="27"/>
  <c r="AB369" i="27"/>
  <c r="AC369" i="27"/>
  <c r="AD369" i="27"/>
  <c r="AE369" i="27"/>
  <c r="AF369" i="27"/>
  <c r="AG369" i="27"/>
  <c r="AH369" i="27"/>
  <c r="AI369" i="27"/>
  <c r="AJ369" i="27"/>
  <c r="D370" i="27"/>
  <c r="E370" i="27"/>
  <c r="F370" i="27"/>
  <c r="G370" i="27"/>
  <c r="H370" i="27"/>
  <c r="I370" i="27"/>
  <c r="J370" i="27"/>
  <c r="K370" i="27"/>
  <c r="L370" i="27"/>
  <c r="M370" i="27"/>
  <c r="N370" i="27"/>
  <c r="O370" i="27"/>
  <c r="P370" i="27"/>
  <c r="Q370" i="27"/>
  <c r="R370" i="27"/>
  <c r="S370" i="27"/>
  <c r="T370" i="27"/>
  <c r="U370" i="27"/>
  <c r="V370" i="27"/>
  <c r="W370" i="27"/>
  <c r="X370" i="27"/>
  <c r="Y370" i="27"/>
  <c r="Z370" i="27"/>
  <c r="AA370" i="27"/>
  <c r="AB370" i="27"/>
  <c r="AC370" i="27"/>
  <c r="AD370" i="27"/>
  <c r="AE370" i="27"/>
  <c r="AF370" i="27"/>
  <c r="AG370" i="27"/>
  <c r="AH370" i="27"/>
  <c r="AI370" i="27"/>
  <c r="AJ370" i="27"/>
  <c r="D371" i="27"/>
  <c r="E371" i="27"/>
  <c r="F371" i="27"/>
  <c r="G371" i="27"/>
  <c r="H371" i="27"/>
  <c r="I371" i="27"/>
  <c r="J371" i="27"/>
  <c r="K371" i="27"/>
  <c r="L371" i="27"/>
  <c r="M371" i="27"/>
  <c r="N371" i="27"/>
  <c r="O371" i="27"/>
  <c r="P371" i="27"/>
  <c r="Q371" i="27"/>
  <c r="R371" i="27"/>
  <c r="S371" i="27"/>
  <c r="T371" i="27"/>
  <c r="U371" i="27"/>
  <c r="V371" i="27"/>
  <c r="W371" i="27"/>
  <c r="X371" i="27"/>
  <c r="Y371" i="27"/>
  <c r="Z371" i="27"/>
  <c r="AA371" i="27"/>
  <c r="AB371" i="27"/>
  <c r="AC371" i="27"/>
  <c r="AD371" i="27"/>
  <c r="AE371" i="27"/>
  <c r="AF371" i="27"/>
  <c r="AG371" i="27"/>
  <c r="AH371" i="27"/>
  <c r="AI371" i="27"/>
  <c r="AJ371" i="27"/>
  <c r="D372" i="27"/>
  <c r="E372" i="27"/>
  <c r="F372" i="27"/>
  <c r="G372" i="27"/>
  <c r="H372" i="27"/>
  <c r="I372" i="27"/>
  <c r="J372" i="27"/>
  <c r="K372" i="27"/>
  <c r="L372" i="27"/>
  <c r="M372" i="27"/>
  <c r="N372" i="27"/>
  <c r="O372" i="27"/>
  <c r="P372" i="27"/>
  <c r="Q372" i="27"/>
  <c r="R372" i="27"/>
  <c r="S372" i="27"/>
  <c r="T372" i="27"/>
  <c r="U372" i="27"/>
  <c r="V372" i="27"/>
  <c r="W372" i="27"/>
  <c r="X372" i="27"/>
  <c r="Y372" i="27"/>
  <c r="Z372" i="27"/>
  <c r="AA372" i="27"/>
  <c r="AB372" i="27"/>
  <c r="AC372" i="27"/>
  <c r="AD372" i="27"/>
  <c r="AE372" i="27"/>
  <c r="AF372" i="27"/>
  <c r="AG372" i="27"/>
  <c r="AH372" i="27"/>
  <c r="AI372" i="27"/>
  <c r="AJ372" i="27"/>
  <c r="D373" i="27"/>
  <c r="E373" i="27"/>
  <c r="F373" i="27"/>
  <c r="G373" i="27"/>
  <c r="H373" i="27"/>
  <c r="I373" i="27"/>
  <c r="J373" i="27"/>
  <c r="K373" i="27"/>
  <c r="L373" i="27"/>
  <c r="M373" i="27"/>
  <c r="N373" i="27"/>
  <c r="O373" i="27"/>
  <c r="P373" i="27"/>
  <c r="Q373" i="27"/>
  <c r="R373" i="27"/>
  <c r="S373" i="27"/>
  <c r="T373" i="27"/>
  <c r="U373" i="27"/>
  <c r="V373" i="27"/>
  <c r="W373" i="27"/>
  <c r="X373" i="27"/>
  <c r="Y373" i="27"/>
  <c r="Z373" i="27"/>
  <c r="AA373" i="27"/>
  <c r="AB373" i="27"/>
  <c r="AC373" i="27"/>
  <c r="AD373" i="27"/>
  <c r="AE373" i="27"/>
  <c r="AF373" i="27"/>
  <c r="AG373" i="27"/>
  <c r="AH373" i="27"/>
  <c r="AI373" i="27"/>
  <c r="AJ373" i="27"/>
  <c r="D374" i="27"/>
  <c r="E374" i="27"/>
  <c r="F374" i="27"/>
  <c r="G374" i="27"/>
  <c r="H374" i="27"/>
  <c r="I374" i="27"/>
  <c r="J374" i="27"/>
  <c r="K374" i="27"/>
  <c r="L374" i="27"/>
  <c r="M374" i="27"/>
  <c r="N374" i="27"/>
  <c r="O374" i="27"/>
  <c r="P374" i="27"/>
  <c r="Q374" i="27"/>
  <c r="R374" i="27"/>
  <c r="S374" i="27"/>
  <c r="T374" i="27"/>
  <c r="U374" i="27"/>
  <c r="V374" i="27"/>
  <c r="W374" i="27"/>
  <c r="X374" i="27"/>
  <c r="Y374" i="27"/>
  <c r="Z374" i="27"/>
  <c r="AA374" i="27"/>
  <c r="AB374" i="27"/>
  <c r="AC374" i="27"/>
  <c r="AD374" i="27"/>
  <c r="AE374" i="27"/>
  <c r="AF374" i="27"/>
  <c r="AG374" i="27"/>
  <c r="AH374" i="27"/>
  <c r="AI374" i="27"/>
  <c r="AJ374" i="27"/>
  <c r="D375" i="27"/>
  <c r="E375" i="27"/>
  <c r="F375" i="27"/>
  <c r="G375" i="27"/>
  <c r="H375" i="27"/>
  <c r="I375" i="27"/>
  <c r="J375" i="27"/>
  <c r="K375" i="27"/>
  <c r="L375" i="27"/>
  <c r="M375" i="27"/>
  <c r="N375" i="27"/>
  <c r="O375" i="27"/>
  <c r="P375" i="27"/>
  <c r="Q375" i="27"/>
  <c r="R375" i="27"/>
  <c r="S375" i="27"/>
  <c r="T375" i="27"/>
  <c r="U375" i="27"/>
  <c r="V375" i="27"/>
  <c r="W375" i="27"/>
  <c r="X375" i="27"/>
  <c r="Y375" i="27"/>
  <c r="Z375" i="27"/>
  <c r="AA375" i="27"/>
  <c r="AB375" i="27"/>
  <c r="AC375" i="27"/>
  <c r="AD375" i="27"/>
  <c r="AE375" i="27"/>
  <c r="AF375" i="27"/>
  <c r="AG375" i="27"/>
  <c r="AH375" i="27"/>
  <c r="AI375" i="27"/>
  <c r="AJ375" i="27"/>
  <c r="D376" i="27"/>
  <c r="E376" i="27"/>
  <c r="F376" i="27"/>
  <c r="G376" i="27"/>
  <c r="H376" i="27"/>
  <c r="I376" i="27"/>
  <c r="J376" i="27"/>
  <c r="K376" i="27"/>
  <c r="L376" i="27"/>
  <c r="M376" i="27"/>
  <c r="N376" i="27"/>
  <c r="O376" i="27"/>
  <c r="P376" i="27"/>
  <c r="Q376" i="27"/>
  <c r="R376" i="27"/>
  <c r="S376" i="27"/>
  <c r="T376" i="27"/>
  <c r="U376" i="27"/>
  <c r="V376" i="27"/>
  <c r="W376" i="27"/>
  <c r="X376" i="27"/>
  <c r="Y376" i="27"/>
  <c r="Z376" i="27"/>
  <c r="AA376" i="27"/>
  <c r="AB376" i="27"/>
  <c r="AC376" i="27"/>
  <c r="AD376" i="27"/>
  <c r="AE376" i="27"/>
  <c r="AF376" i="27"/>
  <c r="AG376" i="27"/>
  <c r="AH376" i="27"/>
  <c r="AI376" i="27"/>
  <c r="AJ376" i="27"/>
  <c r="C369" i="27"/>
  <c r="C370" i="27"/>
  <c r="C371" i="27"/>
  <c r="C372" i="27"/>
  <c r="C373" i="27"/>
  <c r="C374" i="27"/>
  <c r="C375" i="27"/>
  <c r="C376" i="27"/>
  <c r="AJ490" i="27"/>
  <c r="AI490" i="27"/>
  <c r="AH490" i="27"/>
  <c r="AG490" i="27"/>
  <c r="AF490" i="27"/>
  <c r="AE490" i="27"/>
  <c r="AD490" i="27"/>
  <c r="AC490" i="27"/>
  <c r="AB490" i="27"/>
  <c r="AA490" i="27"/>
  <c r="Z490" i="27"/>
  <c r="Y490" i="27"/>
  <c r="X490" i="27"/>
  <c r="W490" i="27"/>
  <c r="V490" i="27"/>
  <c r="U490" i="27"/>
  <c r="T490" i="27"/>
  <c r="S490" i="27"/>
  <c r="R490" i="27"/>
  <c r="Q490" i="27"/>
  <c r="P490" i="27"/>
  <c r="O490" i="27"/>
  <c r="N490" i="27"/>
  <c r="M490" i="27"/>
  <c r="L490" i="27"/>
  <c r="K490" i="27"/>
  <c r="J490" i="27"/>
  <c r="I490" i="27"/>
  <c r="H490" i="27"/>
  <c r="G490" i="27"/>
  <c r="F490" i="27"/>
  <c r="E490" i="27"/>
  <c r="D490" i="27"/>
  <c r="AJ489" i="27"/>
  <c r="AI489" i="27"/>
  <c r="AH489" i="27"/>
  <c r="AG489" i="27"/>
  <c r="AF489" i="27"/>
  <c r="AE489" i="27"/>
  <c r="AD489" i="27"/>
  <c r="AC489" i="27"/>
  <c r="AB489" i="27"/>
  <c r="AA489" i="27"/>
  <c r="Z489" i="27"/>
  <c r="Y489" i="27"/>
  <c r="X489" i="27"/>
  <c r="W489" i="27"/>
  <c r="V489" i="27"/>
  <c r="U489" i="27"/>
  <c r="T489" i="27"/>
  <c r="S489" i="27"/>
  <c r="R489" i="27"/>
  <c r="Q489" i="27"/>
  <c r="P489" i="27"/>
  <c r="O489" i="27"/>
  <c r="N489" i="27"/>
  <c r="M489" i="27"/>
  <c r="L489" i="27"/>
  <c r="K489" i="27"/>
  <c r="J489" i="27"/>
  <c r="I489" i="27"/>
  <c r="H489" i="27"/>
  <c r="G489" i="27"/>
  <c r="F489" i="27"/>
  <c r="E489" i="27"/>
  <c r="D489" i="27"/>
  <c r="AJ488" i="27"/>
  <c r="AI488" i="27"/>
  <c r="AH488" i="27"/>
  <c r="AG488" i="27"/>
  <c r="AF488" i="27"/>
  <c r="AE488" i="27"/>
  <c r="AD488" i="27"/>
  <c r="AC488" i="27"/>
  <c r="AB488" i="27"/>
  <c r="AA488" i="27"/>
  <c r="Z488" i="27"/>
  <c r="Y488" i="27"/>
  <c r="X488" i="27"/>
  <c r="W488" i="27"/>
  <c r="V488" i="27"/>
  <c r="U488" i="27"/>
  <c r="T488" i="27"/>
  <c r="S488" i="27"/>
  <c r="R488" i="27"/>
  <c r="Q488" i="27"/>
  <c r="P488" i="27"/>
  <c r="O488" i="27"/>
  <c r="N488" i="27"/>
  <c r="M488" i="27"/>
  <c r="L488" i="27"/>
  <c r="K488" i="27"/>
  <c r="J488" i="27"/>
  <c r="I488" i="27"/>
  <c r="H488" i="27"/>
  <c r="G488" i="27"/>
  <c r="F488" i="27"/>
  <c r="E488" i="27"/>
  <c r="D488" i="27"/>
  <c r="AJ487" i="27"/>
  <c r="AI487" i="27"/>
  <c r="AH487" i="27"/>
  <c r="AG487" i="27"/>
  <c r="AF487" i="27"/>
  <c r="AE487" i="27"/>
  <c r="AD487" i="27"/>
  <c r="AC487" i="27"/>
  <c r="AB487" i="27"/>
  <c r="AA487" i="27"/>
  <c r="Z487" i="27"/>
  <c r="Y487" i="27"/>
  <c r="X487" i="27"/>
  <c r="W487" i="27"/>
  <c r="V487" i="27"/>
  <c r="U487" i="27"/>
  <c r="T487" i="27"/>
  <c r="S487" i="27"/>
  <c r="R487" i="27"/>
  <c r="Q487" i="27"/>
  <c r="P487" i="27"/>
  <c r="O487" i="27"/>
  <c r="N487" i="27"/>
  <c r="M487" i="27"/>
  <c r="L487" i="27"/>
  <c r="K487" i="27"/>
  <c r="J487" i="27"/>
  <c r="I487" i="27"/>
  <c r="H487" i="27"/>
  <c r="G487" i="27"/>
  <c r="F487" i="27"/>
  <c r="E487" i="27"/>
  <c r="D487" i="27"/>
  <c r="C487" i="27"/>
  <c r="C488" i="27"/>
  <c r="C489" i="27"/>
  <c r="C490" i="27"/>
  <c r="AA42" i="44"/>
  <c r="AB42" i="44"/>
  <c r="AC42" i="44"/>
  <c r="AD42" i="44"/>
  <c r="AE42" i="44"/>
  <c r="AF42" i="44"/>
  <c r="AG42" i="44"/>
  <c r="AH42" i="44"/>
  <c r="AI42" i="44"/>
  <c r="AJ42" i="44"/>
  <c r="D37" i="56" l="1"/>
  <c r="E37" i="56"/>
  <c r="F37" i="56"/>
  <c r="G37" i="56"/>
  <c r="H37" i="56"/>
  <c r="I37" i="56"/>
  <c r="J37" i="56"/>
  <c r="K37" i="56"/>
  <c r="L37" i="56"/>
  <c r="M37" i="56"/>
  <c r="N37" i="56"/>
  <c r="O37" i="56"/>
  <c r="P37" i="56"/>
  <c r="Q37" i="56"/>
  <c r="R37" i="56"/>
  <c r="S37" i="56"/>
  <c r="T37" i="56"/>
  <c r="U37" i="56"/>
  <c r="V37" i="56"/>
  <c r="W37" i="56"/>
  <c r="X37" i="56"/>
  <c r="Y37" i="56"/>
  <c r="Z37" i="56"/>
  <c r="AA37" i="56"/>
  <c r="AB37" i="56"/>
  <c r="AC37" i="56"/>
  <c r="AD37" i="56"/>
  <c r="AE37" i="56"/>
  <c r="AF37" i="56"/>
  <c r="AG37" i="56"/>
  <c r="AH37" i="56"/>
  <c r="AI37" i="56"/>
  <c r="C37" i="56"/>
  <c r="B37" i="56"/>
  <c r="C27" i="56"/>
  <c r="D27" i="56"/>
  <c r="E27" i="56"/>
  <c r="F27" i="56"/>
  <c r="G27" i="56"/>
  <c r="H27" i="56"/>
  <c r="I27" i="56"/>
  <c r="J27" i="56"/>
  <c r="K27" i="56"/>
  <c r="L27" i="56"/>
  <c r="M27" i="56"/>
  <c r="N27" i="56"/>
  <c r="O27" i="56"/>
  <c r="P27" i="56"/>
  <c r="Q27" i="56"/>
  <c r="R27" i="56"/>
  <c r="S27" i="56"/>
  <c r="T27" i="56"/>
  <c r="U27" i="56"/>
  <c r="V27" i="56"/>
  <c r="W27" i="56"/>
  <c r="X27" i="56"/>
  <c r="Y27" i="56"/>
  <c r="Z27" i="56"/>
  <c r="AA27" i="56"/>
  <c r="AB27" i="56"/>
  <c r="AC27" i="56"/>
  <c r="AD27" i="56"/>
  <c r="AE27" i="56"/>
  <c r="AF27" i="56"/>
  <c r="AG27" i="56"/>
  <c r="AH27" i="56"/>
  <c r="AI27" i="56"/>
  <c r="B27" i="56"/>
  <c r="AI20" i="56"/>
  <c r="C20" i="56"/>
  <c r="D20" i="56"/>
  <c r="E20" i="56"/>
  <c r="F20" i="56"/>
  <c r="G20" i="56"/>
  <c r="H20" i="56"/>
  <c r="I20" i="56"/>
  <c r="J20" i="56"/>
  <c r="K20" i="56"/>
  <c r="L20" i="56"/>
  <c r="M20" i="56"/>
  <c r="N20" i="56"/>
  <c r="O20" i="56"/>
  <c r="P20" i="56"/>
  <c r="Q20" i="56"/>
  <c r="R20" i="56"/>
  <c r="S20" i="56"/>
  <c r="T20" i="56"/>
  <c r="U20" i="56"/>
  <c r="V20" i="56"/>
  <c r="W20" i="56"/>
  <c r="X20" i="56"/>
  <c r="Y20" i="56"/>
  <c r="Z20" i="56"/>
  <c r="AA20" i="56"/>
  <c r="AB20" i="56"/>
  <c r="AC20" i="56"/>
  <c r="AD20" i="56"/>
  <c r="AE20" i="56"/>
  <c r="AF20" i="56"/>
  <c r="AG20" i="56"/>
  <c r="AH20" i="56"/>
  <c r="B20" i="56"/>
  <c r="C13" i="56"/>
  <c r="D13" i="56"/>
  <c r="E13" i="56"/>
  <c r="F13" i="56"/>
  <c r="G13" i="56"/>
  <c r="H13" i="56"/>
  <c r="I13" i="56"/>
  <c r="J13" i="56"/>
  <c r="K13" i="56"/>
  <c r="L13" i="56"/>
  <c r="M13" i="56"/>
  <c r="N13" i="56"/>
  <c r="O13" i="56"/>
  <c r="P13" i="56"/>
  <c r="Q13" i="56"/>
  <c r="R13" i="56"/>
  <c r="S13" i="56"/>
  <c r="S46" i="56" s="1"/>
  <c r="T13" i="56"/>
  <c r="T46" i="56" s="1"/>
  <c r="U13" i="56"/>
  <c r="V13" i="56"/>
  <c r="W13" i="56"/>
  <c r="X13" i="56"/>
  <c r="Y13" i="56"/>
  <c r="Z13" i="56"/>
  <c r="AA13" i="56"/>
  <c r="AB13" i="56"/>
  <c r="AC13" i="56"/>
  <c r="AD13" i="56"/>
  <c r="AE13" i="56"/>
  <c r="AF13" i="56"/>
  <c r="AG13" i="56"/>
  <c r="AH13" i="56"/>
  <c r="AI13" i="56"/>
  <c r="B13" i="56"/>
  <c r="AG46" i="56" l="1"/>
  <c r="AF46" i="56"/>
  <c r="H46" i="56"/>
  <c r="AE46" i="56"/>
  <c r="G46" i="56"/>
  <c r="U46" i="56"/>
  <c r="AC46" i="56"/>
  <c r="E46" i="56"/>
  <c r="AB46" i="56"/>
  <c r="AA46" i="56"/>
  <c r="Q46" i="56"/>
  <c r="Z46" i="56"/>
  <c r="P46" i="56"/>
  <c r="D46" i="56"/>
  <c r="O46" i="56"/>
  <c r="C46" i="56"/>
  <c r="N46" i="56"/>
  <c r="I46" i="56"/>
  <c r="AD46" i="56"/>
  <c r="R46" i="56"/>
  <c r="F46" i="56"/>
  <c r="Y46" i="56"/>
  <c r="M46" i="56"/>
  <c r="B46" i="56"/>
  <c r="X46" i="56"/>
  <c r="L46" i="56"/>
  <c r="AI46" i="56"/>
  <c r="W46" i="56"/>
  <c r="K46" i="56"/>
  <c r="AH46" i="56"/>
  <c r="V46" i="56"/>
  <c r="J46" i="56"/>
  <c r="D8" i="59"/>
  <c r="C116" i="31"/>
  <c r="AJ82" i="54" l="1"/>
  <c r="C8" i="59" l="1"/>
  <c r="B8" i="59"/>
  <c r="D78" i="47"/>
  <c r="E78" i="47"/>
  <c r="F78" i="47"/>
  <c r="G78" i="47"/>
  <c r="H78" i="47"/>
  <c r="I78" i="47"/>
  <c r="J78" i="47"/>
  <c r="K78" i="47"/>
  <c r="L78" i="47"/>
  <c r="D32" i="17"/>
  <c r="G32" i="17"/>
  <c r="Y32" i="17"/>
  <c r="AK32" i="17"/>
  <c r="AP32" i="17"/>
  <c r="AW32" i="17"/>
  <c r="BB32" i="17"/>
  <c r="BI32" i="17"/>
  <c r="BN32" i="17"/>
  <c r="BU32" i="17"/>
  <c r="BZ32" i="17"/>
  <c r="DF32" i="17"/>
  <c r="D33" i="17"/>
  <c r="G33" i="17"/>
  <c r="Y33" i="17"/>
  <c r="AK33" i="17"/>
  <c r="AP33" i="17"/>
  <c r="AW33" i="17"/>
  <c r="BB33" i="17"/>
  <c r="BI33" i="17"/>
  <c r="BN33" i="17"/>
  <c r="BU33" i="17"/>
  <c r="BZ33" i="17"/>
  <c r="DF33" i="17"/>
  <c r="D34" i="17"/>
  <c r="G34" i="17"/>
  <c r="Y34" i="17"/>
  <c r="AK34" i="17"/>
  <c r="AP34" i="17"/>
  <c r="AW34" i="17"/>
  <c r="BB34" i="17"/>
  <c r="BI34" i="17"/>
  <c r="BN34" i="17"/>
  <c r="BU34" i="17"/>
  <c r="BZ34" i="17"/>
  <c r="DF34" i="17"/>
  <c r="D35" i="17"/>
  <c r="G35" i="17"/>
  <c r="Y35" i="17"/>
  <c r="AK35" i="17"/>
  <c r="AP35" i="17"/>
  <c r="AW35" i="17"/>
  <c r="BB35" i="17"/>
  <c r="BI35" i="17"/>
  <c r="BN35" i="17"/>
  <c r="BU35" i="17"/>
  <c r="BZ35" i="17"/>
  <c r="DF35" i="17"/>
  <c r="D36" i="17"/>
  <c r="G36" i="17"/>
  <c r="Y36" i="17"/>
  <c r="AK36" i="17"/>
  <c r="AP36" i="17"/>
  <c r="AW36" i="17"/>
  <c r="BB36" i="17"/>
  <c r="BI36" i="17"/>
  <c r="BN36" i="17"/>
  <c r="BU36" i="17"/>
  <c r="BZ36" i="17"/>
  <c r="DF36" i="17"/>
  <c r="D37" i="17"/>
  <c r="G37" i="17"/>
  <c r="Y37" i="17"/>
  <c r="AK37" i="17"/>
  <c r="AP37" i="17"/>
  <c r="AW37" i="17"/>
  <c r="BB37" i="17"/>
  <c r="BI37" i="17"/>
  <c r="BN37" i="17"/>
  <c r="BU37" i="17"/>
  <c r="BZ37" i="17"/>
  <c r="DF37" i="17"/>
  <c r="D38" i="17"/>
  <c r="G38" i="17"/>
  <c r="Y38" i="17"/>
  <c r="AK38" i="17"/>
  <c r="AP38" i="17"/>
  <c r="AW38" i="17"/>
  <c r="BB38" i="17"/>
  <c r="BI38" i="17"/>
  <c r="BN38" i="17"/>
  <c r="BU38" i="17"/>
  <c r="BZ38" i="17"/>
  <c r="DF38" i="17"/>
  <c r="D39" i="17"/>
  <c r="G39" i="17"/>
  <c r="Y39" i="17"/>
  <c r="AK39" i="17"/>
  <c r="AP39" i="17"/>
  <c r="AW39" i="17"/>
  <c r="BB39" i="17"/>
  <c r="BI39" i="17"/>
  <c r="BN39" i="17"/>
  <c r="BU39" i="17"/>
  <c r="BZ39" i="17"/>
  <c r="DF39" i="17"/>
  <c r="D40" i="17"/>
  <c r="G40" i="17"/>
  <c r="Y40" i="17"/>
  <c r="AK40" i="17"/>
  <c r="AP40" i="17"/>
  <c r="AW40" i="17"/>
  <c r="BB40" i="17"/>
  <c r="BI40" i="17"/>
  <c r="BN40" i="17"/>
  <c r="BU40" i="17"/>
  <c r="BZ40" i="17"/>
  <c r="DF40" i="17"/>
  <c r="D41" i="17"/>
  <c r="G41" i="17"/>
  <c r="Y41" i="17"/>
  <c r="AK41" i="17"/>
  <c r="AP41" i="17"/>
  <c r="AW41" i="17"/>
  <c r="BB41" i="17"/>
  <c r="BI41" i="17"/>
  <c r="BN41" i="17"/>
  <c r="BU41" i="17"/>
  <c r="BZ41" i="17"/>
  <c r="DF41" i="17"/>
  <c r="B42" i="17"/>
  <c r="D42" i="17"/>
  <c r="G42" i="17"/>
  <c r="W42" i="17"/>
  <c r="Y42" i="17"/>
  <c r="AI42" i="17"/>
  <c r="AK42" i="17"/>
  <c r="AP42" i="17"/>
  <c r="AU42" i="17"/>
  <c r="AW42" i="17"/>
  <c r="BB42" i="17"/>
  <c r="BG42" i="17"/>
  <c r="BI42" i="17"/>
  <c r="BN42" i="17"/>
  <c r="BS42" i="17"/>
  <c r="BU42" i="17"/>
  <c r="BZ42" i="17"/>
  <c r="CG42" i="17"/>
  <c r="CJ42" i="17" s="1"/>
  <c r="CR42" i="17"/>
  <c r="CX42" i="17"/>
  <c r="DF42" i="17"/>
  <c r="DG42" i="17" s="1"/>
  <c r="B43" i="17"/>
  <c r="D43" i="17"/>
  <c r="G43" i="17"/>
  <c r="W43" i="17"/>
  <c r="Y43" i="17"/>
  <c r="AI43" i="17"/>
  <c r="AK43" i="17"/>
  <c r="AP43" i="17"/>
  <c r="AU43" i="17"/>
  <c r="AW43" i="17"/>
  <c r="BB43" i="17"/>
  <c r="BG43" i="17"/>
  <c r="BI43" i="17"/>
  <c r="BN43" i="17"/>
  <c r="BS43" i="17"/>
  <c r="BU43" i="17"/>
  <c r="BZ43" i="17"/>
  <c r="CG43" i="17"/>
  <c r="CR43" i="17"/>
  <c r="CX43" i="17"/>
  <c r="DF43" i="17"/>
  <c r="DG43" i="17" s="1"/>
  <c r="B44" i="17"/>
  <c r="D44" i="17"/>
  <c r="G44" i="17"/>
  <c r="W44" i="17"/>
  <c r="Y44" i="17"/>
  <c r="AI44" i="17"/>
  <c r="AK44" i="17"/>
  <c r="AP44" i="17"/>
  <c r="AU44" i="17"/>
  <c r="AW44" i="17"/>
  <c r="BB44" i="17"/>
  <c r="BG44" i="17"/>
  <c r="BI44" i="17"/>
  <c r="BN44" i="17"/>
  <c r="BS44" i="17"/>
  <c r="BU44" i="17"/>
  <c r="BZ44" i="17"/>
  <c r="CG44" i="17"/>
  <c r="CR44" i="17"/>
  <c r="CX44" i="17"/>
  <c r="DF44" i="17"/>
  <c r="DG44" i="17" s="1"/>
  <c r="B45" i="17"/>
  <c r="D45" i="17"/>
  <c r="G45" i="17"/>
  <c r="W45" i="17"/>
  <c r="Y45" i="17"/>
  <c r="AI45" i="17"/>
  <c r="AK45" i="17"/>
  <c r="AP45" i="17"/>
  <c r="AU45" i="17"/>
  <c r="AW45" i="17"/>
  <c r="BB45" i="17"/>
  <c r="BG45" i="17"/>
  <c r="BI45" i="17"/>
  <c r="BN45" i="17"/>
  <c r="BS45" i="17"/>
  <c r="BU45" i="17"/>
  <c r="BZ45" i="17"/>
  <c r="CG45" i="17"/>
  <c r="CJ45" i="17" s="1"/>
  <c r="CR45" i="17"/>
  <c r="CX45" i="17"/>
  <c r="DF45" i="17"/>
  <c r="DG45" i="17" s="1"/>
  <c r="B46" i="17"/>
  <c r="D46" i="17"/>
  <c r="G46" i="17"/>
  <c r="W46" i="17"/>
  <c r="Y46" i="17"/>
  <c r="AI46" i="17"/>
  <c r="AK46" i="17"/>
  <c r="AP46" i="17"/>
  <c r="AU46" i="17"/>
  <c r="AW46" i="17"/>
  <c r="BB46" i="17"/>
  <c r="BG46" i="17"/>
  <c r="BI46" i="17"/>
  <c r="BN46" i="17"/>
  <c r="BS46" i="17"/>
  <c r="BU46" i="17"/>
  <c r="BZ46" i="17"/>
  <c r="CG46" i="17"/>
  <c r="CM46" i="17"/>
  <c r="CR46" i="17"/>
  <c r="CX46" i="17"/>
  <c r="DF46" i="17"/>
  <c r="DG46" i="17" s="1"/>
  <c r="B47" i="17"/>
  <c r="D47" i="17"/>
  <c r="G47" i="17"/>
  <c r="W47" i="17"/>
  <c r="Y47" i="17"/>
  <c r="AI47" i="17"/>
  <c r="AK47" i="17"/>
  <c r="AP47" i="17"/>
  <c r="AU47" i="17"/>
  <c r="AW47" i="17"/>
  <c r="BB47" i="17"/>
  <c r="BG47" i="17"/>
  <c r="BI47" i="17"/>
  <c r="BN47" i="17"/>
  <c r="BS47" i="17"/>
  <c r="BU47" i="17"/>
  <c r="BZ47" i="17"/>
  <c r="CG47" i="17"/>
  <c r="CJ47" i="17" s="1"/>
  <c r="CR47" i="17"/>
  <c r="CX47" i="17"/>
  <c r="DF47" i="17"/>
  <c r="DG47" i="17" s="1"/>
  <c r="B48" i="17"/>
  <c r="D48" i="17"/>
  <c r="G48" i="17"/>
  <c r="W48" i="17"/>
  <c r="Y48" i="17"/>
  <c r="AI48" i="17"/>
  <c r="AK48" i="17"/>
  <c r="AP48" i="17"/>
  <c r="AU48" i="17"/>
  <c r="AW48" i="17"/>
  <c r="BB48" i="17"/>
  <c r="BG48" i="17"/>
  <c r="BI48" i="17"/>
  <c r="BN48" i="17"/>
  <c r="BS48" i="17"/>
  <c r="BU48" i="17"/>
  <c r="BZ48" i="17"/>
  <c r="CG48" i="17"/>
  <c r="CJ48" i="17" s="1"/>
  <c r="CR48" i="17"/>
  <c r="CX48" i="17"/>
  <c r="DF48" i="17"/>
  <c r="DG48" i="17" s="1"/>
  <c r="B49" i="17"/>
  <c r="D49" i="17"/>
  <c r="G49" i="17"/>
  <c r="W49" i="17"/>
  <c r="Y49" i="17"/>
  <c r="AI49" i="17"/>
  <c r="AK49" i="17"/>
  <c r="AP49" i="17"/>
  <c r="AU49" i="17"/>
  <c r="AW49" i="17"/>
  <c r="BB49" i="17"/>
  <c r="BG49" i="17"/>
  <c r="BI49" i="17"/>
  <c r="BN49" i="17"/>
  <c r="BS49" i="17"/>
  <c r="BU49" i="17"/>
  <c r="BZ49" i="17"/>
  <c r="CG49" i="17"/>
  <c r="CR49" i="17"/>
  <c r="CX49" i="17"/>
  <c r="DF49" i="17"/>
  <c r="DG49" i="17" s="1"/>
  <c r="B50" i="17"/>
  <c r="D50" i="17"/>
  <c r="G50" i="17"/>
  <c r="W50" i="17"/>
  <c r="Y50" i="17"/>
  <c r="AI50" i="17"/>
  <c r="AK50" i="17"/>
  <c r="AP50" i="17"/>
  <c r="AU50" i="17"/>
  <c r="AW50" i="17"/>
  <c r="BB50" i="17"/>
  <c r="BG50" i="17"/>
  <c r="BI50" i="17"/>
  <c r="BN50" i="17"/>
  <c r="BS50" i="17"/>
  <c r="BU50" i="17"/>
  <c r="BZ50" i="17"/>
  <c r="CG50" i="17"/>
  <c r="CJ50" i="17" s="1"/>
  <c r="CR50" i="17"/>
  <c r="CX50" i="17"/>
  <c r="DF50" i="17"/>
  <c r="DG50" i="17" s="1"/>
  <c r="M91" i="17"/>
  <c r="N91" i="17" s="1"/>
  <c r="O91" i="17" s="1"/>
  <c r="B91" i="17" s="1"/>
  <c r="T91" i="17"/>
  <c r="U91" i="17" s="1"/>
  <c r="V91" i="17" s="1"/>
  <c r="D91" i="17" s="1"/>
  <c r="AA91" i="17"/>
  <c r="AB91" i="17" s="1"/>
  <c r="AC91" i="17" s="1"/>
  <c r="E91" i="17" s="1"/>
  <c r="AH91" i="17"/>
  <c r="AI91" i="17" s="1"/>
  <c r="AJ91" i="17" s="1"/>
  <c r="G91" i="17" s="1"/>
  <c r="AO91" i="17"/>
  <c r="AP91" i="17" s="1"/>
  <c r="AQ91" i="17" s="1"/>
  <c r="C91" i="17" s="1"/>
  <c r="AV91" i="17"/>
  <c r="AW91" i="17" s="1"/>
  <c r="AX91" i="17" s="1"/>
  <c r="F91" i="17" s="1"/>
  <c r="M92" i="17"/>
  <c r="N92" i="17" s="1"/>
  <c r="O92" i="17" s="1"/>
  <c r="B92" i="17" s="1"/>
  <c r="T92" i="17"/>
  <c r="U92" i="17" s="1"/>
  <c r="V92" i="17" s="1"/>
  <c r="D92" i="17" s="1"/>
  <c r="AA92" i="17"/>
  <c r="AB92" i="17" s="1"/>
  <c r="AC92" i="17" s="1"/>
  <c r="E92" i="17" s="1"/>
  <c r="AH92" i="17"/>
  <c r="AI92" i="17" s="1"/>
  <c r="AO92" i="17"/>
  <c r="AP92" i="17" s="1"/>
  <c r="AQ92" i="17" s="1"/>
  <c r="C92" i="17" s="1"/>
  <c r="AV92" i="17"/>
  <c r="AW92" i="17" s="1"/>
  <c r="AX92" i="17" s="1"/>
  <c r="F92" i="17" s="1"/>
  <c r="M93" i="17"/>
  <c r="N93" i="17" s="1"/>
  <c r="O93" i="17" s="1"/>
  <c r="B93" i="17" s="1"/>
  <c r="T93" i="17"/>
  <c r="U93" i="17" s="1"/>
  <c r="V93" i="17" s="1"/>
  <c r="D93" i="17" s="1"/>
  <c r="AA93" i="17"/>
  <c r="AB93" i="17" s="1"/>
  <c r="AC93" i="17" s="1"/>
  <c r="E93" i="17" s="1"/>
  <c r="AH93" i="17"/>
  <c r="AI93" i="17" s="1"/>
  <c r="AJ93" i="17" s="1"/>
  <c r="G93" i="17" s="1"/>
  <c r="AO93" i="17"/>
  <c r="AP93" i="17" s="1"/>
  <c r="AQ93" i="17" s="1"/>
  <c r="C93" i="17" s="1"/>
  <c r="AV93" i="17"/>
  <c r="AW93" i="17" s="1"/>
  <c r="AX93" i="17" s="1"/>
  <c r="F93" i="17" s="1"/>
  <c r="M94" i="17"/>
  <c r="N94" i="17" s="1"/>
  <c r="O94" i="17" s="1"/>
  <c r="B94" i="17" s="1"/>
  <c r="T94" i="17"/>
  <c r="U94" i="17" s="1"/>
  <c r="V94" i="17" s="1"/>
  <c r="D94" i="17" s="1"/>
  <c r="AA94" i="17"/>
  <c r="AB94" i="17" s="1"/>
  <c r="AC94" i="17" s="1"/>
  <c r="E94" i="17" s="1"/>
  <c r="AH94" i="17"/>
  <c r="AI94" i="17" s="1"/>
  <c r="AJ94" i="17" s="1"/>
  <c r="G94" i="17" s="1"/>
  <c r="AO94" i="17"/>
  <c r="AP94" i="17" s="1"/>
  <c r="AQ94" i="17" s="1"/>
  <c r="C94" i="17" s="1"/>
  <c r="AV94" i="17"/>
  <c r="AW94" i="17" s="1"/>
  <c r="AX94" i="17" s="1"/>
  <c r="F94" i="17" s="1"/>
  <c r="M95" i="17"/>
  <c r="N95" i="17" s="1"/>
  <c r="O95" i="17" s="1"/>
  <c r="B95" i="17" s="1"/>
  <c r="T95" i="17"/>
  <c r="U95" i="17" s="1"/>
  <c r="V95" i="17" s="1"/>
  <c r="D95" i="17" s="1"/>
  <c r="AA95" i="17"/>
  <c r="AB95" i="17" s="1"/>
  <c r="AC95" i="17" s="1"/>
  <c r="E95" i="17" s="1"/>
  <c r="AH95" i="17"/>
  <c r="AI95" i="17" s="1"/>
  <c r="AJ95" i="17" s="1"/>
  <c r="G95" i="17" s="1"/>
  <c r="AO95" i="17"/>
  <c r="AP95" i="17" s="1"/>
  <c r="AQ95" i="17" s="1"/>
  <c r="C95" i="17" s="1"/>
  <c r="AV95" i="17"/>
  <c r="AW95" i="17" s="1"/>
  <c r="AX95" i="17" s="1"/>
  <c r="F95" i="17" s="1"/>
  <c r="M96" i="17"/>
  <c r="N96" i="17" s="1"/>
  <c r="O96" i="17" s="1"/>
  <c r="B96" i="17" s="1"/>
  <c r="T96" i="17"/>
  <c r="U96" i="17" s="1"/>
  <c r="V96" i="17" s="1"/>
  <c r="D96" i="17" s="1"/>
  <c r="AA96" i="17"/>
  <c r="AB96" i="17" s="1"/>
  <c r="AC96" i="17" s="1"/>
  <c r="E96" i="17" s="1"/>
  <c r="AH96" i="17"/>
  <c r="AI96" i="17" s="1"/>
  <c r="AJ96" i="17" s="1"/>
  <c r="G96" i="17" s="1"/>
  <c r="AO96" i="17"/>
  <c r="AP96" i="17" s="1"/>
  <c r="AQ96" i="17" s="1"/>
  <c r="C96" i="17" s="1"/>
  <c r="AV96" i="17"/>
  <c r="AW96" i="17" s="1"/>
  <c r="AX96" i="17" s="1"/>
  <c r="F96" i="17" s="1"/>
  <c r="M97" i="17"/>
  <c r="N97" i="17" s="1"/>
  <c r="O97" i="17" s="1"/>
  <c r="B97" i="17" s="1"/>
  <c r="T97" i="17"/>
  <c r="U97" i="17" s="1"/>
  <c r="V97" i="17" s="1"/>
  <c r="D97" i="17" s="1"/>
  <c r="AA97" i="17"/>
  <c r="AB97" i="17" s="1"/>
  <c r="AC97" i="17" s="1"/>
  <c r="E97" i="17" s="1"/>
  <c r="AH97" i="17"/>
  <c r="AI97" i="17" s="1"/>
  <c r="AJ97" i="17" s="1"/>
  <c r="G97" i="17" s="1"/>
  <c r="AO97" i="17"/>
  <c r="AP97" i="17" s="1"/>
  <c r="AQ97" i="17" s="1"/>
  <c r="C97" i="17" s="1"/>
  <c r="AV97" i="17"/>
  <c r="AW97" i="17" s="1"/>
  <c r="AX97" i="17" s="1"/>
  <c r="F97" i="17" s="1"/>
  <c r="M98" i="17"/>
  <c r="N98" i="17" s="1"/>
  <c r="O98" i="17" s="1"/>
  <c r="B98" i="17" s="1"/>
  <c r="T98" i="17"/>
  <c r="U98" i="17" s="1"/>
  <c r="V98" i="17" s="1"/>
  <c r="D98" i="17" s="1"/>
  <c r="AA98" i="17"/>
  <c r="AB98" i="17" s="1"/>
  <c r="AC98" i="17" s="1"/>
  <c r="E98" i="17" s="1"/>
  <c r="AH98" i="17"/>
  <c r="AI98" i="17" s="1"/>
  <c r="AJ98" i="17" s="1"/>
  <c r="G98" i="17" s="1"/>
  <c r="AO98" i="17"/>
  <c r="AP98" i="17" s="1"/>
  <c r="AQ98" i="17" s="1"/>
  <c r="C98" i="17" s="1"/>
  <c r="AV98" i="17"/>
  <c r="AW98" i="17" s="1"/>
  <c r="AX98" i="17" s="1"/>
  <c r="F98" i="17" s="1"/>
  <c r="M99" i="17"/>
  <c r="N99" i="17" s="1"/>
  <c r="O99" i="17" s="1"/>
  <c r="B99" i="17" s="1"/>
  <c r="T99" i="17"/>
  <c r="U99" i="17" s="1"/>
  <c r="V99" i="17" s="1"/>
  <c r="D99" i="17" s="1"/>
  <c r="AA99" i="17"/>
  <c r="AB99" i="17" s="1"/>
  <c r="AC99" i="17" s="1"/>
  <c r="E99" i="17" s="1"/>
  <c r="AH99" i="17"/>
  <c r="AI99" i="17" s="1"/>
  <c r="AJ99" i="17" s="1"/>
  <c r="G99" i="17" s="1"/>
  <c r="AO99" i="17"/>
  <c r="AP99" i="17" s="1"/>
  <c r="AQ99" i="17" s="1"/>
  <c r="C99" i="17" s="1"/>
  <c r="AV99" i="17"/>
  <c r="AW99" i="17" s="1"/>
  <c r="AX99" i="17" s="1"/>
  <c r="F99" i="17" s="1"/>
  <c r="D110" i="17"/>
  <c r="E110" i="17" s="1"/>
  <c r="D111" i="17"/>
  <c r="E111" i="17" s="1"/>
  <c r="D112" i="17"/>
  <c r="E112" i="17" s="1"/>
  <c r="D113" i="17"/>
  <c r="E113" i="17" s="1"/>
  <c r="D114" i="17"/>
  <c r="E114" i="17" s="1"/>
  <c r="D115" i="17"/>
  <c r="E115" i="17" s="1"/>
  <c r="D116" i="17"/>
  <c r="E116" i="17" s="1"/>
  <c r="D117" i="17"/>
  <c r="E117" i="17" s="1"/>
  <c r="D118" i="17"/>
  <c r="E118" i="17" s="1"/>
  <c r="C148" i="17"/>
  <c r="G148" i="17"/>
  <c r="C149" i="17"/>
  <c r="G149" i="17"/>
  <c r="C150" i="17"/>
  <c r="G150" i="17"/>
  <c r="C151" i="17"/>
  <c r="G151" i="17"/>
  <c r="C152" i="17"/>
  <c r="G152" i="17"/>
  <c r="C153" i="17"/>
  <c r="G153" i="17"/>
  <c r="C154" i="17"/>
  <c r="G154" i="17"/>
  <c r="C155" i="17"/>
  <c r="G155" i="17"/>
  <c r="C156" i="17"/>
  <c r="G156" i="17"/>
  <c r="C157" i="17"/>
  <c r="G157" i="17"/>
  <c r="C158" i="17"/>
  <c r="G158" i="17"/>
  <c r="C159" i="17"/>
  <c r="G159" i="17"/>
  <c r="C160" i="17"/>
  <c r="G160" i="17"/>
  <c r="C161" i="17"/>
  <c r="G161" i="17"/>
  <c r="C162" i="17"/>
  <c r="G162" i="17"/>
  <c r="C163" i="17"/>
  <c r="G163" i="17"/>
  <c r="C164" i="17"/>
  <c r="G164" i="17"/>
  <c r="C165" i="17"/>
  <c r="G165" i="17"/>
  <c r="C166" i="17"/>
  <c r="G166" i="17"/>
  <c r="H43" i="17" l="1"/>
  <c r="I43" i="17" s="1"/>
  <c r="J43" i="17" s="1"/>
  <c r="BJ46" i="17"/>
  <c r="BO46" i="17" s="1"/>
  <c r="AL49" i="17"/>
  <c r="H49" i="17"/>
  <c r="I49" i="17" s="1"/>
  <c r="J49" i="17" s="1"/>
  <c r="H47" i="17"/>
  <c r="I47" i="17" s="1"/>
  <c r="J47" i="17" s="1"/>
  <c r="CM42" i="17"/>
  <c r="BV44" i="17"/>
  <c r="CA44" i="17" s="1"/>
  <c r="H46" i="17"/>
  <c r="I46" i="17" s="1"/>
  <c r="J46" i="17" s="1"/>
  <c r="CY46" i="17" s="1"/>
  <c r="CZ46" i="17" s="1"/>
  <c r="AL50" i="17"/>
  <c r="AQ50" i="17" s="1"/>
  <c r="AX47" i="17"/>
  <c r="BC47" i="17" s="1"/>
  <c r="BV42" i="17"/>
  <c r="CA42" i="17" s="1"/>
  <c r="H48" i="17"/>
  <c r="I48" i="17" s="1"/>
  <c r="J48" i="17" s="1"/>
  <c r="CH48" i="17" s="1"/>
  <c r="AX46" i="17"/>
  <c r="BC46" i="17" s="1"/>
  <c r="BJ50" i="17"/>
  <c r="BO50" i="17" s="1"/>
  <c r="Z50" i="17"/>
  <c r="AX42" i="17"/>
  <c r="BC42" i="17" s="1"/>
  <c r="H50" i="17"/>
  <c r="I50" i="17" s="1"/>
  <c r="J50" i="17" s="1"/>
  <c r="H42" i="17"/>
  <c r="I42" i="17" s="1"/>
  <c r="J42" i="17" s="1"/>
  <c r="BJ44" i="17"/>
  <c r="BO44" i="17" s="1"/>
  <c r="BV50" i="17"/>
  <c r="CA50" i="17" s="1"/>
  <c r="BV47" i="17"/>
  <c r="CA47" i="17" s="1"/>
  <c r="AL44" i="17"/>
  <c r="AQ44" i="17" s="1"/>
  <c r="Z43" i="17"/>
  <c r="BJ49" i="17"/>
  <c r="BO49" i="17" s="1"/>
  <c r="BV43" i="17"/>
  <c r="CA43" i="17" s="1"/>
  <c r="AX48" i="17"/>
  <c r="BC48" i="17" s="1"/>
  <c r="CM47" i="17"/>
  <c r="CM50" i="17"/>
  <c r="H44" i="17"/>
  <c r="I44" i="17" s="1"/>
  <c r="J44" i="17" s="1"/>
  <c r="H91" i="17"/>
  <c r="H94" i="17"/>
  <c r="H95" i="17"/>
  <c r="Z42" i="17"/>
  <c r="AL48" i="17"/>
  <c r="AQ48" i="17" s="1"/>
  <c r="BJ43" i="17"/>
  <c r="BO43" i="17" s="1"/>
  <c r="BV49" i="17"/>
  <c r="CA49" i="17" s="1"/>
  <c r="AX45" i="17"/>
  <c r="BC45" i="17" s="1"/>
  <c r="AL46" i="17"/>
  <c r="Z47" i="17"/>
  <c r="Z46" i="17"/>
  <c r="AX43" i="17"/>
  <c r="BC43" i="17" s="1"/>
  <c r="BJ42" i="17"/>
  <c r="BO42" i="17" s="1"/>
  <c r="AB90" i="17"/>
  <c r="AC90" i="17" s="1"/>
  <c r="BJ48" i="17"/>
  <c r="BO48" i="17" s="1"/>
  <c r="BJ47" i="17"/>
  <c r="BO47" i="17" s="1"/>
  <c r="AL43" i="17"/>
  <c r="AQ43" i="17" s="1"/>
  <c r="AX49" i="17"/>
  <c r="BC49" i="17" s="1"/>
  <c r="H45" i="17"/>
  <c r="H97" i="17"/>
  <c r="AX44" i="17"/>
  <c r="CM44" i="17"/>
  <c r="CJ44" i="17"/>
  <c r="H96" i="17"/>
  <c r="AW90" i="17"/>
  <c r="CJ43" i="17"/>
  <c r="H99" i="17"/>
  <c r="H93" i="17"/>
  <c r="H98" i="17"/>
  <c r="CM48" i="17"/>
  <c r="CM43" i="17"/>
  <c r="U90" i="17"/>
  <c r="AX50" i="17"/>
  <c r="AJ92" i="17"/>
  <c r="G92" i="17" s="1"/>
  <c r="H92" i="17" s="1"/>
  <c r="AI90" i="17"/>
  <c r="BV45" i="17"/>
  <c r="CA45" i="17" s="1"/>
  <c r="AL42" i="17"/>
  <c r="AQ42" i="17" s="1"/>
  <c r="N90" i="17"/>
  <c r="CJ46" i="17"/>
  <c r="AL45" i="17"/>
  <c r="AQ45" i="17" s="1"/>
  <c r="Z49" i="17"/>
  <c r="BV48" i="17"/>
  <c r="E119" i="17"/>
  <c r="AQ49" i="17"/>
  <c r="AP90" i="17"/>
  <c r="Z48" i="17"/>
  <c r="Z45" i="17"/>
  <c r="Z44" i="17"/>
  <c r="AL47" i="17"/>
  <c r="BV46" i="17"/>
  <c r="BJ45" i="17"/>
  <c r="CJ49" i="17"/>
  <c r="CM49" i="17"/>
  <c r="CM45" i="17"/>
  <c r="CN42" i="17" l="1"/>
  <c r="P42" i="17" s="1"/>
  <c r="AB89" i="17"/>
  <c r="AB88" i="17" s="1"/>
  <c r="BP48" i="17"/>
  <c r="AA43" i="17"/>
  <c r="BW44" i="17"/>
  <c r="CH44" i="17"/>
  <c r="CN50" i="17"/>
  <c r="P50" i="17" s="1"/>
  <c r="AM50" i="17"/>
  <c r="CY50" i="17"/>
  <c r="CZ50" i="17" s="1"/>
  <c r="AR43" i="17"/>
  <c r="BK43" i="17"/>
  <c r="BD43" i="17"/>
  <c r="AA44" i="17"/>
  <c r="BP43" i="17"/>
  <c r="AA46" i="17"/>
  <c r="BP44" i="17"/>
  <c r="AY50" i="17"/>
  <c r="AM46" i="17"/>
  <c r="CN47" i="17"/>
  <c r="P47" i="17" s="1"/>
  <c r="CB47" i="17"/>
  <c r="CN46" i="17"/>
  <c r="P46" i="17" s="1"/>
  <c r="BD46" i="17"/>
  <c r="AY46" i="17"/>
  <c r="CH42" i="17"/>
  <c r="AR42" i="17"/>
  <c r="CK46" i="17"/>
  <c r="O46" i="17" s="1"/>
  <c r="AY42" i="17"/>
  <c r="BK42" i="17"/>
  <c r="CB42" i="17"/>
  <c r="I45" i="17"/>
  <c r="J45" i="17" s="1"/>
  <c r="BW43" i="17"/>
  <c r="CH46" i="17"/>
  <c r="AA42" i="17"/>
  <c r="BW42" i="17"/>
  <c r="BK47" i="17"/>
  <c r="AY44" i="17"/>
  <c r="BP46" i="17"/>
  <c r="BK46" i="17"/>
  <c r="CS46" i="17"/>
  <c r="CT46" i="17" s="1"/>
  <c r="Q46" i="17" s="1"/>
  <c r="AM43" i="17"/>
  <c r="AM42" i="17"/>
  <c r="AQ46" i="17"/>
  <c r="AR46" i="17" s="1"/>
  <c r="BP42" i="17"/>
  <c r="CH49" i="17"/>
  <c r="CS49" i="17"/>
  <c r="CT49" i="17" s="1"/>
  <c r="CS48" i="17"/>
  <c r="CT48" i="17" s="1"/>
  <c r="CY48" i="17"/>
  <c r="CZ48" i="17" s="1"/>
  <c r="BK48" i="17"/>
  <c r="CB49" i="17"/>
  <c r="AA48" i="17"/>
  <c r="AY49" i="17"/>
  <c r="AM48" i="17"/>
  <c r="BW49" i="17"/>
  <c r="BO45" i="17"/>
  <c r="AP89" i="17"/>
  <c r="AQ90" i="17"/>
  <c r="O90" i="17"/>
  <c r="N89" i="17"/>
  <c r="AR48" i="17"/>
  <c r="AM47" i="17"/>
  <c r="AQ47" i="17"/>
  <c r="AR47" i="17" s="1"/>
  <c r="CY49" i="17"/>
  <c r="CZ49" i="17" s="1"/>
  <c r="CK48" i="17"/>
  <c r="O48" i="17" s="1"/>
  <c r="AA49" i="17"/>
  <c r="CK50" i="17"/>
  <c r="O50" i="17" s="1"/>
  <c r="CH50" i="17"/>
  <c r="BW50" i="17"/>
  <c r="BP50" i="17"/>
  <c r="AR50" i="17"/>
  <c r="AA50" i="17"/>
  <c r="CY42" i="17"/>
  <c r="CZ42" i="17" s="1"/>
  <c r="CK42" i="17"/>
  <c r="O42" i="17" s="1"/>
  <c r="CS42" i="17"/>
  <c r="CT42" i="17" s="1"/>
  <c r="CY44" i="17"/>
  <c r="CZ44" i="17" s="1"/>
  <c r="CS44" i="17"/>
  <c r="CT44" i="17" s="1"/>
  <c r="AM44" i="17"/>
  <c r="AR44" i="17"/>
  <c r="CS50" i="17"/>
  <c r="CT50" i="17" s="1"/>
  <c r="CK43" i="17"/>
  <c r="O43" i="17" s="1"/>
  <c r="AX90" i="17"/>
  <c r="AW89" i="17"/>
  <c r="AB33" i="17"/>
  <c r="AB36" i="17"/>
  <c r="AB39" i="17"/>
  <c r="AC33" i="17"/>
  <c r="AC36" i="17"/>
  <c r="AC39" i="17"/>
  <c r="AB43" i="17"/>
  <c r="AB49" i="17"/>
  <c r="AC41" i="17"/>
  <c r="AB32" i="17"/>
  <c r="AB38" i="17"/>
  <c r="AC35" i="17"/>
  <c r="AC43" i="17"/>
  <c r="AB48" i="17"/>
  <c r="AC40" i="17"/>
  <c r="AB41" i="17"/>
  <c r="AB45" i="17"/>
  <c r="AB37" i="17"/>
  <c r="AC45" i="17"/>
  <c r="AB47" i="17"/>
  <c r="AC34" i="17"/>
  <c r="AB35" i="17"/>
  <c r="AC38" i="17"/>
  <c r="AC42" i="17"/>
  <c r="AB34" i="17"/>
  <c r="AC37" i="17"/>
  <c r="AB42" i="17"/>
  <c r="AC47" i="17"/>
  <c r="AC49" i="17"/>
  <c r="AB40" i="17"/>
  <c r="AB46" i="17"/>
  <c r="AB44" i="17"/>
  <c r="AC46" i="17"/>
  <c r="AC44" i="17"/>
  <c r="AC48" i="17"/>
  <c r="AC32" i="17"/>
  <c r="AB50" i="17"/>
  <c r="AC50" i="17"/>
  <c r="BC44" i="17"/>
  <c r="BD44" i="17" s="1"/>
  <c r="CH47" i="17"/>
  <c r="CY47" i="17"/>
  <c r="CZ47" i="17" s="1"/>
  <c r="CS47" i="17"/>
  <c r="CT47" i="17" s="1"/>
  <c r="CK47" i="17"/>
  <c r="O47" i="17" s="1"/>
  <c r="BD49" i="17"/>
  <c r="BW48" i="17"/>
  <c r="BK49" i="17"/>
  <c r="U89" i="17"/>
  <c r="V90" i="17"/>
  <c r="BD48" i="17"/>
  <c r="CN49" i="17"/>
  <c r="P49" i="17" s="1"/>
  <c r="AY48" i="17"/>
  <c r="CK49" i="17"/>
  <c r="O49" i="17" s="1"/>
  <c r="AM49" i="17"/>
  <c r="CA48" i="17"/>
  <c r="CB48" i="17" s="1"/>
  <c r="CY43" i="17"/>
  <c r="CZ43" i="17" s="1"/>
  <c r="CB43" i="17"/>
  <c r="AY43" i="17"/>
  <c r="CS43" i="17"/>
  <c r="CT43" i="17" s="1"/>
  <c r="BD42" i="17"/>
  <c r="BC50" i="17"/>
  <c r="BD50" i="17" s="1"/>
  <c r="BW46" i="17"/>
  <c r="CA46" i="17"/>
  <c r="CB46" i="17" s="1"/>
  <c r="BK44" i="17"/>
  <c r="CB50" i="17"/>
  <c r="BW47" i="17"/>
  <c r="AY47" i="17"/>
  <c r="CH43" i="17"/>
  <c r="BD47" i="17"/>
  <c r="BK50" i="17"/>
  <c r="AR49" i="17"/>
  <c r="AI89" i="17"/>
  <c r="AJ90" i="17"/>
  <c r="CN43" i="17"/>
  <c r="P43" i="17" s="1"/>
  <c r="CK44" i="17"/>
  <c r="O44" i="17" s="1"/>
  <c r="E90" i="17"/>
  <c r="AI41" i="17"/>
  <c r="AL41" i="17" s="1"/>
  <c r="BP49" i="17"/>
  <c r="AA47" i="17"/>
  <c r="CN48" i="17"/>
  <c r="P48" i="17" s="1"/>
  <c r="CB44" i="17"/>
  <c r="BP47" i="17"/>
  <c r="CN44" i="17"/>
  <c r="P44" i="17" s="1"/>
  <c r="Y26" i="44"/>
  <c r="K50" i="17" l="1"/>
  <c r="AC89" i="17"/>
  <c r="AI40" i="17" s="1"/>
  <c r="AL40" i="17" s="1"/>
  <c r="K43" i="17"/>
  <c r="Q47" i="17"/>
  <c r="R47" i="17" s="1"/>
  <c r="AD40" i="17"/>
  <c r="AD37" i="17"/>
  <c r="Q44" i="17"/>
  <c r="R44" i="17" s="1"/>
  <c r="L48" i="17"/>
  <c r="R46" i="17"/>
  <c r="AD49" i="17"/>
  <c r="AE49" i="17" s="1"/>
  <c r="AF49" i="17" s="1"/>
  <c r="N49" i="17" s="1"/>
  <c r="AD47" i="17"/>
  <c r="DH47" i="17" s="1"/>
  <c r="DI47" i="17" s="1"/>
  <c r="DJ47" i="17" s="1"/>
  <c r="Q50" i="17"/>
  <c r="R50" i="17" s="1"/>
  <c r="AD43" i="17"/>
  <c r="AE43" i="17" s="1"/>
  <c r="AF43" i="17" s="1"/>
  <c r="N43" i="17" s="1"/>
  <c r="CS45" i="17"/>
  <c r="CT45" i="17" s="1"/>
  <c r="BK45" i="17"/>
  <c r="AR45" i="17"/>
  <c r="AY45" i="17"/>
  <c r="AM45" i="17"/>
  <c r="BD45" i="17"/>
  <c r="CN45" i="17"/>
  <c r="P45" i="17" s="1"/>
  <c r="CB45" i="17"/>
  <c r="CK45" i="17"/>
  <c r="O45" i="17" s="1"/>
  <c r="BW45" i="17"/>
  <c r="CH45" i="17"/>
  <c r="CY45" i="17"/>
  <c r="CZ45" i="17" s="1"/>
  <c r="AA45" i="17"/>
  <c r="AD35" i="17"/>
  <c r="AD32" i="17"/>
  <c r="K46" i="17"/>
  <c r="K44" i="17"/>
  <c r="L46" i="17"/>
  <c r="K42" i="17"/>
  <c r="BP45" i="17"/>
  <c r="L43" i="17"/>
  <c r="AD42" i="17"/>
  <c r="AE42" i="17" s="1"/>
  <c r="AF42" i="17" s="1"/>
  <c r="N42" i="17" s="1"/>
  <c r="Q43" i="17"/>
  <c r="R43" i="17" s="1"/>
  <c r="AW88" i="17"/>
  <c r="AX89" i="17"/>
  <c r="AJ89" i="17"/>
  <c r="AI88" i="17"/>
  <c r="AD44" i="17"/>
  <c r="L47" i="17"/>
  <c r="L50" i="17"/>
  <c r="AP88" i="17"/>
  <c r="AQ89" i="17"/>
  <c r="AB87" i="17"/>
  <c r="AC88" i="17"/>
  <c r="G90" i="17"/>
  <c r="AU41" i="17"/>
  <c r="AX41" i="17" s="1"/>
  <c r="AD38" i="17"/>
  <c r="F90" i="17"/>
  <c r="BS41" i="17"/>
  <c r="BV41" i="17" s="1"/>
  <c r="K48" i="17"/>
  <c r="L42" i="17"/>
  <c r="AD46" i="17"/>
  <c r="O89" i="17"/>
  <c r="N88" i="17"/>
  <c r="K47" i="17"/>
  <c r="AD45" i="17"/>
  <c r="B41" i="17"/>
  <c r="H41" i="17" s="1"/>
  <c r="B90" i="17"/>
  <c r="AD41" i="17"/>
  <c r="BG41" i="17"/>
  <c r="BJ41" i="17" s="1"/>
  <c r="C90" i="17"/>
  <c r="AQ41" i="17"/>
  <c r="W41" i="17"/>
  <c r="D90" i="17"/>
  <c r="AD39" i="17"/>
  <c r="K49" i="17"/>
  <c r="V89" i="17"/>
  <c r="U88" i="17"/>
  <c r="AD48" i="17"/>
  <c r="AD36" i="17"/>
  <c r="Q48" i="17"/>
  <c r="R48" i="17" s="1"/>
  <c r="AD50" i="17"/>
  <c r="AD34" i="17"/>
  <c r="AD33" i="17"/>
  <c r="Q49" i="17"/>
  <c r="R49" i="17" s="1"/>
  <c r="L44" i="17"/>
  <c r="Q42" i="17"/>
  <c r="R42" i="17" s="1"/>
  <c r="L49" i="17"/>
  <c r="D187" i="44"/>
  <c r="E187" i="44"/>
  <c r="F187" i="44"/>
  <c r="G187" i="44"/>
  <c r="H187" i="44"/>
  <c r="I187" i="44"/>
  <c r="J187" i="44"/>
  <c r="K187" i="44"/>
  <c r="L187" i="44"/>
  <c r="M187" i="44"/>
  <c r="N187" i="44"/>
  <c r="O187" i="44"/>
  <c r="P187" i="44"/>
  <c r="Q187" i="44"/>
  <c r="R187" i="44"/>
  <c r="S187" i="44"/>
  <c r="T187" i="44"/>
  <c r="U187" i="44"/>
  <c r="V187" i="44"/>
  <c r="W187" i="44"/>
  <c r="X187" i="44"/>
  <c r="Y187" i="44"/>
  <c r="Z187" i="44"/>
  <c r="AA187" i="44"/>
  <c r="AB187" i="44"/>
  <c r="AC187" i="44"/>
  <c r="AD187" i="44"/>
  <c r="AE187" i="44"/>
  <c r="AF187" i="44"/>
  <c r="AG187" i="44"/>
  <c r="AH187" i="44"/>
  <c r="AI187" i="44"/>
  <c r="AJ187" i="44"/>
  <c r="M50" i="17" l="1"/>
  <c r="M43" i="17"/>
  <c r="E89" i="17"/>
  <c r="B131" i="17"/>
  <c r="DH42" i="17"/>
  <c r="DI42" i="17" s="1"/>
  <c r="DJ42" i="17" s="1"/>
  <c r="B133" i="17"/>
  <c r="M48" i="17"/>
  <c r="B135" i="17"/>
  <c r="S42" i="17"/>
  <c r="T42" i="17" s="1"/>
  <c r="AE47" i="17"/>
  <c r="AF47" i="17" s="1"/>
  <c r="N47" i="17" s="1"/>
  <c r="S47" i="17" s="1"/>
  <c r="T47" i="17" s="1"/>
  <c r="DH43" i="17"/>
  <c r="DI43" i="17" s="1"/>
  <c r="DJ43" i="17" s="1"/>
  <c r="L45" i="17"/>
  <c r="B134" i="17"/>
  <c r="H90" i="17"/>
  <c r="DC41" i="17" s="1"/>
  <c r="DG41" i="17" s="1"/>
  <c r="M49" i="17"/>
  <c r="M47" i="17"/>
  <c r="M46" i="17"/>
  <c r="B130" i="17"/>
  <c r="S43" i="17"/>
  <c r="T43" i="17" s="1"/>
  <c r="M44" i="17"/>
  <c r="M42" i="17"/>
  <c r="K45" i="17"/>
  <c r="Q45" i="17"/>
  <c r="R45" i="17" s="1"/>
  <c r="B136" i="17"/>
  <c r="DH49" i="17"/>
  <c r="DI49" i="17" s="1"/>
  <c r="DJ49" i="17" s="1"/>
  <c r="AQ40" i="17"/>
  <c r="AE50" i="17"/>
  <c r="AF50" i="17" s="1"/>
  <c r="N50" i="17" s="1"/>
  <c r="S50" i="17" s="1"/>
  <c r="T50" i="17" s="1"/>
  <c r="DH50" i="17"/>
  <c r="DI50" i="17" s="1"/>
  <c r="DJ50" i="17" s="1"/>
  <c r="AJ88" i="17"/>
  <c r="AI87" i="17"/>
  <c r="O88" i="17"/>
  <c r="N87" i="17"/>
  <c r="AC87" i="17"/>
  <c r="AB86" i="17"/>
  <c r="B89" i="17"/>
  <c r="B40" i="17"/>
  <c r="H40" i="17" s="1"/>
  <c r="AQ88" i="17"/>
  <c r="AP87" i="17"/>
  <c r="BS40" i="17"/>
  <c r="BV40" i="17" s="1"/>
  <c r="F89" i="17"/>
  <c r="S49" i="17"/>
  <c r="T49" i="17" s="1"/>
  <c r="AE44" i="17"/>
  <c r="AF44" i="17" s="1"/>
  <c r="N44" i="17" s="1"/>
  <c r="S44" i="17" s="1"/>
  <c r="T44" i="17" s="1"/>
  <c r="DH44" i="17"/>
  <c r="DI44" i="17" s="1"/>
  <c r="DJ44" i="17" s="1"/>
  <c r="AE46" i="17"/>
  <c r="AF46" i="17" s="1"/>
  <c r="N46" i="17" s="1"/>
  <c r="S46" i="17" s="1"/>
  <c r="T46" i="17" s="1"/>
  <c r="DH46" i="17"/>
  <c r="DI46" i="17" s="1"/>
  <c r="DJ46" i="17" s="1"/>
  <c r="BC41" i="17"/>
  <c r="DH45" i="17"/>
  <c r="DI45" i="17" s="1"/>
  <c r="DJ45" i="17" s="1"/>
  <c r="AE45" i="17"/>
  <c r="AF45" i="17" s="1"/>
  <c r="N45" i="17" s="1"/>
  <c r="I41" i="17"/>
  <c r="J41" i="17" s="1"/>
  <c r="Z41" i="17"/>
  <c r="AI39" i="17"/>
  <c r="AL39" i="17" s="1"/>
  <c r="E88" i="17"/>
  <c r="AU40" i="17"/>
  <c r="AX40" i="17" s="1"/>
  <c r="G89" i="17"/>
  <c r="BG40" i="17"/>
  <c r="BJ40" i="17" s="1"/>
  <c r="C89" i="17"/>
  <c r="B129" i="17"/>
  <c r="AE48" i="17"/>
  <c r="AF48" i="17" s="1"/>
  <c r="N48" i="17" s="1"/>
  <c r="S48" i="17" s="1"/>
  <c r="T48" i="17" s="1"/>
  <c r="DH48" i="17"/>
  <c r="DI48" i="17" s="1"/>
  <c r="DJ48" i="17" s="1"/>
  <c r="AW87" i="17"/>
  <c r="AX88" i="17"/>
  <c r="U87" i="17"/>
  <c r="V88" i="17"/>
  <c r="BO41" i="17"/>
  <c r="CA41" i="17"/>
  <c r="W40" i="17"/>
  <c r="D89" i="17"/>
  <c r="B137" i="17"/>
  <c r="D39" i="44"/>
  <c r="E39" i="44"/>
  <c r="F39" i="44"/>
  <c r="G39" i="44"/>
  <c r="H39" i="44"/>
  <c r="I39" i="44"/>
  <c r="J39" i="44"/>
  <c r="K39" i="44"/>
  <c r="L39" i="44"/>
  <c r="M39" i="44"/>
  <c r="C39" i="44"/>
  <c r="E230" i="44"/>
  <c r="D230" i="44"/>
  <c r="C230" i="44"/>
  <c r="E228" i="44"/>
  <c r="D228" i="44"/>
  <c r="C228" i="44"/>
  <c r="E226" i="44"/>
  <c r="D226" i="44"/>
  <c r="C226" i="44"/>
  <c r="M45" i="17" l="1"/>
  <c r="B132" i="17"/>
  <c r="B138" i="17" s="1"/>
  <c r="S45" i="17"/>
  <c r="T45" i="17" s="1"/>
  <c r="AM41" i="17"/>
  <c r="AR41" i="17"/>
  <c r="L41" i="17"/>
  <c r="BK41" i="17"/>
  <c r="BW41" i="17"/>
  <c r="AY41" i="17"/>
  <c r="N86" i="17"/>
  <c r="O87" i="17"/>
  <c r="CB41" i="17"/>
  <c r="BD41" i="17"/>
  <c r="BP41" i="17"/>
  <c r="AP86" i="17"/>
  <c r="AQ87" i="17"/>
  <c r="D88" i="17"/>
  <c r="W39" i="17"/>
  <c r="AQ39" i="17"/>
  <c r="AU39" i="17"/>
  <c r="AX39" i="17" s="1"/>
  <c r="G88" i="17"/>
  <c r="CA40" i="17"/>
  <c r="BO40" i="17"/>
  <c r="BG39" i="17"/>
  <c r="BJ39" i="17" s="1"/>
  <c r="C88" i="17"/>
  <c r="BC40" i="17"/>
  <c r="V87" i="17"/>
  <c r="U86" i="17"/>
  <c r="H89" i="17"/>
  <c r="DC40" i="17" s="1"/>
  <c r="DG40" i="17" s="1"/>
  <c r="F88" i="17"/>
  <c r="BS39" i="17"/>
  <c r="BV39" i="17" s="1"/>
  <c r="AB85" i="17"/>
  <c r="AC86" i="17"/>
  <c r="AX87" i="17"/>
  <c r="AW86" i="17"/>
  <c r="AA41" i="17"/>
  <c r="AE41" i="17"/>
  <c r="AF41" i="17" s="1"/>
  <c r="AI38" i="17"/>
  <c r="AL38" i="17" s="1"/>
  <c r="E87" i="17"/>
  <c r="B88" i="17"/>
  <c r="B39" i="17"/>
  <c r="H39" i="17" s="1"/>
  <c r="I40" i="17"/>
  <c r="J40" i="17" s="1"/>
  <c r="Z40" i="17"/>
  <c r="AI86" i="17"/>
  <c r="AJ87" i="17"/>
  <c r="G212" i="44"/>
  <c r="G213" i="44" s="1"/>
  <c r="G214" i="44" s="1"/>
  <c r="S212" i="44"/>
  <c r="S213" i="44" s="1"/>
  <c r="S214" i="44" s="1"/>
  <c r="AE212" i="44"/>
  <c r="AE213" i="44" s="1"/>
  <c r="AE214" i="44" s="1"/>
  <c r="H212" i="44"/>
  <c r="H213" i="44" s="1"/>
  <c r="H214" i="44" s="1"/>
  <c r="T212" i="44"/>
  <c r="T213" i="44" s="1"/>
  <c r="T214" i="44" s="1"/>
  <c r="AF212" i="44"/>
  <c r="AF213" i="44" s="1"/>
  <c r="AF214" i="44" s="1"/>
  <c r="I212" i="44"/>
  <c r="I213" i="44" s="1"/>
  <c r="I214" i="44" s="1"/>
  <c r="U212" i="44"/>
  <c r="U213" i="44" s="1"/>
  <c r="U214" i="44" s="1"/>
  <c r="AG212" i="44"/>
  <c r="AG213" i="44" s="1"/>
  <c r="AG214" i="44" s="1"/>
  <c r="J212" i="44"/>
  <c r="J213" i="44" s="1"/>
  <c r="J214" i="44" s="1"/>
  <c r="V212" i="44"/>
  <c r="V213" i="44" s="1"/>
  <c r="V214" i="44" s="1"/>
  <c r="AH212" i="44"/>
  <c r="AH213" i="44" s="1"/>
  <c r="AH214" i="44" s="1"/>
  <c r="K212" i="44"/>
  <c r="K213" i="44" s="1"/>
  <c r="K214" i="44" s="1"/>
  <c r="W212" i="44"/>
  <c r="W213" i="44" s="1"/>
  <c r="W214" i="44" s="1"/>
  <c r="AI212" i="44"/>
  <c r="AI213" i="44" s="1"/>
  <c r="AI214" i="44" s="1"/>
  <c r="L212" i="44"/>
  <c r="L213" i="44" s="1"/>
  <c r="L214" i="44" s="1"/>
  <c r="F212" i="44"/>
  <c r="F213" i="44" s="1"/>
  <c r="F214" i="44" s="1"/>
  <c r="AC212" i="44"/>
  <c r="AC213" i="44" s="1"/>
  <c r="AC214" i="44" s="1"/>
  <c r="Z212" i="44"/>
  <c r="Z213" i="44" s="1"/>
  <c r="Z214" i="44" s="1"/>
  <c r="AB212" i="44"/>
  <c r="AB213" i="44" s="1"/>
  <c r="AB214" i="44" s="1"/>
  <c r="M212" i="44"/>
  <c r="M213" i="44" s="1"/>
  <c r="M214" i="44" s="1"/>
  <c r="AD212" i="44"/>
  <c r="AD213" i="44" s="1"/>
  <c r="AD214" i="44" s="1"/>
  <c r="N212" i="44"/>
  <c r="N213" i="44" s="1"/>
  <c r="N214" i="44" s="1"/>
  <c r="AJ212" i="44"/>
  <c r="AJ213" i="44" s="1"/>
  <c r="AJ214" i="44" s="1"/>
  <c r="O212" i="44"/>
  <c r="O213" i="44" s="1"/>
  <c r="O214" i="44" s="1"/>
  <c r="P212" i="44"/>
  <c r="P213" i="44" s="1"/>
  <c r="P214" i="44" s="1"/>
  <c r="C212" i="44"/>
  <c r="Q212" i="44"/>
  <c r="Q213" i="44" s="1"/>
  <c r="Q214" i="44" s="1"/>
  <c r="R212" i="44"/>
  <c r="R213" i="44" s="1"/>
  <c r="R214" i="44" s="1"/>
  <c r="X212" i="44"/>
  <c r="X213" i="44" s="1"/>
  <c r="X214" i="44" s="1"/>
  <c r="Y212" i="44"/>
  <c r="Y213" i="44" s="1"/>
  <c r="Y214" i="44" s="1"/>
  <c r="D212" i="44"/>
  <c r="D213" i="44" s="1"/>
  <c r="D214" i="44" s="1"/>
  <c r="AA212" i="44"/>
  <c r="AA213" i="44" s="1"/>
  <c r="AA214" i="44" s="1"/>
  <c r="E212" i="44"/>
  <c r="E213" i="44" s="1"/>
  <c r="E214" i="44" s="1"/>
  <c r="AA210" i="44"/>
  <c r="AA211" i="44" s="1"/>
  <c r="E210" i="44"/>
  <c r="E211" i="44" s="1"/>
  <c r="Q210" i="44"/>
  <c r="Q211" i="44" s="1"/>
  <c r="AB210" i="44"/>
  <c r="AB211" i="44" s="1"/>
  <c r="F210" i="44"/>
  <c r="F211" i="44" s="1"/>
  <c r="AC210" i="44"/>
  <c r="AC211" i="44" s="1"/>
  <c r="G210" i="44"/>
  <c r="G211" i="44" s="1"/>
  <c r="C210" i="44"/>
  <c r="C211" i="44" s="1"/>
  <c r="AD210" i="44"/>
  <c r="AD211" i="44" s="1"/>
  <c r="H210" i="44"/>
  <c r="H211" i="44" s="1"/>
  <c r="S210" i="44"/>
  <c r="S211" i="44" s="1"/>
  <c r="AE210" i="44"/>
  <c r="AE211" i="44" s="1"/>
  <c r="I210" i="44"/>
  <c r="I211" i="44" s="1"/>
  <c r="AG210" i="44"/>
  <c r="AG211" i="44" s="1"/>
  <c r="D210" i="44"/>
  <c r="D211" i="44" s="1"/>
  <c r="T210" i="44"/>
  <c r="T211" i="44" s="1"/>
  <c r="M210" i="44"/>
  <c r="M211" i="44" s="1"/>
  <c r="N210" i="44"/>
  <c r="N211" i="44" s="1"/>
  <c r="Z210" i="44"/>
  <c r="Z211" i="44" s="1"/>
  <c r="AF210" i="44"/>
  <c r="AF211" i="44" s="1"/>
  <c r="AH210" i="44"/>
  <c r="AH211" i="44" s="1"/>
  <c r="J210" i="44"/>
  <c r="J211" i="44" s="1"/>
  <c r="AI210" i="44"/>
  <c r="AI211" i="44" s="1"/>
  <c r="K210" i="44"/>
  <c r="K211" i="44" s="1"/>
  <c r="AJ210" i="44"/>
  <c r="AJ211" i="44" s="1"/>
  <c r="L210" i="44"/>
  <c r="L211" i="44" s="1"/>
  <c r="U210" i="44"/>
  <c r="U211" i="44" s="1"/>
  <c r="V210" i="44"/>
  <c r="V211" i="44" s="1"/>
  <c r="O210" i="44"/>
  <c r="O211" i="44" s="1"/>
  <c r="W210" i="44"/>
  <c r="W211" i="44" s="1"/>
  <c r="P210" i="44"/>
  <c r="P211" i="44" s="1"/>
  <c r="X210" i="44"/>
  <c r="X211" i="44" s="1"/>
  <c r="Y210" i="44"/>
  <c r="Y211" i="44" s="1"/>
  <c r="R210" i="44"/>
  <c r="R211" i="44" s="1"/>
  <c r="T215" i="44"/>
  <c r="T216" i="44" s="1"/>
  <c r="T217" i="44" s="1"/>
  <c r="AF215" i="44"/>
  <c r="AF216" i="44" s="1"/>
  <c r="AF217" i="44" s="1"/>
  <c r="I215" i="44"/>
  <c r="I216" i="44" s="1"/>
  <c r="I217" i="44" s="1"/>
  <c r="U215" i="44"/>
  <c r="U216" i="44" s="1"/>
  <c r="U217" i="44" s="1"/>
  <c r="AG215" i="44"/>
  <c r="AG216" i="44" s="1"/>
  <c r="AG217" i="44" s="1"/>
  <c r="J215" i="44"/>
  <c r="J216" i="44" s="1"/>
  <c r="J217" i="44" s="1"/>
  <c r="V215" i="44"/>
  <c r="V216" i="44" s="1"/>
  <c r="V217" i="44" s="1"/>
  <c r="AH215" i="44"/>
  <c r="AH216" i="44" s="1"/>
  <c r="AH217" i="44" s="1"/>
  <c r="K215" i="44"/>
  <c r="K216" i="44" s="1"/>
  <c r="K217" i="44" s="1"/>
  <c r="W215" i="44"/>
  <c r="W216" i="44" s="1"/>
  <c r="W217" i="44" s="1"/>
  <c r="AI215" i="44"/>
  <c r="AI216" i="44" s="1"/>
  <c r="AI217" i="44" s="1"/>
  <c r="L215" i="44"/>
  <c r="L216" i="44" s="1"/>
  <c r="L217" i="44" s="1"/>
  <c r="X215" i="44"/>
  <c r="X216" i="44" s="1"/>
  <c r="X217" i="44" s="1"/>
  <c r="AJ215" i="44"/>
  <c r="AJ216" i="44" s="1"/>
  <c r="AJ217" i="44" s="1"/>
  <c r="M215" i="44"/>
  <c r="M216" i="44" s="1"/>
  <c r="M217" i="44" s="1"/>
  <c r="Y215" i="44"/>
  <c r="Y216" i="44" s="1"/>
  <c r="Y217" i="44" s="1"/>
  <c r="N215" i="44"/>
  <c r="N216" i="44" s="1"/>
  <c r="N217" i="44" s="1"/>
  <c r="S215" i="44"/>
  <c r="S216" i="44" s="1"/>
  <c r="S217" i="44" s="1"/>
  <c r="E215" i="44"/>
  <c r="E216" i="44" s="1"/>
  <c r="E217" i="44" s="1"/>
  <c r="F215" i="44"/>
  <c r="F216" i="44" s="1"/>
  <c r="F217" i="44" s="1"/>
  <c r="G215" i="44"/>
  <c r="G216" i="44" s="1"/>
  <c r="G217" i="44" s="1"/>
  <c r="O215" i="44"/>
  <c r="O216" i="44" s="1"/>
  <c r="O217" i="44" s="1"/>
  <c r="P215" i="44"/>
  <c r="P216" i="44" s="1"/>
  <c r="P217" i="44" s="1"/>
  <c r="Q215" i="44"/>
  <c r="Q216" i="44" s="1"/>
  <c r="Q217" i="44" s="1"/>
  <c r="Z215" i="44"/>
  <c r="Z216" i="44" s="1"/>
  <c r="Z217" i="44" s="1"/>
  <c r="R215" i="44"/>
  <c r="R216" i="44" s="1"/>
  <c r="R217" i="44" s="1"/>
  <c r="AA215" i="44"/>
  <c r="AA216" i="44" s="1"/>
  <c r="AA217" i="44" s="1"/>
  <c r="D215" i="44"/>
  <c r="D216" i="44" s="1"/>
  <c r="D217" i="44" s="1"/>
  <c r="AB215" i="44"/>
  <c r="AB216" i="44" s="1"/>
  <c r="AB217" i="44" s="1"/>
  <c r="AC215" i="44"/>
  <c r="AC216" i="44" s="1"/>
  <c r="AC217" i="44" s="1"/>
  <c r="AD215" i="44"/>
  <c r="AD216" i="44" s="1"/>
  <c r="AD217" i="44" s="1"/>
  <c r="AE215" i="44"/>
  <c r="AE216" i="44" s="1"/>
  <c r="AE217" i="44" s="1"/>
  <c r="H215" i="44"/>
  <c r="H216" i="44" s="1"/>
  <c r="H217" i="44" s="1"/>
  <c r="C215" i="44"/>
  <c r="AF188" i="44"/>
  <c r="AF189" i="44" s="1"/>
  <c r="AI188" i="44"/>
  <c r="AI189" i="44" s="1"/>
  <c r="L188" i="44"/>
  <c r="L189" i="44" s="1"/>
  <c r="AE188" i="44"/>
  <c r="AE189" i="44" s="1"/>
  <c r="W188" i="44"/>
  <c r="W189" i="44" s="1"/>
  <c r="H188" i="44"/>
  <c r="H189" i="44" s="1"/>
  <c r="AJ188" i="44"/>
  <c r="AJ189" i="44" s="1"/>
  <c r="Y188" i="44"/>
  <c r="Y189" i="44" s="1"/>
  <c r="J188" i="44"/>
  <c r="J189" i="44" s="1"/>
  <c r="S188" i="44"/>
  <c r="S189" i="44" s="1"/>
  <c r="T188" i="44"/>
  <c r="T189" i="44" s="1"/>
  <c r="X188" i="44"/>
  <c r="X189" i="44" s="1"/>
  <c r="Z188" i="44"/>
  <c r="Z189" i="44" s="1"/>
  <c r="AH188" i="44"/>
  <c r="AH189" i="44" s="1"/>
  <c r="G188" i="44"/>
  <c r="G189" i="44" s="1"/>
  <c r="I188" i="44"/>
  <c r="I189" i="44" s="1"/>
  <c r="K188" i="44"/>
  <c r="K189" i="44" s="1"/>
  <c r="AA188" i="44"/>
  <c r="AA189" i="44" s="1"/>
  <c r="V188" i="44"/>
  <c r="V189" i="44" s="1"/>
  <c r="P188" i="44"/>
  <c r="P189" i="44" s="1"/>
  <c r="U188" i="44"/>
  <c r="U189" i="44" s="1"/>
  <c r="D188" i="44"/>
  <c r="D189" i="44" s="1"/>
  <c r="R188" i="44"/>
  <c r="R189" i="44" s="1"/>
  <c r="F188" i="44"/>
  <c r="F189" i="44" s="1"/>
  <c r="O188" i="44"/>
  <c r="O189" i="44" s="1"/>
  <c r="N188" i="44"/>
  <c r="N189" i="44" s="1"/>
  <c r="AG188" i="44"/>
  <c r="AG189" i="44" s="1"/>
  <c r="AD188" i="44"/>
  <c r="AD189" i="44" s="1"/>
  <c r="AC188" i="44"/>
  <c r="AC189" i="44" s="1"/>
  <c r="Q188" i="44"/>
  <c r="Q189" i="44" s="1"/>
  <c r="E188" i="44"/>
  <c r="E189" i="44" s="1"/>
  <c r="M188" i="44"/>
  <c r="M189" i="44" s="1"/>
  <c r="AB188" i="44"/>
  <c r="AB189" i="44" s="1"/>
  <c r="N100" i="44"/>
  <c r="N101" i="44" s="1"/>
  <c r="Z100" i="44"/>
  <c r="Z101" i="44" s="1"/>
  <c r="I100" i="44"/>
  <c r="I101" i="44" s="1"/>
  <c r="AB100" i="44"/>
  <c r="AB101" i="44" s="1"/>
  <c r="D100" i="44"/>
  <c r="D101" i="44" s="1"/>
  <c r="AH100" i="44"/>
  <c r="AH101" i="44" s="1"/>
  <c r="E100" i="44"/>
  <c r="E101" i="44" s="1"/>
  <c r="AI100" i="44"/>
  <c r="AI101" i="44" s="1"/>
  <c r="H100" i="44"/>
  <c r="H101" i="44" s="1"/>
  <c r="O100" i="44"/>
  <c r="O101" i="44" s="1"/>
  <c r="AA100" i="44"/>
  <c r="AA101" i="44" s="1"/>
  <c r="J100" i="44"/>
  <c r="J101" i="44" s="1"/>
  <c r="P100" i="44"/>
  <c r="P101" i="44" s="1"/>
  <c r="K100" i="44"/>
  <c r="K101" i="44" s="1"/>
  <c r="S100" i="44"/>
  <c r="S101" i="44" s="1"/>
  <c r="C100" i="44"/>
  <c r="C101" i="44" s="1"/>
  <c r="T100" i="44"/>
  <c r="T101" i="44" s="1"/>
  <c r="U100" i="44"/>
  <c r="U101" i="44" s="1"/>
  <c r="V100" i="44"/>
  <c r="V101" i="44" s="1"/>
  <c r="W100" i="44"/>
  <c r="W101" i="44" s="1"/>
  <c r="Y100" i="44"/>
  <c r="Y101" i="44" s="1"/>
  <c r="Q100" i="44"/>
  <c r="Q101" i="44" s="1"/>
  <c r="AC100" i="44"/>
  <c r="AC101" i="44" s="1"/>
  <c r="L100" i="44"/>
  <c r="L101" i="44" s="1"/>
  <c r="R100" i="44"/>
  <c r="R101" i="44" s="1"/>
  <c r="AD100" i="44"/>
  <c r="AD101" i="44" s="1"/>
  <c r="M100" i="44"/>
  <c r="M101" i="44" s="1"/>
  <c r="AE100" i="44"/>
  <c r="AE101" i="44" s="1"/>
  <c r="AF100" i="44"/>
  <c r="AF101" i="44" s="1"/>
  <c r="AG100" i="44"/>
  <c r="AG101" i="44" s="1"/>
  <c r="X100" i="44"/>
  <c r="X101" i="44" s="1"/>
  <c r="F100" i="44"/>
  <c r="F101" i="44" s="1"/>
  <c r="AJ100" i="44"/>
  <c r="AJ101" i="44" s="1"/>
  <c r="G100" i="44"/>
  <c r="G101" i="44" s="1"/>
  <c r="I57" i="44"/>
  <c r="N102" i="44"/>
  <c r="N103" i="44" s="1"/>
  <c r="N104" i="44" s="1"/>
  <c r="Z102" i="44"/>
  <c r="Z103" i="44" s="1"/>
  <c r="Z104" i="44" s="1"/>
  <c r="K102" i="44"/>
  <c r="K103" i="44" s="1"/>
  <c r="K104" i="44" s="1"/>
  <c r="P102" i="44"/>
  <c r="P103" i="44" s="1"/>
  <c r="P104" i="44" s="1"/>
  <c r="AB102" i="44"/>
  <c r="AB103" i="44" s="1"/>
  <c r="AB104" i="44" s="1"/>
  <c r="C102" i="44"/>
  <c r="C103" i="44" s="1"/>
  <c r="C104" i="44" s="1"/>
  <c r="AF102" i="44"/>
  <c r="AF103" i="44" s="1"/>
  <c r="AF104" i="44" s="1"/>
  <c r="E102" i="44"/>
  <c r="E103" i="44" s="1"/>
  <c r="E104" i="44" s="1"/>
  <c r="U102" i="44"/>
  <c r="U103" i="44" s="1"/>
  <c r="U104" i="44" s="1"/>
  <c r="H102" i="44"/>
  <c r="H103" i="44" s="1"/>
  <c r="H104" i="44" s="1"/>
  <c r="X102" i="44"/>
  <c r="X103" i="44" s="1"/>
  <c r="X104" i="44" s="1"/>
  <c r="AJ102" i="44"/>
  <c r="AJ103" i="44" s="1"/>
  <c r="AJ104" i="44" s="1"/>
  <c r="O102" i="44"/>
  <c r="O103" i="44" s="1"/>
  <c r="O104" i="44" s="1"/>
  <c r="AA102" i="44"/>
  <c r="AA103" i="44" s="1"/>
  <c r="AA104" i="44" s="1"/>
  <c r="L102" i="44"/>
  <c r="L103" i="44" s="1"/>
  <c r="L104" i="44" s="1"/>
  <c r="M102" i="44"/>
  <c r="M103" i="44" s="1"/>
  <c r="M104" i="44" s="1"/>
  <c r="AE102" i="44"/>
  <c r="AE103" i="44" s="1"/>
  <c r="AE104" i="44" s="1"/>
  <c r="D102" i="44"/>
  <c r="D103" i="44" s="1"/>
  <c r="D104" i="44" s="1"/>
  <c r="T102" i="44"/>
  <c r="T103" i="44" s="1"/>
  <c r="T104" i="44" s="1"/>
  <c r="F102" i="44"/>
  <c r="F103" i="44" s="1"/>
  <c r="F104" i="44" s="1"/>
  <c r="AH102" i="44"/>
  <c r="AH103" i="44" s="1"/>
  <c r="AH104" i="44" s="1"/>
  <c r="W102" i="44"/>
  <c r="W103" i="44" s="1"/>
  <c r="W104" i="44" s="1"/>
  <c r="I102" i="44"/>
  <c r="I103" i="44" s="1"/>
  <c r="I104" i="44" s="1"/>
  <c r="Y102" i="44"/>
  <c r="Y103" i="44" s="1"/>
  <c r="Y104" i="44" s="1"/>
  <c r="Q102" i="44"/>
  <c r="Q103" i="44" s="1"/>
  <c r="Q104" i="44" s="1"/>
  <c r="AC102" i="44"/>
  <c r="AC103" i="44" s="1"/>
  <c r="AC104" i="44" s="1"/>
  <c r="R102" i="44"/>
  <c r="R103" i="44" s="1"/>
  <c r="R104" i="44" s="1"/>
  <c r="AD102" i="44"/>
  <c r="AD103" i="44" s="1"/>
  <c r="AD104" i="44" s="1"/>
  <c r="S102" i="44"/>
  <c r="S103" i="44" s="1"/>
  <c r="S104" i="44" s="1"/>
  <c r="AG102" i="44"/>
  <c r="AG103" i="44" s="1"/>
  <c r="AG104" i="44" s="1"/>
  <c r="V102" i="44"/>
  <c r="V103" i="44" s="1"/>
  <c r="V104" i="44" s="1"/>
  <c r="G102" i="44"/>
  <c r="G103" i="44" s="1"/>
  <c r="G104" i="44" s="1"/>
  <c r="AI102" i="44"/>
  <c r="AI103" i="44" s="1"/>
  <c r="AI104" i="44" s="1"/>
  <c r="J102" i="44"/>
  <c r="J103" i="44" s="1"/>
  <c r="J104" i="44" s="1"/>
  <c r="AJ60" i="44"/>
  <c r="Q105" i="44"/>
  <c r="Q106" i="44" s="1"/>
  <c r="Q107" i="44" s="1"/>
  <c r="AC105" i="44"/>
  <c r="AC106" i="44" s="1"/>
  <c r="AC107" i="44" s="1"/>
  <c r="K105" i="44"/>
  <c r="K106" i="44" s="1"/>
  <c r="K107" i="44" s="1"/>
  <c r="M105" i="44"/>
  <c r="M106" i="44" s="1"/>
  <c r="M107" i="44" s="1"/>
  <c r="U105" i="44"/>
  <c r="U106" i="44" s="1"/>
  <c r="U107" i="44" s="1"/>
  <c r="O105" i="44"/>
  <c r="O106" i="44" s="1"/>
  <c r="O107" i="44" s="1"/>
  <c r="AB105" i="44"/>
  <c r="AB106" i="44" s="1"/>
  <c r="AB107" i="44" s="1"/>
  <c r="J105" i="44"/>
  <c r="J106" i="44" s="1"/>
  <c r="J107" i="44" s="1"/>
  <c r="R105" i="44"/>
  <c r="R106" i="44" s="1"/>
  <c r="R107" i="44" s="1"/>
  <c r="AD105" i="44"/>
  <c r="AD106" i="44" s="1"/>
  <c r="AD107" i="44" s="1"/>
  <c r="L105" i="44"/>
  <c r="L106" i="44" s="1"/>
  <c r="L107" i="44" s="1"/>
  <c r="S105" i="44"/>
  <c r="S106" i="44" s="1"/>
  <c r="S107" i="44" s="1"/>
  <c r="AE105" i="44"/>
  <c r="AE106" i="44" s="1"/>
  <c r="AE107" i="44" s="1"/>
  <c r="AH105" i="44"/>
  <c r="AH106" i="44" s="1"/>
  <c r="AH107" i="44" s="1"/>
  <c r="W105" i="44"/>
  <c r="W106" i="44" s="1"/>
  <c r="W107" i="44" s="1"/>
  <c r="AI105" i="44"/>
  <c r="AI106" i="44" s="1"/>
  <c r="AI107" i="44" s="1"/>
  <c r="E105" i="44"/>
  <c r="E106" i="44" s="1"/>
  <c r="E107" i="44" s="1"/>
  <c r="AJ105" i="44"/>
  <c r="AJ106" i="44" s="1"/>
  <c r="AJ107" i="44" s="1"/>
  <c r="F105" i="44"/>
  <c r="F106" i="44" s="1"/>
  <c r="F107" i="44" s="1"/>
  <c r="G105" i="44"/>
  <c r="G106" i="44" s="1"/>
  <c r="G107" i="44" s="1"/>
  <c r="I105" i="44"/>
  <c r="I106" i="44" s="1"/>
  <c r="I107" i="44" s="1"/>
  <c r="T105" i="44"/>
  <c r="T106" i="44" s="1"/>
  <c r="T107" i="44" s="1"/>
  <c r="AF105" i="44"/>
  <c r="AF106" i="44" s="1"/>
  <c r="AF107" i="44" s="1"/>
  <c r="C105" i="44"/>
  <c r="C106" i="44" s="1"/>
  <c r="C107" i="44" s="1"/>
  <c r="AG105" i="44"/>
  <c r="AG106" i="44" s="1"/>
  <c r="AG107" i="44" s="1"/>
  <c r="V105" i="44"/>
  <c r="V106" i="44" s="1"/>
  <c r="V107" i="44" s="1"/>
  <c r="Y105" i="44"/>
  <c r="Y106" i="44" s="1"/>
  <c r="Y107" i="44" s="1"/>
  <c r="N105" i="44"/>
  <c r="N106" i="44" s="1"/>
  <c r="N107" i="44" s="1"/>
  <c r="D105" i="44"/>
  <c r="D106" i="44" s="1"/>
  <c r="D107" i="44" s="1"/>
  <c r="X105" i="44"/>
  <c r="X106" i="44" s="1"/>
  <c r="X107" i="44" s="1"/>
  <c r="Z105" i="44"/>
  <c r="Z106" i="44" s="1"/>
  <c r="Z107" i="44" s="1"/>
  <c r="H105" i="44"/>
  <c r="H106" i="44" s="1"/>
  <c r="H107" i="44" s="1"/>
  <c r="AA105" i="44"/>
  <c r="AA106" i="44" s="1"/>
  <c r="AA107" i="44" s="1"/>
  <c r="P105" i="44"/>
  <c r="P106" i="44" s="1"/>
  <c r="P107" i="44" s="1"/>
  <c r="K55" i="44"/>
  <c r="K56" i="44" s="1"/>
  <c r="D55" i="44"/>
  <c r="D56" i="44" s="1"/>
  <c r="AH57" i="44"/>
  <c r="N60" i="44"/>
  <c r="Y60" i="44"/>
  <c r="Z60" i="44"/>
  <c r="P60" i="44"/>
  <c r="H60" i="44"/>
  <c r="T60" i="44"/>
  <c r="AF60" i="44"/>
  <c r="AB60" i="44"/>
  <c r="I60" i="44"/>
  <c r="U60" i="44"/>
  <c r="AG60" i="44"/>
  <c r="AG57" i="44"/>
  <c r="C60" i="44"/>
  <c r="O60" i="44"/>
  <c r="AA60" i="44"/>
  <c r="D60" i="44"/>
  <c r="E60" i="44"/>
  <c r="Q60" i="44"/>
  <c r="AC60" i="44"/>
  <c r="F60" i="44"/>
  <c r="G60" i="44"/>
  <c r="AJ55" i="44"/>
  <c r="AJ56" i="44" s="1"/>
  <c r="J60" i="44"/>
  <c r="V60" i="44"/>
  <c r="AH60" i="44"/>
  <c r="R60" i="44"/>
  <c r="AE60" i="44"/>
  <c r="X55" i="44"/>
  <c r="X56" i="44" s="1"/>
  <c r="K60" i="44"/>
  <c r="W60" i="44"/>
  <c r="AI60" i="44"/>
  <c r="AD60" i="44"/>
  <c r="S60" i="44"/>
  <c r="J55" i="44"/>
  <c r="J56" i="44" s="1"/>
  <c r="X60" i="44"/>
  <c r="AF57" i="44"/>
  <c r="V57" i="44"/>
  <c r="U57" i="44"/>
  <c r="T57" i="44"/>
  <c r="H57" i="44"/>
  <c r="AH55" i="44"/>
  <c r="AH56" i="44" s="1"/>
  <c r="AG55" i="44"/>
  <c r="AG56" i="44" s="1"/>
  <c r="U55" i="44"/>
  <c r="U56" i="44" s="1"/>
  <c r="G55" i="44"/>
  <c r="G56" i="44" s="1"/>
  <c r="AE57" i="44"/>
  <c r="S57" i="44"/>
  <c r="V55" i="44"/>
  <c r="V56" i="44" s="1"/>
  <c r="AF55" i="44"/>
  <c r="AF56" i="44" s="1"/>
  <c r="T55" i="44"/>
  <c r="T56" i="44" s="1"/>
  <c r="F55" i="44"/>
  <c r="F56" i="44" s="1"/>
  <c r="C57" i="44"/>
  <c r="AD57" i="44"/>
  <c r="R57" i="44"/>
  <c r="AE55" i="44"/>
  <c r="AE56" i="44" s="1"/>
  <c r="S55" i="44"/>
  <c r="S56" i="44" s="1"/>
  <c r="E55" i="44"/>
  <c r="E56" i="44" s="1"/>
  <c r="F57" i="44"/>
  <c r="AC57" i="44"/>
  <c r="Q57" i="44"/>
  <c r="AD55" i="44"/>
  <c r="AD56" i="44" s="1"/>
  <c r="R55" i="44"/>
  <c r="R56" i="44" s="1"/>
  <c r="E57" i="44"/>
  <c r="AB57" i="44"/>
  <c r="P57" i="44"/>
  <c r="AC55" i="44"/>
  <c r="AC56" i="44" s="1"/>
  <c r="Q55" i="44"/>
  <c r="Q56" i="44" s="1"/>
  <c r="D57" i="44"/>
  <c r="AA57" i="44"/>
  <c r="O57" i="44"/>
  <c r="AB55" i="44"/>
  <c r="AB56" i="44" s="1"/>
  <c r="P55" i="44"/>
  <c r="P56" i="44" s="1"/>
  <c r="G57" i="44"/>
  <c r="Z57" i="44"/>
  <c r="N57" i="44"/>
  <c r="AI55" i="44"/>
  <c r="AI56" i="44" s="1"/>
  <c r="W55" i="44"/>
  <c r="W56" i="44" s="1"/>
  <c r="I55" i="44"/>
  <c r="I56" i="44" s="1"/>
  <c r="AA55" i="44"/>
  <c r="AA56" i="44" s="1"/>
  <c r="O55" i="44"/>
  <c r="O56" i="44" s="1"/>
  <c r="Y57" i="44"/>
  <c r="K57" i="44"/>
  <c r="C55" i="44"/>
  <c r="C56" i="44" s="1"/>
  <c r="Z55" i="44"/>
  <c r="Z56" i="44" s="1"/>
  <c r="N55" i="44"/>
  <c r="N56" i="44" s="1"/>
  <c r="AJ57" i="44"/>
  <c r="X57" i="44"/>
  <c r="J57" i="44"/>
  <c r="H55" i="44"/>
  <c r="H56" i="44" s="1"/>
  <c r="Y55" i="44"/>
  <c r="Y56" i="44" s="1"/>
  <c r="AI57" i="44"/>
  <c r="W57" i="44"/>
  <c r="R41" i="17" l="1"/>
  <c r="DH41" i="17" s="1"/>
  <c r="DI41" i="17" s="1"/>
  <c r="DJ41" i="17" s="1"/>
  <c r="AM40" i="17"/>
  <c r="AY40" i="17"/>
  <c r="BW40" i="17"/>
  <c r="AR40" i="17"/>
  <c r="BK40" i="17"/>
  <c r="G87" i="17"/>
  <c r="AU38" i="17"/>
  <c r="AX38" i="17" s="1"/>
  <c r="AJ86" i="17"/>
  <c r="AI85" i="17"/>
  <c r="AA40" i="17"/>
  <c r="AE40" i="17"/>
  <c r="AF40" i="17" s="1"/>
  <c r="B38" i="17"/>
  <c r="H38" i="17" s="1"/>
  <c r="B87" i="17"/>
  <c r="H88" i="17"/>
  <c r="DC39" i="17" s="1"/>
  <c r="DG39" i="17" s="1"/>
  <c r="N85" i="17"/>
  <c r="O86" i="17"/>
  <c r="AQ38" i="17"/>
  <c r="N41" i="17"/>
  <c r="BD40" i="17"/>
  <c r="Z39" i="17"/>
  <c r="I39" i="17"/>
  <c r="J39" i="17" s="1"/>
  <c r="AI37" i="17"/>
  <c r="AL37" i="17" s="1"/>
  <c r="E86" i="17"/>
  <c r="CB40" i="17"/>
  <c r="L40" i="17"/>
  <c r="R40" i="17" s="1"/>
  <c r="DH40" i="17" s="1"/>
  <c r="DI40" i="17" s="1"/>
  <c r="DJ40" i="17" s="1"/>
  <c r="U85" i="17"/>
  <c r="V86" i="17"/>
  <c r="W38" i="17"/>
  <c r="D87" i="17"/>
  <c r="AW85" i="17"/>
  <c r="AX86" i="17"/>
  <c r="BG38" i="17"/>
  <c r="BJ38" i="17" s="1"/>
  <c r="C87" i="17"/>
  <c r="BP40" i="17"/>
  <c r="AB84" i="17"/>
  <c r="AC85" i="17"/>
  <c r="CA39" i="17"/>
  <c r="BC39" i="17"/>
  <c r="K41" i="17"/>
  <c r="M41" i="17" s="1"/>
  <c r="F87" i="17"/>
  <c r="BS38" i="17"/>
  <c r="BV38" i="17" s="1"/>
  <c r="BO39" i="17"/>
  <c r="AQ86" i="17"/>
  <c r="AP85" i="17"/>
  <c r="Z218" i="44"/>
  <c r="X218" i="44"/>
  <c r="AF218" i="44"/>
  <c r="T218" i="44"/>
  <c r="W218" i="44"/>
  <c r="AI218" i="44"/>
  <c r="AE218" i="44"/>
  <c r="AJ218" i="44"/>
  <c r="AD218" i="44"/>
  <c r="AH218" i="44"/>
  <c r="AI108" i="44"/>
  <c r="AH108" i="44"/>
  <c r="U108" i="44"/>
  <c r="AC218" i="44"/>
  <c r="S218" i="44"/>
  <c r="V218" i="44"/>
  <c r="AB218" i="44"/>
  <c r="AG218" i="44"/>
  <c r="AA218" i="44"/>
  <c r="Y218" i="44"/>
  <c r="U218" i="44"/>
  <c r="E108" i="44"/>
  <c r="D171" i="25" s="1"/>
  <c r="V108" i="44"/>
  <c r="S108" i="44"/>
  <c r="W108" i="44"/>
  <c r="AE108" i="44"/>
  <c r="AF108" i="44"/>
  <c r="R108" i="44"/>
  <c r="T108" i="44"/>
  <c r="AD108" i="44"/>
  <c r="P108" i="44"/>
  <c r="O171" i="25" s="1"/>
  <c r="L108" i="44"/>
  <c r="K171" i="25" s="1"/>
  <c r="AA108" i="44"/>
  <c r="H108" i="44"/>
  <c r="G171" i="25" s="1"/>
  <c r="AG108" i="44"/>
  <c r="D108" i="44"/>
  <c r="C171" i="25" s="1"/>
  <c r="C108" i="44"/>
  <c r="B171" i="25" s="1"/>
  <c r="M108" i="44"/>
  <c r="L171" i="25" s="1"/>
  <c r="AC108" i="44"/>
  <c r="G108" i="44"/>
  <c r="F171" i="25" s="1"/>
  <c r="F108" i="44"/>
  <c r="E171" i="25" s="1"/>
  <c r="AB108" i="44"/>
  <c r="K108" i="44"/>
  <c r="J171" i="25" s="1"/>
  <c r="Q108" i="44"/>
  <c r="O108" i="44"/>
  <c r="N171" i="25" s="1"/>
  <c r="Z108" i="44"/>
  <c r="Y108" i="44"/>
  <c r="AJ108" i="44"/>
  <c r="N108" i="44"/>
  <c r="M171" i="25" s="1"/>
  <c r="J108" i="44"/>
  <c r="I171" i="25" s="1"/>
  <c r="I108" i="44"/>
  <c r="H171" i="25" s="1"/>
  <c r="X108" i="44"/>
  <c r="S41" i="17" l="1"/>
  <c r="T41" i="17" s="1"/>
  <c r="K40" i="17"/>
  <c r="M40" i="17" s="1"/>
  <c r="N40" i="17"/>
  <c r="S40" i="17" s="1"/>
  <c r="T40" i="17" s="1"/>
  <c r="AM39" i="17"/>
  <c r="BW39" i="17"/>
  <c r="AY39" i="17"/>
  <c r="BK39" i="17"/>
  <c r="AR39" i="17"/>
  <c r="BP39" i="17"/>
  <c r="AB83" i="17"/>
  <c r="AC84" i="17"/>
  <c r="BO38" i="17"/>
  <c r="AI84" i="17"/>
  <c r="AJ85" i="17"/>
  <c r="W37" i="17"/>
  <c r="D86" i="17"/>
  <c r="AA39" i="17"/>
  <c r="AE39" i="17"/>
  <c r="AF39" i="17" s="1"/>
  <c r="AX85" i="17"/>
  <c r="AW84" i="17"/>
  <c r="AP84" i="17"/>
  <c r="AQ85" i="17"/>
  <c r="AQ37" i="17"/>
  <c r="CA38" i="17"/>
  <c r="F86" i="17"/>
  <c r="BS37" i="17"/>
  <c r="BV37" i="17" s="1"/>
  <c r="AU37" i="17"/>
  <c r="AX37" i="17" s="1"/>
  <c r="G86" i="17"/>
  <c r="BC38" i="17"/>
  <c r="BD39" i="17"/>
  <c r="Z38" i="17"/>
  <c r="I38" i="17"/>
  <c r="J38" i="17" s="1"/>
  <c r="B37" i="17"/>
  <c r="H37" i="17" s="1"/>
  <c r="B86" i="17"/>
  <c r="CB39" i="17"/>
  <c r="V85" i="17"/>
  <c r="U84" i="17"/>
  <c r="O85" i="17"/>
  <c r="N84" i="17"/>
  <c r="L39" i="17"/>
  <c r="R39" i="17" s="1"/>
  <c r="DH39" i="17" s="1"/>
  <c r="DI39" i="17" s="1"/>
  <c r="DJ39" i="17" s="1"/>
  <c r="C86" i="17"/>
  <c r="BG37" i="17"/>
  <c r="BJ37" i="17" s="1"/>
  <c r="E85" i="17"/>
  <c r="AI36" i="17"/>
  <c r="AL36" i="17" s="1"/>
  <c r="H87" i="17"/>
  <c r="DC38" i="17" s="1"/>
  <c r="DG38" i="17" s="1"/>
  <c r="E224" i="44"/>
  <c r="D224" i="44"/>
  <c r="C224" i="44"/>
  <c r="D232" i="44"/>
  <c r="E232" i="44"/>
  <c r="C232" i="44"/>
  <c r="D114" i="31"/>
  <c r="E114" i="31"/>
  <c r="D105" i="31" s="1"/>
  <c r="C114" i="31"/>
  <c r="I103" i="31" l="1"/>
  <c r="L103" i="31"/>
  <c r="L105" i="31"/>
  <c r="D103" i="31"/>
  <c r="K105" i="31"/>
  <c r="J105" i="31"/>
  <c r="G103" i="31"/>
  <c r="F103" i="31"/>
  <c r="C105" i="31"/>
  <c r="I105" i="31"/>
  <c r="H103" i="31"/>
  <c r="E103" i="31"/>
  <c r="H105" i="31"/>
  <c r="G105" i="31"/>
  <c r="K103" i="31"/>
  <c r="F105" i="31"/>
  <c r="C103" i="31"/>
  <c r="J103" i="31"/>
  <c r="E105" i="31"/>
  <c r="AM38" i="17"/>
  <c r="AY38" i="17"/>
  <c r="AR38" i="17"/>
  <c r="BW38" i="17"/>
  <c r="BK38" i="17"/>
  <c r="AU36" i="17"/>
  <c r="AX36" i="17" s="1"/>
  <c r="G85" i="17"/>
  <c r="AA38" i="17"/>
  <c r="AE38" i="17"/>
  <c r="AF38" i="17" s="1"/>
  <c r="BP38" i="17"/>
  <c r="BG36" i="17"/>
  <c r="BJ36" i="17" s="1"/>
  <c r="C85" i="17"/>
  <c r="BD38" i="17"/>
  <c r="AQ84" i="17"/>
  <c r="AP83" i="17"/>
  <c r="N83" i="17"/>
  <c r="O84" i="17"/>
  <c r="AW83" i="17"/>
  <c r="AX84" i="17"/>
  <c r="N39" i="17"/>
  <c r="S39" i="17" s="1"/>
  <c r="T39" i="17" s="1"/>
  <c r="F85" i="17"/>
  <c r="BS36" i="17"/>
  <c r="BV36" i="17" s="1"/>
  <c r="L38" i="17"/>
  <c r="R38" i="17" s="1"/>
  <c r="DH38" i="17" s="1"/>
  <c r="DI38" i="17" s="1"/>
  <c r="DJ38" i="17" s="1"/>
  <c r="AQ36" i="17"/>
  <c r="AJ84" i="17"/>
  <c r="AI83" i="17"/>
  <c r="BO37" i="17"/>
  <c r="E84" i="17"/>
  <c r="AI35" i="17"/>
  <c r="AL35" i="17" s="1"/>
  <c r="AC83" i="17"/>
  <c r="AB82" i="17"/>
  <c r="B36" i="17"/>
  <c r="H36" i="17" s="1"/>
  <c r="B85" i="17"/>
  <c r="V84" i="17"/>
  <c r="U83" i="17"/>
  <c r="BC37" i="17"/>
  <c r="W36" i="17"/>
  <c r="D85" i="17"/>
  <c r="CA37" i="17"/>
  <c r="K39" i="17"/>
  <c r="M39" i="17" s="1"/>
  <c r="H86" i="17"/>
  <c r="DC37" i="17" s="1"/>
  <c r="DG37" i="17" s="1"/>
  <c r="CB38" i="17"/>
  <c r="I37" i="17"/>
  <c r="J37" i="17" s="1"/>
  <c r="Z37" i="17"/>
  <c r="P40" i="44"/>
  <c r="P41" i="44" s="1"/>
  <c r="P42" i="44" s="1"/>
  <c r="Q40" i="44"/>
  <c r="Q41" i="44" s="1"/>
  <c r="Q42" i="44" s="1"/>
  <c r="R40" i="44"/>
  <c r="R41" i="44" s="1"/>
  <c r="R42" i="44" s="1"/>
  <c r="N40" i="44"/>
  <c r="N41" i="44" s="1"/>
  <c r="N42" i="44" s="1"/>
  <c r="O40" i="44"/>
  <c r="O41" i="44" s="1"/>
  <c r="O42" i="44" s="1"/>
  <c r="S40" i="44"/>
  <c r="S41" i="44" s="1"/>
  <c r="S42" i="44" s="1"/>
  <c r="T40" i="44"/>
  <c r="T41" i="44" s="1"/>
  <c r="T42" i="44" s="1"/>
  <c r="M40" i="44"/>
  <c r="M41" i="44" s="1"/>
  <c r="M42" i="44" s="1"/>
  <c r="U40" i="44"/>
  <c r="U41" i="44" s="1"/>
  <c r="U42" i="44" s="1"/>
  <c r="V40" i="44"/>
  <c r="V41" i="44" s="1"/>
  <c r="V42" i="44" s="1"/>
  <c r="L40" i="44"/>
  <c r="L41" i="44" s="1"/>
  <c r="L42" i="44" s="1"/>
  <c r="K40" i="44"/>
  <c r="K41" i="44" s="1"/>
  <c r="K42" i="44" s="1"/>
  <c r="C40" i="44"/>
  <c r="C41" i="44" s="1"/>
  <c r="C42" i="44" s="1"/>
  <c r="J40" i="44"/>
  <c r="J41" i="44" s="1"/>
  <c r="J42" i="44" s="1"/>
  <c r="I40" i="44"/>
  <c r="I41" i="44" s="1"/>
  <c r="I42" i="44" s="1"/>
  <c r="E40" i="44"/>
  <c r="E41" i="44" s="1"/>
  <c r="E42" i="44" s="1"/>
  <c r="D40" i="44"/>
  <c r="D41" i="44" s="1"/>
  <c r="D42" i="44" s="1"/>
  <c r="G40" i="44"/>
  <c r="G41" i="44" s="1"/>
  <c r="G42" i="44" s="1"/>
  <c r="H40" i="44"/>
  <c r="H41" i="44" s="1"/>
  <c r="H42" i="44" s="1"/>
  <c r="F40" i="44"/>
  <c r="F41" i="44" s="1"/>
  <c r="F42" i="44" s="1"/>
  <c r="AH27" i="44"/>
  <c r="AH28" i="44" s="1"/>
  <c r="AG27" i="44"/>
  <c r="AG28" i="44" s="1"/>
  <c r="AI27" i="44"/>
  <c r="AI28" i="44" s="1"/>
  <c r="AJ27" i="44"/>
  <c r="AJ28" i="44" s="1"/>
  <c r="C234" i="44"/>
  <c r="K38" i="17" l="1"/>
  <c r="M38" i="17" s="1"/>
  <c r="AM37" i="17"/>
  <c r="BK37" i="17"/>
  <c r="BW37" i="17"/>
  <c r="AR37" i="17"/>
  <c r="L37" i="17"/>
  <c r="R37" i="17" s="1"/>
  <c r="DH37" i="17" s="1"/>
  <c r="DI37" i="17" s="1"/>
  <c r="DJ37" i="17" s="1"/>
  <c r="BP37" i="17"/>
  <c r="CB37" i="17"/>
  <c r="BD37" i="17"/>
  <c r="CA36" i="17"/>
  <c r="AC82" i="17"/>
  <c r="AB81" i="17"/>
  <c r="AC81" i="17" s="1"/>
  <c r="AI34" i="17"/>
  <c r="AL34" i="17" s="1"/>
  <c r="E83" i="17"/>
  <c r="BC36" i="17"/>
  <c r="O83" i="17"/>
  <c r="N82" i="17"/>
  <c r="AP82" i="17"/>
  <c r="AQ83" i="17"/>
  <c r="AY37" i="17"/>
  <c r="AU35" i="17"/>
  <c r="AX35" i="17" s="1"/>
  <c r="G84" i="17"/>
  <c r="C84" i="17"/>
  <c r="BG35" i="17"/>
  <c r="BJ35" i="17" s="1"/>
  <c r="BS35" i="17"/>
  <c r="BV35" i="17" s="1"/>
  <c r="F84" i="17"/>
  <c r="B35" i="17"/>
  <c r="H35" i="17" s="1"/>
  <c r="B84" i="17"/>
  <c r="N38" i="17"/>
  <c r="S38" i="17" s="1"/>
  <c r="T38" i="17" s="1"/>
  <c r="AQ35" i="17"/>
  <c r="AW82" i="17"/>
  <c r="AX83" i="17"/>
  <c r="Z36" i="17"/>
  <c r="I36" i="17"/>
  <c r="J36" i="17" s="1"/>
  <c r="AM36" i="17" s="1"/>
  <c r="AI82" i="17"/>
  <c r="AJ83" i="17"/>
  <c r="V83" i="17"/>
  <c r="U82" i="17"/>
  <c r="AA37" i="17"/>
  <c r="AE37" i="17"/>
  <c r="AF37" i="17" s="1"/>
  <c r="W35" i="17"/>
  <c r="D84" i="17"/>
  <c r="H85" i="17"/>
  <c r="DC36" i="17" s="1"/>
  <c r="DG36" i="17" s="1"/>
  <c r="BO36" i="17"/>
  <c r="V151" i="49"/>
  <c r="W151" i="49"/>
  <c r="X151" i="49"/>
  <c r="Y151" i="49"/>
  <c r="Z151" i="49"/>
  <c r="AA151" i="49"/>
  <c r="AB151" i="49"/>
  <c r="AC151" i="49"/>
  <c r="AD151" i="49"/>
  <c r="AE151" i="49"/>
  <c r="AF151" i="49"/>
  <c r="AG151" i="49"/>
  <c r="AH151" i="49"/>
  <c r="AI151" i="49"/>
  <c r="V135" i="49"/>
  <c r="W135" i="49"/>
  <c r="X135" i="49"/>
  <c r="Y135" i="49"/>
  <c r="Z135" i="49"/>
  <c r="AA135" i="49"/>
  <c r="AB135" i="49"/>
  <c r="AC135" i="49"/>
  <c r="AD135" i="49"/>
  <c r="AE135" i="49"/>
  <c r="AF135" i="49"/>
  <c r="AG135" i="49"/>
  <c r="AH135" i="49"/>
  <c r="AI135" i="49"/>
  <c r="BP36" i="17" l="1"/>
  <c r="N37" i="17"/>
  <c r="S37" i="17" s="1"/>
  <c r="T37" i="17" s="1"/>
  <c r="K37" i="17"/>
  <c r="M37" i="17" s="1"/>
  <c r="H84" i="17"/>
  <c r="DC35" i="17" s="1"/>
  <c r="DG35" i="17" s="1"/>
  <c r="AR36" i="17"/>
  <c r="BD36" i="17"/>
  <c r="BG34" i="17"/>
  <c r="BJ34" i="17" s="1"/>
  <c r="C83" i="17"/>
  <c r="AP81" i="17"/>
  <c r="AQ81" i="17" s="1"/>
  <c r="AQ82" i="17"/>
  <c r="N81" i="17"/>
  <c r="O81" i="17" s="1"/>
  <c r="O82" i="17"/>
  <c r="W34" i="17"/>
  <c r="D83" i="17"/>
  <c r="U81" i="17"/>
  <c r="V81" i="17" s="1"/>
  <c r="V82" i="17"/>
  <c r="B34" i="17"/>
  <c r="H34" i="17" s="1"/>
  <c r="B83" i="17"/>
  <c r="AU34" i="17"/>
  <c r="AX34" i="17" s="1"/>
  <c r="G83" i="17"/>
  <c r="CA35" i="17"/>
  <c r="AY36" i="17"/>
  <c r="AJ82" i="17"/>
  <c r="AI81" i="17"/>
  <c r="AJ81" i="17" s="1"/>
  <c r="BO35" i="17"/>
  <c r="AQ34" i="17"/>
  <c r="BK36" i="17"/>
  <c r="AA36" i="17"/>
  <c r="AE36" i="17"/>
  <c r="AF36" i="17" s="1"/>
  <c r="AI32" i="17"/>
  <c r="AL32" i="17" s="1"/>
  <c r="E81" i="17"/>
  <c r="L36" i="17"/>
  <c r="R36" i="17" s="1"/>
  <c r="DH36" i="17" s="1"/>
  <c r="DI36" i="17" s="1"/>
  <c r="DJ36" i="17" s="1"/>
  <c r="BS34" i="17"/>
  <c r="BV34" i="17" s="1"/>
  <c r="F83" i="17"/>
  <c r="E82" i="17"/>
  <c r="AI33" i="17"/>
  <c r="AL33" i="17" s="1"/>
  <c r="AW81" i="17"/>
  <c r="AX81" i="17" s="1"/>
  <c r="AX82" i="17"/>
  <c r="BC35" i="17"/>
  <c r="CB36" i="17"/>
  <c r="Z35" i="17"/>
  <c r="I35" i="17"/>
  <c r="J35" i="17" s="1"/>
  <c r="BW36" i="17"/>
  <c r="N90" i="31"/>
  <c r="O90" i="31"/>
  <c r="P90" i="31"/>
  <c r="Q90" i="31"/>
  <c r="R90" i="31"/>
  <c r="S90" i="31"/>
  <c r="T90" i="31"/>
  <c r="U90" i="31"/>
  <c r="M90" i="31"/>
  <c r="K90" i="31"/>
  <c r="L90" i="31"/>
  <c r="C90" i="31"/>
  <c r="D90" i="31"/>
  <c r="E90" i="31"/>
  <c r="F90" i="31"/>
  <c r="G90" i="31"/>
  <c r="H90" i="31"/>
  <c r="I90" i="31"/>
  <c r="J90" i="31"/>
  <c r="B90" i="31"/>
  <c r="V125" i="49"/>
  <c r="W125" i="49"/>
  <c r="X125" i="49"/>
  <c r="Y125" i="49"/>
  <c r="Z125" i="49"/>
  <c r="AA125" i="49"/>
  <c r="AB125" i="49"/>
  <c r="AC125" i="49"/>
  <c r="AD125" i="49"/>
  <c r="AE125" i="49"/>
  <c r="AF125" i="49"/>
  <c r="AG125" i="49"/>
  <c r="AH125" i="49"/>
  <c r="AI125" i="49"/>
  <c r="AF50" i="31"/>
  <c r="AG50" i="31"/>
  <c r="AH50" i="31"/>
  <c r="AI50" i="31"/>
  <c r="C26" i="31"/>
  <c r="C49" i="31" s="1"/>
  <c r="C139" i="49" s="1"/>
  <c r="D26" i="31"/>
  <c r="D49" i="31" s="1"/>
  <c r="D139" i="49" s="1"/>
  <c r="E26" i="31"/>
  <c r="E49" i="31" s="1"/>
  <c r="E139" i="49" s="1"/>
  <c r="F26" i="31"/>
  <c r="F49" i="31" s="1"/>
  <c r="F139" i="49" s="1"/>
  <c r="G26" i="31"/>
  <c r="G49" i="31" s="1"/>
  <c r="G139" i="49" s="1"/>
  <c r="H26" i="31"/>
  <c r="H49" i="31" s="1"/>
  <c r="H139" i="49" s="1"/>
  <c r="I26" i="31"/>
  <c r="I49" i="31" s="1"/>
  <c r="I139" i="49" s="1"/>
  <c r="J26" i="31"/>
  <c r="J49" i="31" s="1"/>
  <c r="J139" i="49" s="1"/>
  <c r="K26" i="31"/>
  <c r="K49" i="31" s="1"/>
  <c r="K139" i="49" s="1"/>
  <c r="L26" i="31"/>
  <c r="L49" i="31" s="1"/>
  <c r="L139" i="49" s="1"/>
  <c r="M26" i="31"/>
  <c r="M49" i="31" s="1"/>
  <c r="M139" i="49" s="1"/>
  <c r="N26" i="31"/>
  <c r="N49" i="31" s="1"/>
  <c r="N139" i="49" s="1"/>
  <c r="O26" i="31"/>
  <c r="O49" i="31" s="1"/>
  <c r="O139" i="49" s="1"/>
  <c r="P26" i="31"/>
  <c r="P49" i="31" s="1"/>
  <c r="P139" i="49" s="1"/>
  <c r="Q26" i="31"/>
  <c r="Q49" i="31" s="1"/>
  <c r="Q139" i="49" s="1"/>
  <c r="R26" i="31"/>
  <c r="R49" i="31" s="1"/>
  <c r="R139" i="49" s="1"/>
  <c r="S26" i="31"/>
  <c r="S49" i="31" s="1"/>
  <c r="S139" i="49" s="1"/>
  <c r="T26" i="31"/>
  <c r="T49" i="31" s="1"/>
  <c r="T139" i="49" s="1"/>
  <c r="U26" i="31"/>
  <c r="U49" i="31" s="1"/>
  <c r="U139" i="49" s="1"/>
  <c r="B26" i="31"/>
  <c r="B49" i="31" s="1"/>
  <c r="B139" i="49" s="1"/>
  <c r="B36" i="31"/>
  <c r="C36" i="31"/>
  <c r="D36" i="31"/>
  <c r="E36" i="31"/>
  <c r="F36" i="31"/>
  <c r="G36" i="31"/>
  <c r="H36" i="31"/>
  <c r="I36" i="31"/>
  <c r="J36" i="31"/>
  <c r="K36" i="31"/>
  <c r="L36" i="31"/>
  <c r="M36" i="31"/>
  <c r="N36" i="31"/>
  <c r="O36" i="31"/>
  <c r="P36" i="31"/>
  <c r="Q36" i="31"/>
  <c r="R36" i="31"/>
  <c r="S36" i="31"/>
  <c r="T36" i="31"/>
  <c r="U36" i="31"/>
  <c r="AK79" i="54"/>
  <c r="AK78" i="54" s="1"/>
  <c r="R127" i="44" l="1"/>
  <c r="R128" i="44" s="1"/>
  <c r="R129" i="44" s="1"/>
  <c r="R130" i="44" s="1"/>
  <c r="R131" i="44" s="1"/>
  <c r="Q127" i="44"/>
  <c r="Q128" i="44" s="1"/>
  <c r="Q129" i="44" s="1"/>
  <c r="Q130" i="44" s="1"/>
  <c r="Q131" i="44" s="1"/>
  <c r="P127" i="44"/>
  <c r="P128" i="44" s="1"/>
  <c r="P129" i="44" s="1"/>
  <c r="P130" i="44" s="1"/>
  <c r="P131" i="44" s="1"/>
  <c r="O127" i="44"/>
  <c r="O128" i="44" s="1"/>
  <c r="O129" i="44" s="1"/>
  <c r="O130" i="44" s="1"/>
  <c r="O131" i="44" s="1"/>
  <c r="D127" i="44"/>
  <c r="D128" i="44" s="1"/>
  <c r="D129" i="44" s="1"/>
  <c r="D130" i="44" s="1"/>
  <c r="D131" i="44" s="1"/>
  <c r="M127" i="44"/>
  <c r="M128" i="44" s="1"/>
  <c r="M129" i="44" s="1"/>
  <c r="M130" i="44" s="1"/>
  <c r="M131" i="44" s="1"/>
  <c r="H127" i="44"/>
  <c r="H128" i="44" s="1"/>
  <c r="H129" i="44" s="1"/>
  <c r="H130" i="44" s="1"/>
  <c r="H131" i="44" s="1"/>
  <c r="F127" i="44"/>
  <c r="F128" i="44" s="1"/>
  <c r="F129" i="44" s="1"/>
  <c r="F130" i="44" s="1"/>
  <c r="F131" i="44" s="1"/>
  <c r="E127" i="44"/>
  <c r="E128" i="44" s="1"/>
  <c r="E129" i="44" s="1"/>
  <c r="E130" i="44" s="1"/>
  <c r="E131" i="44" s="1"/>
  <c r="L127" i="44"/>
  <c r="L128" i="44" s="1"/>
  <c r="L129" i="44" s="1"/>
  <c r="L130" i="44" s="1"/>
  <c r="L131" i="44" s="1"/>
  <c r="I127" i="44"/>
  <c r="I128" i="44" s="1"/>
  <c r="I129" i="44" s="1"/>
  <c r="I130" i="44" s="1"/>
  <c r="I131" i="44" s="1"/>
  <c r="G127" i="44"/>
  <c r="G128" i="44" s="1"/>
  <c r="G129" i="44" s="1"/>
  <c r="G130" i="44" s="1"/>
  <c r="G131" i="44" s="1"/>
  <c r="N127" i="44"/>
  <c r="N128" i="44" s="1"/>
  <c r="N129" i="44" s="1"/>
  <c r="N130" i="44" s="1"/>
  <c r="N131" i="44" s="1"/>
  <c r="S127" i="44"/>
  <c r="S128" i="44" s="1"/>
  <c r="S129" i="44" s="1"/>
  <c r="S130" i="44" s="1"/>
  <c r="S131" i="44" s="1"/>
  <c r="C127" i="44"/>
  <c r="C128" i="44" s="1"/>
  <c r="C129" i="44" s="1"/>
  <c r="C130" i="44" s="1"/>
  <c r="C131" i="44" s="1"/>
  <c r="V127" i="44"/>
  <c r="V128" i="44" s="1"/>
  <c r="V129" i="44" s="1"/>
  <c r="V130" i="44" s="1"/>
  <c r="V131" i="44" s="1"/>
  <c r="K127" i="44"/>
  <c r="K128" i="44" s="1"/>
  <c r="K129" i="44" s="1"/>
  <c r="K130" i="44" s="1"/>
  <c r="K131" i="44" s="1"/>
  <c r="U127" i="44"/>
  <c r="U128" i="44" s="1"/>
  <c r="U129" i="44" s="1"/>
  <c r="U130" i="44" s="1"/>
  <c r="U131" i="44" s="1"/>
  <c r="J127" i="44"/>
  <c r="J128" i="44" s="1"/>
  <c r="J129" i="44" s="1"/>
  <c r="J130" i="44" s="1"/>
  <c r="J131" i="44" s="1"/>
  <c r="T127" i="44"/>
  <c r="T128" i="44" s="1"/>
  <c r="T129" i="44" s="1"/>
  <c r="T130" i="44" s="1"/>
  <c r="T131" i="44" s="1"/>
  <c r="AM35" i="17"/>
  <c r="AY35" i="17"/>
  <c r="L35" i="17"/>
  <c r="R35" i="17" s="1"/>
  <c r="DH35" i="17" s="1"/>
  <c r="DI35" i="17" s="1"/>
  <c r="DJ35" i="17" s="1"/>
  <c r="BK35" i="17"/>
  <c r="BW35" i="17"/>
  <c r="AR35" i="17"/>
  <c r="W33" i="17"/>
  <c r="D82" i="17"/>
  <c r="W32" i="17"/>
  <c r="D81" i="17"/>
  <c r="AU32" i="17"/>
  <c r="AX32" i="17" s="1"/>
  <c r="G81" i="17"/>
  <c r="CA34" i="17"/>
  <c r="Z34" i="17"/>
  <c r="I34" i="17"/>
  <c r="J34" i="17" s="1"/>
  <c r="B33" i="17"/>
  <c r="H33" i="17" s="1"/>
  <c r="B82" i="17"/>
  <c r="CB35" i="17"/>
  <c r="AA35" i="17"/>
  <c r="AE35" i="17"/>
  <c r="AF35" i="17" s="1"/>
  <c r="N36" i="17"/>
  <c r="S36" i="17" s="1"/>
  <c r="T36" i="17" s="1"/>
  <c r="C82" i="17"/>
  <c r="BG33" i="17"/>
  <c r="BJ33" i="17" s="1"/>
  <c r="AQ33" i="17"/>
  <c r="BS32" i="17"/>
  <c r="BV32" i="17" s="1"/>
  <c r="F81" i="17"/>
  <c r="BP35" i="17"/>
  <c r="AU33" i="17"/>
  <c r="AX33" i="17" s="1"/>
  <c r="G82" i="17"/>
  <c r="B32" i="17"/>
  <c r="B81" i="17"/>
  <c r="AQ32" i="17"/>
  <c r="BD35" i="17"/>
  <c r="K36" i="17"/>
  <c r="M36" i="17" s="1"/>
  <c r="BC34" i="17"/>
  <c r="BG32" i="17"/>
  <c r="BJ32" i="17" s="1"/>
  <c r="C81" i="17"/>
  <c r="H83" i="17"/>
  <c r="DC34" i="17" s="1"/>
  <c r="DG34" i="17" s="1"/>
  <c r="BS33" i="17"/>
  <c r="BV33" i="17" s="1"/>
  <c r="F82" i="17"/>
  <c r="BO34" i="17"/>
  <c r="M51" i="31"/>
  <c r="L51" i="31"/>
  <c r="K51" i="31"/>
  <c r="B51" i="31"/>
  <c r="J51" i="31"/>
  <c r="U51" i="31"/>
  <c r="I51" i="31"/>
  <c r="T51" i="31"/>
  <c r="H51" i="31"/>
  <c r="S51" i="31"/>
  <c r="G51" i="31"/>
  <c r="R51" i="31"/>
  <c r="F51" i="31"/>
  <c r="Q51" i="31"/>
  <c r="E51" i="31"/>
  <c r="P51" i="31"/>
  <c r="D51" i="31"/>
  <c r="O51" i="31"/>
  <c r="C51" i="31"/>
  <c r="N51" i="31"/>
  <c r="AM34" i="17" l="1"/>
  <c r="BK34" i="17"/>
  <c r="BP34" i="17"/>
  <c r="K35" i="17"/>
  <c r="M35" i="17" s="1"/>
  <c r="BC32" i="17"/>
  <c r="AR34" i="17"/>
  <c r="Z32" i="17"/>
  <c r="I32" i="17"/>
  <c r="J32" i="17" s="1"/>
  <c r="AM32" i="17" s="1"/>
  <c r="Z33" i="17"/>
  <c r="I33" i="17"/>
  <c r="J33" i="17" s="1"/>
  <c r="BO33" i="17"/>
  <c r="H81" i="17"/>
  <c r="DC32" i="17" s="1"/>
  <c r="DG32" i="17" s="1"/>
  <c r="H82" i="17"/>
  <c r="DC33" i="17" s="1"/>
  <c r="DG33" i="17" s="1"/>
  <c r="N35" i="17"/>
  <c r="S35" i="17" s="1"/>
  <c r="T35" i="17" s="1"/>
  <c r="CA33" i="17"/>
  <c r="L34" i="17"/>
  <c r="R34" i="17" s="1"/>
  <c r="DH34" i="17" s="1"/>
  <c r="DI34" i="17" s="1"/>
  <c r="DJ34" i="17" s="1"/>
  <c r="BC33" i="17"/>
  <c r="BO32" i="17"/>
  <c r="BD34" i="17"/>
  <c r="CA32" i="17"/>
  <c r="AA34" i="17"/>
  <c r="AE34" i="17"/>
  <c r="AF34" i="17" s="1"/>
  <c r="AY34" i="17"/>
  <c r="CB34" i="17"/>
  <c r="BW34" i="17"/>
  <c r="B45" i="28"/>
  <c r="L32" i="17" l="1"/>
  <c r="R32" i="17" s="1"/>
  <c r="DH32" i="17" s="1"/>
  <c r="DI32" i="17" s="1"/>
  <c r="DJ32" i="17" s="1"/>
  <c r="AR32" i="17"/>
  <c r="CB32" i="17"/>
  <c r="BW32" i="17"/>
  <c r="BP32" i="17"/>
  <c r="BK32" i="17"/>
  <c r="AM33" i="17"/>
  <c r="BW33" i="17"/>
  <c r="BK33" i="17"/>
  <c r="AR33" i="17"/>
  <c r="AY33" i="17"/>
  <c r="L33" i="17"/>
  <c r="R33" i="17" s="1"/>
  <c r="DH33" i="17" s="1"/>
  <c r="DI33" i="17" s="1"/>
  <c r="DJ33" i="17" s="1"/>
  <c r="AA33" i="17"/>
  <c r="AE33" i="17"/>
  <c r="AF33" i="17" s="1"/>
  <c r="BP33" i="17"/>
  <c r="BD33" i="17"/>
  <c r="AA32" i="17"/>
  <c r="AE32" i="17"/>
  <c r="AF32" i="17" s="1"/>
  <c r="CB33" i="17"/>
  <c r="N34" i="17"/>
  <c r="S34" i="17" s="1"/>
  <c r="T34" i="17" s="1"/>
  <c r="BD32" i="17"/>
  <c r="K34" i="17"/>
  <c r="M34" i="17" s="1"/>
  <c r="AY32" i="17"/>
  <c r="K33" i="17" l="1"/>
  <c r="M33" i="17" s="1"/>
  <c r="N32" i="17"/>
  <c r="S32" i="17" s="1"/>
  <c r="T32" i="17" s="1"/>
  <c r="K32" i="17"/>
  <c r="M32" i="17" s="1"/>
  <c r="N33" i="17"/>
  <c r="S33" i="17" s="1"/>
  <c r="T33" i="17" s="1"/>
  <c r="C522" i="27"/>
  <c r="D522" i="27"/>
  <c r="E522" i="27"/>
  <c r="F522" i="27"/>
  <c r="G522" i="27"/>
  <c r="H522" i="27"/>
  <c r="I522" i="27"/>
  <c r="J522" i="27"/>
  <c r="K522" i="27"/>
  <c r="L522" i="27"/>
  <c r="M522" i="27"/>
  <c r="N522" i="27"/>
  <c r="O522" i="27"/>
  <c r="P522" i="27"/>
  <c r="Q522" i="27"/>
  <c r="R522" i="27"/>
  <c r="S522" i="27"/>
  <c r="T522" i="27"/>
  <c r="U522" i="27"/>
  <c r="V522" i="27"/>
  <c r="W522" i="27"/>
  <c r="X522" i="27"/>
  <c r="Y522" i="27"/>
  <c r="Z522" i="27"/>
  <c r="AA522" i="27"/>
  <c r="AB522" i="27"/>
  <c r="AC522" i="27"/>
  <c r="AD522" i="27"/>
  <c r="AE522" i="27"/>
  <c r="AF522" i="27"/>
  <c r="AG522" i="27"/>
  <c r="AH522" i="27"/>
  <c r="AI522" i="27"/>
  <c r="AJ522" i="27"/>
  <c r="D469" i="27" l="1"/>
  <c r="E469" i="27"/>
  <c r="F469" i="27"/>
  <c r="G469" i="27"/>
  <c r="H469" i="27"/>
  <c r="I469" i="27"/>
  <c r="J469" i="27"/>
  <c r="K469" i="27"/>
  <c r="L469" i="27"/>
  <c r="M469" i="27"/>
  <c r="N469" i="27"/>
  <c r="O469" i="27"/>
  <c r="P469" i="27"/>
  <c r="Q469" i="27"/>
  <c r="R469" i="27"/>
  <c r="S469" i="27"/>
  <c r="T469" i="27"/>
  <c r="U469" i="27"/>
  <c r="V469" i="27"/>
  <c r="W469" i="27"/>
  <c r="X469" i="27"/>
  <c r="Y469" i="27"/>
  <c r="Z469" i="27"/>
  <c r="AA469" i="27"/>
  <c r="AB469" i="27"/>
  <c r="AC469" i="27"/>
  <c r="AD469" i="27"/>
  <c r="AE469" i="27"/>
  <c r="AF469" i="27"/>
  <c r="AG469" i="27"/>
  <c r="AH469" i="27"/>
  <c r="AI469" i="27"/>
  <c r="AJ469" i="27"/>
  <c r="C469" i="27"/>
  <c r="D36" i="32"/>
  <c r="E36" i="32"/>
  <c r="F36" i="32"/>
  <c r="G36" i="32"/>
  <c r="H36" i="32"/>
  <c r="I36" i="32"/>
  <c r="J36" i="32"/>
  <c r="K36" i="32"/>
  <c r="C36" i="32"/>
  <c r="B36" i="32"/>
  <c r="B113" i="54" l="1"/>
  <c r="B112" i="54"/>
  <c r="B111" i="54"/>
  <c r="B34" i="59"/>
  <c r="I34" i="59"/>
  <c r="B17" i="59"/>
  <c r="AJ107" i="54"/>
  <c r="AJ108" i="54"/>
  <c r="AJ109" i="54"/>
  <c r="AJ110" i="54"/>
  <c r="AJ111" i="54"/>
  <c r="AJ112" i="54"/>
  <c r="AJ113" i="54"/>
  <c r="AJ114" i="54"/>
  <c r="AJ81" i="54"/>
  <c r="AJ66" i="54"/>
  <c r="AJ67" i="54"/>
  <c r="AJ47" i="54"/>
  <c r="AJ49" i="54"/>
  <c r="AJ51" i="54"/>
  <c r="AJ53" i="54"/>
  <c r="AJ54" i="54"/>
  <c r="AJ34" i="54"/>
  <c r="AJ79" i="54"/>
  <c r="AJ65" i="54" l="1"/>
  <c r="AJ52" i="54"/>
  <c r="AJ50" i="54" s="1"/>
  <c r="AJ35" i="54" l="1"/>
  <c r="AJ33" i="54" s="1"/>
  <c r="AC65" i="59" l="1"/>
  <c r="Q65" i="59"/>
  <c r="E65" i="59"/>
  <c r="AH65" i="59"/>
  <c r="I65" i="59"/>
  <c r="T65" i="59"/>
  <c r="R65" i="59"/>
  <c r="AB65" i="59"/>
  <c r="P65" i="59"/>
  <c r="D65" i="59"/>
  <c r="Z65" i="59"/>
  <c r="Y65" i="59"/>
  <c r="L65" i="59"/>
  <c r="AI65" i="59"/>
  <c r="J65" i="59"/>
  <c r="H65" i="59"/>
  <c r="AE65" i="59"/>
  <c r="AD65" i="59"/>
  <c r="AA65" i="59"/>
  <c r="O65" i="59"/>
  <c r="C65" i="59"/>
  <c r="N65" i="59"/>
  <c r="B65" i="59"/>
  <c r="M65" i="59"/>
  <c r="X65" i="59"/>
  <c r="W65" i="59"/>
  <c r="V65" i="59"/>
  <c r="AG65" i="59"/>
  <c r="S65" i="59"/>
  <c r="K65" i="59"/>
  <c r="G65" i="59"/>
  <c r="F65" i="59"/>
  <c r="U65" i="59"/>
  <c r="AF65" i="59"/>
  <c r="D35" i="32" l="1"/>
  <c r="E35" i="32"/>
  <c r="F35" i="32"/>
  <c r="G35" i="32"/>
  <c r="H35" i="32"/>
  <c r="I35" i="32"/>
  <c r="J35" i="32"/>
  <c r="K35" i="32"/>
  <c r="C35" i="32"/>
  <c r="C37" i="32" s="1"/>
  <c r="B35" i="32"/>
  <c r="K37" i="32" l="1"/>
  <c r="A161" i="49" l="1"/>
  <c r="B166" i="49"/>
  <c r="B164" i="49"/>
  <c r="B161" i="49"/>
  <c r="B167" i="49" l="1"/>
  <c r="B175" i="49" s="1"/>
  <c r="B66" i="59"/>
  <c r="C161" i="49" l="1"/>
  <c r="D161" i="49"/>
  <c r="E161" i="49"/>
  <c r="F161" i="49"/>
  <c r="G161" i="49"/>
  <c r="H161" i="49"/>
  <c r="I161" i="49"/>
  <c r="J161" i="49"/>
  <c r="K161" i="49"/>
  <c r="L161" i="49"/>
  <c r="M161" i="49"/>
  <c r="N161" i="49"/>
  <c r="O161" i="49"/>
  <c r="P161" i="49"/>
  <c r="Q161" i="49"/>
  <c r="R161" i="49"/>
  <c r="S161" i="49"/>
  <c r="T161" i="49"/>
  <c r="U161" i="49"/>
  <c r="V161" i="49"/>
  <c r="W161" i="49"/>
  <c r="X161" i="49"/>
  <c r="Y161" i="49"/>
  <c r="Z161" i="49"/>
  <c r="AA161" i="49"/>
  <c r="AB161" i="49"/>
  <c r="AC161" i="49"/>
  <c r="AD161" i="49"/>
  <c r="AE161" i="49"/>
  <c r="AF161" i="49"/>
  <c r="AG161" i="49"/>
  <c r="AH161" i="49"/>
  <c r="AI161" i="49"/>
  <c r="C162" i="49"/>
  <c r="D162" i="49"/>
  <c r="E162" i="49"/>
  <c r="F162" i="49"/>
  <c r="G162" i="49"/>
  <c r="H162" i="49"/>
  <c r="I162" i="49"/>
  <c r="J162" i="49"/>
  <c r="K162" i="49"/>
  <c r="L162" i="49"/>
  <c r="M162" i="49"/>
  <c r="N162" i="49"/>
  <c r="O162" i="49"/>
  <c r="P162" i="49"/>
  <c r="Q162" i="49"/>
  <c r="R162" i="49"/>
  <c r="S162" i="49"/>
  <c r="T162" i="49"/>
  <c r="U162" i="49"/>
  <c r="V162" i="49"/>
  <c r="W162" i="49"/>
  <c r="X162" i="49"/>
  <c r="Y162" i="49"/>
  <c r="Z162" i="49"/>
  <c r="AA162" i="49"/>
  <c r="AB162" i="49"/>
  <c r="AC162" i="49"/>
  <c r="AD162" i="49"/>
  <c r="AE162" i="49"/>
  <c r="AF162" i="49"/>
  <c r="AG162" i="49"/>
  <c r="AH162" i="49"/>
  <c r="AI162" i="49"/>
  <c r="C163" i="49"/>
  <c r="D163" i="49"/>
  <c r="E163" i="49"/>
  <c r="F163" i="49"/>
  <c r="G163" i="49"/>
  <c r="H163" i="49"/>
  <c r="I163" i="49"/>
  <c r="J163" i="49"/>
  <c r="K163" i="49"/>
  <c r="L163" i="49"/>
  <c r="M163" i="49"/>
  <c r="N163" i="49"/>
  <c r="O163" i="49"/>
  <c r="P163" i="49"/>
  <c r="Q163" i="49"/>
  <c r="R163" i="49"/>
  <c r="S163" i="49"/>
  <c r="T163" i="49"/>
  <c r="U163" i="49"/>
  <c r="V163" i="49"/>
  <c r="W163" i="49"/>
  <c r="X163" i="49"/>
  <c r="Y163" i="49"/>
  <c r="Z163" i="49"/>
  <c r="AA163" i="49"/>
  <c r="AB163" i="49"/>
  <c r="AC163" i="49"/>
  <c r="AD163" i="49"/>
  <c r="AE163" i="49"/>
  <c r="AF163" i="49"/>
  <c r="AG163" i="49"/>
  <c r="AH163" i="49"/>
  <c r="AI163" i="49"/>
  <c r="C164" i="49"/>
  <c r="D164" i="49"/>
  <c r="E164" i="49"/>
  <c r="F164" i="49"/>
  <c r="G164" i="49"/>
  <c r="H164" i="49"/>
  <c r="I164" i="49"/>
  <c r="J164" i="49"/>
  <c r="K164" i="49"/>
  <c r="L164" i="49"/>
  <c r="M164" i="49"/>
  <c r="N164" i="49"/>
  <c r="O164" i="49"/>
  <c r="P164" i="49"/>
  <c r="Q164" i="49"/>
  <c r="R164" i="49"/>
  <c r="S164" i="49"/>
  <c r="T164" i="49"/>
  <c r="U164" i="49"/>
  <c r="V164" i="49"/>
  <c r="W164" i="49"/>
  <c r="X164" i="49"/>
  <c r="Y164" i="49"/>
  <c r="Z164" i="49"/>
  <c r="AA164" i="49"/>
  <c r="AB164" i="49"/>
  <c r="AC164" i="49"/>
  <c r="AD164" i="49"/>
  <c r="AE164" i="49"/>
  <c r="AF164" i="49"/>
  <c r="AG164" i="49"/>
  <c r="AH164" i="49"/>
  <c r="AI164" i="49"/>
  <c r="C165" i="49"/>
  <c r="D165" i="49"/>
  <c r="E165" i="49"/>
  <c r="F165" i="49"/>
  <c r="G165" i="49"/>
  <c r="H165" i="49"/>
  <c r="I165" i="49"/>
  <c r="J165" i="49"/>
  <c r="K165" i="49"/>
  <c r="L165" i="49"/>
  <c r="M165" i="49"/>
  <c r="N165" i="49"/>
  <c r="O165" i="49"/>
  <c r="P165" i="49"/>
  <c r="Q165" i="49"/>
  <c r="R165" i="49"/>
  <c r="S165" i="49"/>
  <c r="T165" i="49"/>
  <c r="U165" i="49"/>
  <c r="V165" i="49"/>
  <c r="W165" i="49"/>
  <c r="X165" i="49"/>
  <c r="Y165" i="49"/>
  <c r="Z165" i="49"/>
  <c r="AA165" i="49"/>
  <c r="AB165" i="49"/>
  <c r="AC165" i="49"/>
  <c r="AD165" i="49"/>
  <c r="AE165" i="49"/>
  <c r="AF165" i="49"/>
  <c r="AG165" i="49"/>
  <c r="AH165" i="49"/>
  <c r="AI165" i="49"/>
  <c r="C166" i="49"/>
  <c r="D166" i="49"/>
  <c r="E166" i="49"/>
  <c r="F166" i="49"/>
  <c r="G166" i="49"/>
  <c r="H166" i="49"/>
  <c r="I166" i="49"/>
  <c r="J166" i="49"/>
  <c r="K166" i="49"/>
  <c r="L166" i="49"/>
  <c r="M166" i="49"/>
  <c r="N166" i="49"/>
  <c r="O166" i="49"/>
  <c r="P166" i="49"/>
  <c r="Q166" i="49"/>
  <c r="R166" i="49"/>
  <c r="S166" i="49"/>
  <c r="T166" i="49"/>
  <c r="U166" i="49"/>
  <c r="V166" i="49"/>
  <c r="W166" i="49"/>
  <c r="X166" i="49"/>
  <c r="Y166" i="49"/>
  <c r="Z166" i="49"/>
  <c r="AA166" i="49"/>
  <c r="AB166" i="49"/>
  <c r="AC166" i="49"/>
  <c r="AD166" i="49"/>
  <c r="AE166" i="49"/>
  <c r="AF166" i="49"/>
  <c r="AG166" i="49"/>
  <c r="AH166" i="49"/>
  <c r="AI166" i="49"/>
  <c r="A166" i="49"/>
  <c r="A165" i="49"/>
  <c r="A164" i="49"/>
  <c r="A163" i="49"/>
  <c r="A162" i="49"/>
  <c r="AA66" i="59" l="1"/>
  <c r="O66" i="59"/>
  <c r="X167" i="49"/>
  <c r="X175" i="49" s="1"/>
  <c r="Z66" i="59"/>
  <c r="W167" i="49"/>
  <c r="W175" i="49" s="1"/>
  <c r="Y66" i="59"/>
  <c r="AH167" i="49"/>
  <c r="AH175" i="49" s="1"/>
  <c r="L66" i="59"/>
  <c r="AG167" i="49"/>
  <c r="AG175" i="49" s="1"/>
  <c r="I167" i="49"/>
  <c r="I175" i="49" s="1"/>
  <c r="AI66" i="59"/>
  <c r="R40" i="59" s="1"/>
  <c r="W66" i="59"/>
  <c r="AF167" i="49"/>
  <c r="AF175" i="49" s="1"/>
  <c r="H167" i="49"/>
  <c r="H175" i="49" s="1"/>
  <c r="AH66" i="59"/>
  <c r="J66" i="59"/>
  <c r="G167" i="49"/>
  <c r="G175" i="49" s="1"/>
  <c r="AG66" i="59"/>
  <c r="U66" i="59"/>
  <c r="I66" i="59"/>
  <c r="R167" i="49"/>
  <c r="R175" i="49" s="1"/>
  <c r="F167" i="49"/>
  <c r="F175" i="49" s="1"/>
  <c r="AF66" i="59"/>
  <c r="H66" i="59"/>
  <c r="AC167" i="49"/>
  <c r="AC175" i="49" s="1"/>
  <c r="Q167" i="49"/>
  <c r="Q175" i="49" s="1"/>
  <c r="E167" i="49"/>
  <c r="E175" i="49" s="1"/>
  <c r="AE66" i="59"/>
  <c r="S66" i="59"/>
  <c r="G66" i="59"/>
  <c r="AB167" i="49"/>
  <c r="AB175" i="49" s="1"/>
  <c r="P167" i="49"/>
  <c r="P175" i="49" s="1"/>
  <c r="D167" i="49"/>
  <c r="D175" i="49" s="1"/>
  <c r="AD66" i="59"/>
  <c r="R66" i="59"/>
  <c r="F66" i="59"/>
  <c r="AA167" i="49"/>
  <c r="AA175" i="49" s="1"/>
  <c r="O167" i="49"/>
  <c r="O175" i="49" s="1"/>
  <c r="C167" i="49"/>
  <c r="C175" i="49" s="1"/>
  <c r="AC66" i="59"/>
  <c r="Q66" i="59"/>
  <c r="E66" i="59"/>
  <c r="Z167" i="49"/>
  <c r="Z175" i="49" s="1"/>
  <c r="N167" i="49"/>
  <c r="N175" i="49" s="1"/>
  <c r="C66" i="59"/>
  <c r="L167" i="49"/>
  <c r="L175" i="49" s="1"/>
  <c r="N66" i="59"/>
  <c r="AI167" i="49"/>
  <c r="AI175" i="49" s="1"/>
  <c r="K167" i="49"/>
  <c r="K175" i="49" s="1"/>
  <c r="M66" i="59"/>
  <c r="V167" i="49"/>
  <c r="V175" i="49" s="1"/>
  <c r="J167" i="49"/>
  <c r="J175" i="49" s="1"/>
  <c r="X66" i="59"/>
  <c r="U167" i="49"/>
  <c r="U175" i="49" s="1"/>
  <c r="K66" i="59"/>
  <c r="T167" i="49"/>
  <c r="T175" i="49" s="1"/>
  <c r="V66" i="59"/>
  <c r="AE167" i="49"/>
  <c r="AE175" i="49" s="1"/>
  <c r="S167" i="49"/>
  <c r="S175" i="49" s="1"/>
  <c r="AD167" i="49"/>
  <c r="AD175" i="49" s="1"/>
  <c r="T66" i="59"/>
  <c r="AB66" i="59"/>
  <c r="P66" i="59"/>
  <c r="D66" i="59"/>
  <c r="Y167" i="49"/>
  <c r="Y175" i="49" s="1"/>
  <c r="M167" i="49"/>
  <c r="M175" i="49" s="1"/>
  <c r="C150" i="49"/>
  <c r="D150" i="49"/>
  <c r="E150" i="49"/>
  <c r="F150" i="49"/>
  <c r="G150" i="49"/>
  <c r="H150" i="49"/>
  <c r="I150" i="49"/>
  <c r="J150" i="49"/>
  <c r="K150" i="49"/>
  <c r="L150" i="49"/>
  <c r="M150" i="49"/>
  <c r="N150" i="49"/>
  <c r="O150" i="49"/>
  <c r="P150" i="49"/>
  <c r="Q150" i="49"/>
  <c r="R150" i="49"/>
  <c r="S150" i="49"/>
  <c r="T150" i="49"/>
  <c r="U150" i="49"/>
  <c r="V150" i="49"/>
  <c r="W150" i="49"/>
  <c r="X150" i="49"/>
  <c r="Y150" i="49"/>
  <c r="Z150" i="49"/>
  <c r="AA150" i="49"/>
  <c r="AB150" i="49"/>
  <c r="AC150" i="49"/>
  <c r="AD150" i="49"/>
  <c r="AE150" i="49"/>
  <c r="AF150" i="49"/>
  <c r="AG150" i="49"/>
  <c r="AH150" i="49"/>
  <c r="AI150" i="49"/>
  <c r="B150" i="49"/>
  <c r="C34" i="45"/>
  <c r="D34" i="45"/>
  <c r="E34" i="45"/>
  <c r="F34" i="45"/>
  <c r="G34" i="45"/>
  <c r="H34" i="45"/>
  <c r="I34" i="45"/>
  <c r="J34" i="45"/>
  <c r="K34" i="45"/>
  <c r="L34" i="45"/>
  <c r="M34" i="45"/>
  <c r="N34" i="45"/>
  <c r="O34" i="45"/>
  <c r="P34" i="45"/>
  <c r="Q34" i="45"/>
  <c r="R34" i="45"/>
  <c r="S34" i="45"/>
  <c r="T34" i="45"/>
  <c r="U34" i="45"/>
  <c r="V34" i="45"/>
  <c r="W34" i="45"/>
  <c r="X34" i="45"/>
  <c r="Y34" i="45"/>
  <c r="Z34" i="45"/>
  <c r="AA34" i="45"/>
  <c r="AB34" i="45"/>
  <c r="AC34" i="45"/>
  <c r="AD34" i="45"/>
  <c r="AE34" i="45"/>
  <c r="AF34" i="45"/>
  <c r="AG34" i="45"/>
  <c r="AH34" i="45"/>
  <c r="AI34" i="45"/>
  <c r="B34" i="45"/>
  <c r="C109" i="54" l="1"/>
  <c r="D109" i="54"/>
  <c r="E109" i="54"/>
  <c r="F109" i="54"/>
  <c r="G109" i="54"/>
  <c r="H109" i="54"/>
  <c r="I109" i="54"/>
  <c r="J109" i="54"/>
  <c r="K109" i="54"/>
  <c r="L109" i="54"/>
  <c r="M109" i="54"/>
  <c r="N109" i="54"/>
  <c r="O109" i="54"/>
  <c r="P109" i="54"/>
  <c r="Q109" i="54"/>
  <c r="R109" i="54"/>
  <c r="S109" i="54"/>
  <c r="T109" i="54"/>
  <c r="U109" i="54"/>
  <c r="V109" i="54"/>
  <c r="W109" i="54"/>
  <c r="X109" i="54"/>
  <c r="Y109" i="54"/>
  <c r="Z109" i="54"/>
  <c r="AA109" i="54"/>
  <c r="AB109" i="54"/>
  <c r="AC109" i="54"/>
  <c r="AD109" i="54"/>
  <c r="AE109" i="54"/>
  <c r="AF109" i="54"/>
  <c r="AG109" i="54"/>
  <c r="AH109" i="54"/>
  <c r="AI109" i="54"/>
  <c r="B109" i="54"/>
  <c r="B108" i="54"/>
  <c r="C114" i="54"/>
  <c r="D114" i="54"/>
  <c r="E114" i="54"/>
  <c r="F114" i="54"/>
  <c r="G114" i="54"/>
  <c r="H114" i="54"/>
  <c r="I114" i="54"/>
  <c r="J114" i="54"/>
  <c r="K114" i="54"/>
  <c r="L114" i="54"/>
  <c r="M114" i="54"/>
  <c r="N114" i="54"/>
  <c r="O114" i="54"/>
  <c r="P114" i="54"/>
  <c r="Q114" i="54"/>
  <c r="R114" i="54"/>
  <c r="S114" i="54"/>
  <c r="T114" i="54"/>
  <c r="U114" i="54"/>
  <c r="V114" i="54"/>
  <c r="W114" i="54"/>
  <c r="X114" i="54"/>
  <c r="Y114" i="54"/>
  <c r="Z114" i="54"/>
  <c r="AA114" i="54"/>
  <c r="AB114" i="54"/>
  <c r="AC114" i="54"/>
  <c r="AD114" i="54"/>
  <c r="AE114" i="54"/>
  <c r="AF114" i="54"/>
  <c r="AG114" i="54"/>
  <c r="AH114" i="54"/>
  <c r="AI114" i="54"/>
  <c r="D110" i="54"/>
  <c r="E110" i="54"/>
  <c r="F110" i="54"/>
  <c r="G110" i="54"/>
  <c r="H110" i="54"/>
  <c r="I110" i="54"/>
  <c r="J110" i="54"/>
  <c r="K110" i="54"/>
  <c r="L110" i="54"/>
  <c r="M110" i="54"/>
  <c r="N110" i="54"/>
  <c r="O110" i="54"/>
  <c r="P110" i="54"/>
  <c r="Q110" i="54"/>
  <c r="R110" i="54"/>
  <c r="S110" i="54"/>
  <c r="T110" i="54"/>
  <c r="U110" i="54"/>
  <c r="V110" i="54"/>
  <c r="W110" i="54"/>
  <c r="X110" i="54"/>
  <c r="Y110" i="54"/>
  <c r="Z110" i="54"/>
  <c r="AA110" i="54"/>
  <c r="AB110" i="54"/>
  <c r="AC110" i="54"/>
  <c r="AD110" i="54"/>
  <c r="AE110" i="54"/>
  <c r="AF110" i="54"/>
  <c r="AG110" i="54"/>
  <c r="AH110" i="54"/>
  <c r="AI110" i="54"/>
  <c r="D111" i="54"/>
  <c r="E111" i="54"/>
  <c r="F111" i="54"/>
  <c r="G111" i="54"/>
  <c r="H111" i="54"/>
  <c r="I111" i="54"/>
  <c r="J111" i="54"/>
  <c r="K111" i="54"/>
  <c r="L111" i="54"/>
  <c r="M111" i="54"/>
  <c r="N111" i="54"/>
  <c r="O111" i="54"/>
  <c r="P111" i="54"/>
  <c r="Q111" i="54"/>
  <c r="R111" i="54"/>
  <c r="S111" i="54"/>
  <c r="T111" i="54"/>
  <c r="U111" i="54"/>
  <c r="V111" i="54"/>
  <c r="W111" i="54"/>
  <c r="X111" i="54"/>
  <c r="Y111" i="54"/>
  <c r="Z111" i="54"/>
  <c r="AA111" i="54"/>
  <c r="AB111" i="54"/>
  <c r="AC111" i="54"/>
  <c r="AD111" i="54"/>
  <c r="AE111" i="54"/>
  <c r="AF111" i="54"/>
  <c r="AG111" i="54"/>
  <c r="AH111" i="54"/>
  <c r="AI111" i="54"/>
  <c r="D112" i="54"/>
  <c r="E112" i="54"/>
  <c r="F112" i="54"/>
  <c r="G112" i="54"/>
  <c r="H112" i="54"/>
  <c r="I112" i="54"/>
  <c r="J112" i="54"/>
  <c r="K112" i="54"/>
  <c r="L112" i="54"/>
  <c r="M112" i="54"/>
  <c r="N112" i="54"/>
  <c r="O112" i="54"/>
  <c r="P112" i="54"/>
  <c r="Q112" i="54"/>
  <c r="R112" i="54"/>
  <c r="S112" i="54"/>
  <c r="T112" i="54"/>
  <c r="U112" i="54"/>
  <c r="V112" i="54"/>
  <c r="W112" i="54"/>
  <c r="X112" i="54"/>
  <c r="Y112" i="54"/>
  <c r="Z112" i="54"/>
  <c r="AA112" i="54"/>
  <c r="AB112" i="54"/>
  <c r="AC112" i="54"/>
  <c r="AD112" i="54"/>
  <c r="AE112" i="54"/>
  <c r="AF112" i="54"/>
  <c r="AG112" i="54"/>
  <c r="AH112" i="54"/>
  <c r="AI112" i="54"/>
  <c r="D113" i="54"/>
  <c r="E113" i="54"/>
  <c r="F113" i="54"/>
  <c r="G113" i="54"/>
  <c r="H113" i="54"/>
  <c r="I113" i="54"/>
  <c r="J113" i="54"/>
  <c r="K113" i="54"/>
  <c r="L113" i="54"/>
  <c r="M113" i="54"/>
  <c r="N113" i="54"/>
  <c r="O113" i="54"/>
  <c r="P113" i="54"/>
  <c r="Q113" i="54"/>
  <c r="R113" i="54"/>
  <c r="S113" i="54"/>
  <c r="T113" i="54"/>
  <c r="U113" i="54"/>
  <c r="V113" i="54"/>
  <c r="W113" i="54"/>
  <c r="X113" i="54"/>
  <c r="Y113" i="54"/>
  <c r="Z113" i="54"/>
  <c r="AA113" i="54"/>
  <c r="AB113" i="54"/>
  <c r="AC113" i="54"/>
  <c r="AD113" i="54"/>
  <c r="AE113" i="54"/>
  <c r="AF113" i="54"/>
  <c r="AG113" i="54"/>
  <c r="AH113" i="54"/>
  <c r="AI113" i="54"/>
  <c r="C110" i="54"/>
  <c r="C111" i="54"/>
  <c r="C112" i="54"/>
  <c r="C113" i="54"/>
  <c r="D59" i="28" l="1"/>
  <c r="E59" i="28"/>
  <c r="F59" i="28"/>
  <c r="G59" i="28"/>
  <c r="H59" i="28"/>
  <c r="I59" i="28"/>
  <c r="J59" i="28"/>
  <c r="K59" i="28"/>
  <c r="L59" i="28"/>
  <c r="M59" i="28"/>
  <c r="N59" i="28"/>
  <c r="O59" i="28"/>
  <c r="P59" i="28"/>
  <c r="Q59" i="28"/>
  <c r="R59" i="28"/>
  <c r="S59" i="28"/>
  <c r="T59" i="28"/>
  <c r="U59" i="28"/>
  <c r="V59" i="28"/>
  <c r="W59" i="28"/>
  <c r="X59" i="28"/>
  <c r="Y59" i="28"/>
  <c r="Z59" i="28"/>
  <c r="AA59" i="28"/>
  <c r="AB59" i="28"/>
  <c r="AC59" i="28"/>
  <c r="AD59" i="28"/>
  <c r="AE59" i="28"/>
  <c r="AF59" i="28"/>
  <c r="AG59" i="28"/>
  <c r="AH59" i="28"/>
  <c r="AI59" i="28"/>
  <c r="C59" i="28"/>
  <c r="AI49" i="29" l="1"/>
  <c r="AI47" i="29"/>
  <c r="AI48" i="29"/>
  <c r="AI154" i="49" s="1"/>
  <c r="AI91" i="47"/>
  <c r="AI92" i="47"/>
  <c r="AI93" i="47"/>
  <c r="AI94" i="47"/>
  <c r="AI95" i="47"/>
  <c r="AI96" i="47"/>
  <c r="AI138" i="49" l="1"/>
  <c r="AI50" i="29"/>
  <c r="AI36" i="45" l="1"/>
  <c r="AI23" i="45"/>
  <c r="AJ202" i="53" l="1"/>
  <c r="AJ204" i="53"/>
  <c r="AJ212" i="53"/>
  <c r="AJ213" i="53"/>
  <c r="AJ219" i="53"/>
  <c r="AI11" i="17"/>
  <c r="AI78" i="47" s="1"/>
  <c r="AI9" i="17"/>
  <c r="D74" i="53" l="1"/>
  <c r="E74" i="53"/>
  <c r="F74" i="53"/>
  <c r="G74" i="53"/>
  <c r="H74" i="53"/>
  <c r="I74" i="53"/>
  <c r="J74" i="53"/>
  <c r="K74" i="53"/>
  <c r="L74" i="53"/>
  <c r="M74" i="53"/>
  <c r="N74" i="53"/>
  <c r="O74" i="53"/>
  <c r="P74" i="53"/>
  <c r="Q74" i="53"/>
  <c r="R74" i="53"/>
  <c r="S74" i="53"/>
  <c r="T74" i="53"/>
  <c r="U74" i="53"/>
  <c r="V74" i="53"/>
  <c r="W74" i="53"/>
  <c r="X74" i="53"/>
  <c r="C74" i="53"/>
  <c r="D60" i="53"/>
  <c r="E60" i="53"/>
  <c r="F60" i="53"/>
  <c r="G60" i="53"/>
  <c r="H60" i="53"/>
  <c r="I60" i="53"/>
  <c r="J60" i="53"/>
  <c r="K60" i="53"/>
  <c r="L60" i="53"/>
  <c r="M60" i="53"/>
  <c r="N60" i="53"/>
  <c r="O60" i="53"/>
  <c r="P60" i="53"/>
  <c r="Q60" i="53"/>
  <c r="R60" i="53"/>
  <c r="S60" i="53"/>
  <c r="T60" i="53"/>
  <c r="U60" i="53"/>
  <c r="V60" i="53"/>
  <c r="W60" i="53"/>
  <c r="X60" i="53"/>
  <c r="Y60" i="53"/>
  <c r="Z60" i="53"/>
  <c r="AA60" i="53"/>
  <c r="AB60" i="53"/>
  <c r="AC60" i="53"/>
  <c r="AD60" i="53"/>
  <c r="AE60" i="53"/>
  <c r="AF60" i="53"/>
  <c r="AG60" i="53"/>
  <c r="AH60" i="53"/>
  <c r="AI60" i="53"/>
  <c r="AJ60" i="53"/>
  <c r="C60" i="53"/>
  <c r="C169" i="44"/>
  <c r="AI162" i="27"/>
  <c r="AJ162" i="27"/>
  <c r="AI161" i="25"/>
  <c r="D161" i="25"/>
  <c r="E161" i="25"/>
  <c r="F161" i="25"/>
  <c r="G161" i="25"/>
  <c r="H161" i="25"/>
  <c r="I161" i="25"/>
  <c r="J161" i="25"/>
  <c r="K161" i="25"/>
  <c r="L161" i="25"/>
  <c r="M161" i="25"/>
  <c r="N161" i="25"/>
  <c r="O161" i="25"/>
  <c r="P161" i="25"/>
  <c r="Q161" i="25"/>
  <c r="R161" i="25"/>
  <c r="S161" i="25"/>
  <c r="T161" i="25"/>
  <c r="U161" i="25"/>
  <c r="V161" i="25"/>
  <c r="W161" i="25"/>
  <c r="X161" i="25"/>
  <c r="Y161" i="25"/>
  <c r="Z161" i="25"/>
  <c r="AA161" i="25"/>
  <c r="AB161" i="25"/>
  <c r="AC161" i="25"/>
  <c r="AD161" i="25"/>
  <c r="AE161" i="25"/>
  <c r="AF161" i="25"/>
  <c r="AG161" i="25"/>
  <c r="AH161" i="25"/>
  <c r="C161" i="25"/>
  <c r="AI26" i="31"/>
  <c r="AH26" i="31"/>
  <c r="C65" i="31"/>
  <c r="C27" i="45" s="1"/>
  <c r="C317" i="53"/>
  <c r="AI268" i="27"/>
  <c r="AH91" i="47"/>
  <c r="AH92" i="47"/>
  <c r="AH93" i="47"/>
  <c r="AH94" i="47"/>
  <c r="AH95" i="47"/>
  <c r="AH96" i="47"/>
  <c r="AI28" i="45"/>
  <c r="AI55" i="50"/>
  <c r="AN27" i="50" s="1"/>
  <c r="AI35" i="45"/>
  <c r="AI22" i="45"/>
  <c r="AI17" i="45"/>
  <c r="AI10" i="45"/>
  <c r="AI13" i="45"/>
  <c r="AI75" i="50"/>
  <c r="AR29" i="50" s="1"/>
  <c r="AI86" i="24"/>
  <c r="AH49" i="29"/>
  <c r="AH124" i="49" s="1"/>
  <c r="AH47" i="29"/>
  <c r="AH48" i="29"/>
  <c r="AH154" i="49" s="1"/>
  <c r="AG171" i="24"/>
  <c r="AG99" i="25" s="1"/>
  <c r="AH171" i="24"/>
  <c r="AH99" i="25" s="1"/>
  <c r="AI171" i="24"/>
  <c r="AI99" i="25" s="1"/>
  <c r="AG76" i="53"/>
  <c r="AG74" i="53" s="1"/>
  <c r="AJ218" i="53"/>
  <c r="Y76" i="53"/>
  <c r="Y74" i="53" s="1"/>
  <c r="Z76" i="53"/>
  <c r="Z74" i="53" s="1"/>
  <c r="AA76" i="53"/>
  <c r="AA74" i="53" s="1"/>
  <c r="AB76" i="53"/>
  <c r="AB74" i="53" s="1"/>
  <c r="AC76" i="53"/>
  <c r="AC74" i="53" s="1"/>
  <c r="AD76" i="53"/>
  <c r="AD74" i="53" s="1"/>
  <c r="AJ435" i="53"/>
  <c r="AJ474" i="53" s="1"/>
  <c r="AJ434" i="53"/>
  <c r="AJ473" i="53" s="1"/>
  <c r="AJ76" i="53"/>
  <c r="AJ203" i="53" s="1"/>
  <c r="AJ205" i="53" s="1"/>
  <c r="AI76" i="53"/>
  <c r="AI74" i="53" s="1"/>
  <c r="AH76" i="53"/>
  <c r="AH74" i="53" s="1"/>
  <c r="AF76" i="53"/>
  <c r="AF74" i="53" s="1"/>
  <c r="AE76" i="53"/>
  <c r="AE74" i="53" s="1"/>
  <c r="AJ396" i="53"/>
  <c r="AJ397" i="53"/>
  <c r="AJ398" i="53"/>
  <c r="AJ399" i="53"/>
  <c r="AJ466" i="53"/>
  <c r="AJ467" i="53"/>
  <c r="AJ468" i="53"/>
  <c r="AJ469" i="53"/>
  <c r="AJ470" i="53"/>
  <c r="AJ471" i="53"/>
  <c r="AJ472" i="53"/>
  <c r="AJ475" i="53"/>
  <c r="AJ476" i="53"/>
  <c r="AJ189" i="53" s="1"/>
  <c r="AJ477" i="53"/>
  <c r="AJ464" i="53"/>
  <c r="AJ465" i="53"/>
  <c r="AI123" i="49"/>
  <c r="R51" i="59" s="1"/>
  <c r="AI117" i="49"/>
  <c r="AI120" i="49"/>
  <c r="AI121" i="49"/>
  <c r="AI124" i="49"/>
  <c r="R52" i="59" s="1"/>
  <c r="AI136" i="49"/>
  <c r="X74" i="49"/>
  <c r="AI152" i="49"/>
  <c r="AI153" i="49"/>
  <c r="AI176" i="49"/>
  <c r="AI82" i="54"/>
  <c r="AI66" i="54"/>
  <c r="AI67" i="54"/>
  <c r="AI47" i="54"/>
  <c r="AI51" i="54"/>
  <c r="AI53" i="54"/>
  <c r="AI34" i="54"/>
  <c r="AI466" i="27"/>
  <c r="AI495" i="27" s="1"/>
  <c r="AI108" i="54"/>
  <c r="AI32" i="45"/>
  <c r="AI54" i="50" s="1"/>
  <c r="AN26" i="50" s="1"/>
  <c r="AJ74" i="44"/>
  <c r="AJ75" i="44" s="1"/>
  <c r="AJ76" i="44" s="1"/>
  <c r="AJ85" i="44"/>
  <c r="AJ143" i="44"/>
  <c r="AJ117" i="44"/>
  <c r="AJ118" i="44" s="1"/>
  <c r="AJ119" i="44" s="1"/>
  <c r="AJ169" i="44"/>
  <c r="AJ158" i="44"/>
  <c r="AJ159" i="44" s="1"/>
  <c r="AJ160" i="44" s="1"/>
  <c r="AJ198" i="44"/>
  <c r="AJ199" i="44" s="1"/>
  <c r="AJ200" i="44" s="1"/>
  <c r="AI64" i="31"/>
  <c r="AI65" i="31" s="1"/>
  <c r="AH9" i="17"/>
  <c r="AH28" i="45" s="1"/>
  <c r="AH11" i="17"/>
  <c r="AH78" i="47" s="1"/>
  <c r="AI76" i="47"/>
  <c r="AI80" i="47"/>
  <c r="AH23" i="45"/>
  <c r="AH35" i="45"/>
  <c r="AI60" i="32"/>
  <c r="AI61" i="32"/>
  <c r="AJ518" i="27"/>
  <c r="AJ526" i="27" s="1"/>
  <c r="AJ519" i="27"/>
  <c r="AJ520" i="27"/>
  <c r="AJ521" i="27"/>
  <c r="AJ410" i="27"/>
  <c r="AJ411" i="27"/>
  <c r="AJ412" i="27"/>
  <c r="AJ413" i="27"/>
  <c r="AJ414" i="27"/>
  <c r="AJ415" i="27"/>
  <c r="AJ416" i="27"/>
  <c r="AJ417" i="27"/>
  <c r="AJ425" i="27"/>
  <c r="AJ426" i="27"/>
  <c r="AJ427" i="27"/>
  <c r="AJ428" i="27"/>
  <c r="AJ429" i="27"/>
  <c r="AJ430" i="27"/>
  <c r="AJ431" i="27"/>
  <c r="AJ432" i="27"/>
  <c r="AJ433" i="27"/>
  <c r="AJ434" i="27"/>
  <c r="AJ442" i="27"/>
  <c r="AJ443" i="27"/>
  <c r="AJ444" i="27"/>
  <c r="AJ496" i="27"/>
  <c r="AJ497" i="27"/>
  <c r="AJ498" i="27"/>
  <c r="AJ495" i="27"/>
  <c r="AJ266" i="27"/>
  <c r="AJ262" i="27"/>
  <c r="AJ263" i="27"/>
  <c r="AJ265" i="27"/>
  <c r="AJ280" i="27"/>
  <c r="AJ277" i="27"/>
  <c r="AJ279" i="27"/>
  <c r="AJ282" i="27"/>
  <c r="AJ289" i="27"/>
  <c r="AJ290" i="27"/>
  <c r="AJ291" i="27"/>
  <c r="AJ292" i="27"/>
  <c r="AJ293" i="27"/>
  <c r="AJ294" i="27"/>
  <c r="AJ295" i="27"/>
  <c r="AJ296" i="27"/>
  <c r="AJ297" i="27"/>
  <c r="AJ298" i="27"/>
  <c r="AJ305" i="27"/>
  <c r="AJ306" i="27"/>
  <c r="AJ307" i="27"/>
  <c r="AJ314" i="27"/>
  <c r="AG86" i="24"/>
  <c r="AH86" i="24"/>
  <c r="AI198" i="44"/>
  <c r="AI199" i="44" s="1"/>
  <c r="AI200" i="44" s="1"/>
  <c r="AI169" i="44"/>
  <c r="AI158" i="44"/>
  <c r="AI159" i="44" s="1"/>
  <c r="AI160" i="44" s="1"/>
  <c r="AI117" i="44"/>
  <c r="AI118" i="44" s="1"/>
  <c r="AI119" i="44" s="1"/>
  <c r="AI74" i="44"/>
  <c r="AI75" i="44" s="1"/>
  <c r="AI76" i="44" s="1"/>
  <c r="AI464" i="53"/>
  <c r="AI465" i="53"/>
  <c r="AI466" i="53"/>
  <c r="AI467" i="53"/>
  <c r="AI468" i="53"/>
  <c r="AI469" i="53"/>
  <c r="AI470" i="53"/>
  <c r="AI471" i="53"/>
  <c r="AI472" i="53"/>
  <c r="AI473" i="53"/>
  <c r="AI474" i="53"/>
  <c r="AI475" i="53"/>
  <c r="AI476" i="53"/>
  <c r="AI477" i="53"/>
  <c r="AI486" i="53"/>
  <c r="AH518" i="27"/>
  <c r="AH526" i="27" s="1"/>
  <c r="AI518" i="27"/>
  <c r="AI526" i="27" s="1"/>
  <c r="AJ317" i="53"/>
  <c r="AJ321" i="53"/>
  <c r="AJ335" i="53"/>
  <c r="AJ337" i="53"/>
  <c r="AJ345" i="53"/>
  <c r="AJ346" i="53"/>
  <c r="AJ353" i="53"/>
  <c r="AJ354" i="53"/>
  <c r="AI317" i="53"/>
  <c r="AI321" i="53"/>
  <c r="AI335" i="53"/>
  <c r="AI337" i="53"/>
  <c r="AI345" i="53"/>
  <c r="AI346" i="53"/>
  <c r="AI353" i="53"/>
  <c r="AI354" i="53"/>
  <c r="AI176" i="53"/>
  <c r="AI202" i="53"/>
  <c r="AI204" i="53"/>
  <c r="AI212" i="53"/>
  <c r="AI213" i="53"/>
  <c r="AI219" i="53"/>
  <c r="L61" i="32"/>
  <c r="L62" i="32" s="1"/>
  <c r="M61" i="32"/>
  <c r="M62" i="32" s="1"/>
  <c r="N61" i="32"/>
  <c r="O61" i="32"/>
  <c r="O62" i="32" s="1"/>
  <c r="O47" i="32" s="1"/>
  <c r="P61" i="32"/>
  <c r="P62" i="32" s="1"/>
  <c r="Q61" i="32"/>
  <c r="Q62" i="32" s="1"/>
  <c r="R61" i="32"/>
  <c r="R62" i="32" s="1"/>
  <c r="S61" i="32"/>
  <c r="S62" i="32" s="1"/>
  <c r="S47" i="32" s="1"/>
  <c r="T61" i="32"/>
  <c r="T62" i="32" s="1"/>
  <c r="U61" i="32"/>
  <c r="U62" i="32" s="1"/>
  <c r="U47" i="32" s="1"/>
  <c r="U48" i="32" s="1"/>
  <c r="U32" i="32" s="1"/>
  <c r="AI309" i="53"/>
  <c r="AJ309" i="53"/>
  <c r="AJ176" i="53"/>
  <c r="AJ136" i="27"/>
  <c r="AJ119" i="27"/>
  <c r="AI131" i="44"/>
  <c r="AH70" i="47" s="1"/>
  <c r="AH76" i="47"/>
  <c r="AI143" i="44"/>
  <c r="AI85" i="44"/>
  <c r="AI79" i="54"/>
  <c r="AH64" i="31"/>
  <c r="AH65" i="31" s="1"/>
  <c r="AH78" i="31"/>
  <c r="AH79" i="31" s="1"/>
  <c r="AH19" i="45" s="1"/>
  <c r="AI25" i="45"/>
  <c r="AG49" i="29"/>
  <c r="AG124" i="49" s="1"/>
  <c r="AG47" i="29"/>
  <c r="AG48" i="29"/>
  <c r="AG154" i="49" s="1"/>
  <c r="C91" i="47"/>
  <c r="D91" i="47"/>
  <c r="E91" i="47"/>
  <c r="F91" i="47"/>
  <c r="G91" i="47"/>
  <c r="H91" i="47"/>
  <c r="I91" i="47"/>
  <c r="J91" i="47"/>
  <c r="K91" i="47"/>
  <c r="L91" i="47"/>
  <c r="M91" i="47"/>
  <c r="N91" i="47"/>
  <c r="O91" i="47"/>
  <c r="P91" i="47"/>
  <c r="Q91" i="47"/>
  <c r="R91" i="47"/>
  <c r="S91" i="47"/>
  <c r="T91" i="47"/>
  <c r="U91" i="47"/>
  <c r="V91" i="47"/>
  <c r="W91" i="47"/>
  <c r="X91" i="47"/>
  <c r="Y91" i="47"/>
  <c r="Z91" i="47"/>
  <c r="AA91" i="47"/>
  <c r="AB91" i="47"/>
  <c r="AC91" i="47"/>
  <c r="AD91" i="47"/>
  <c r="AE91" i="47"/>
  <c r="AF91" i="47"/>
  <c r="AG91" i="47"/>
  <c r="C92" i="47"/>
  <c r="D92" i="47"/>
  <c r="E92" i="47"/>
  <c r="F92" i="47"/>
  <c r="G92" i="47"/>
  <c r="H92" i="47"/>
  <c r="I92" i="47"/>
  <c r="J92" i="47"/>
  <c r="K92" i="47"/>
  <c r="L92" i="47"/>
  <c r="M92" i="47"/>
  <c r="N92" i="47"/>
  <c r="O92" i="47"/>
  <c r="P92" i="47"/>
  <c r="Q92" i="47"/>
  <c r="R92" i="47"/>
  <c r="S92" i="47"/>
  <c r="T92" i="47"/>
  <c r="U92" i="47"/>
  <c r="V92" i="47"/>
  <c r="W92" i="47"/>
  <c r="X92" i="47"/>
  <c r="Y92" i="47"/>
  <c r="Z92" i="47"/>
  <c r="AA92" i="47"/>
  <c r="AB92" i="47"/>
  <c r="AC92" i="47"/>
  <c r="AD92" i="47"/>
  <c r="AE92" i="47"/>
  <c r="AF92" i="47"/>
  <c r="AG92" i="47"/>
  <c r="C93" i="47"/>
  <c r="D93" i="47"/>
  <c r="E93" i="47"/>
  <c r="F93" i="47"/>
  <c r="G93" i="47"/>
  <c r="H93" i="47"/>
  <c r="I93" i="47"/>
  <c r="J93" i="47"/>
  <c r="K93" i="47"/>
  <c r="L93" i="47"/>
  <c r="M93" i="47"/>
  <c r="N93" i="47"/>
  <c r="O93" i="47"/>
  <c r="P93" i="47"/>
  <c r="Q93" i="47"/>
  <c r="R93" i="47"/>
  <c r="S93" i="47"/>
  <c r="T93" i="47"/>
  <c r="U93" i="47"/>
  <c r="V93" i="47"/>
  <c r="W93" i="47"/>
  <c r="X93" i="47"/>
  <c r="Y93" i="47"/>
  <c r="Z93" i="47"/>
  <c r="AA93" i="47"/>
  <c r="AB93" i="47"/>
  <c r="AC93" i="47"/>
  <c r="AD93" i="47"/>
  <c r="AE93" i="47"/>
  <c r="AF93" i="47"/>
  <c r="AG93" i="47"/>
  <c r="C94" i="47"/>
  <c r="D94" i="47"/>
  <c r="E94" i="47"/>
  <c r="F94" i="47"/>
  <c r="G94" i="47"/>
  <c r="H94" i="47"/>
  <c r="I94" i="47"/>
  <c r="J94" i="47"/>
  <c r="K94" i="47"/>
  <c r="L94" i="47"/>
  <c r="M94" i="47"/>
  <c r="N94" i="47"/>
  <c r="O94" i="47"/>
  <c r="P94" i="47"/>
  <c r="Q94" i="47"/>
  <c r="R94" i="47"/>
  <c r="S94" i="47"/>
  <c r="T94" i="47"/>
  <c r="U94" i="47"/>
  <c r="V94" i="47"/>
  <c r="W94" i="47"/>
  <c r="X94" i="47"/>
  <c r="Y94" i="47"/>
  <c r="Z94" i="47"/>
  <c r="AA94" i="47"/>
  <c r="AB94" i="47"/>
  <c r="AC94" i="47"/>
  <c r="AD94" i="47"/>
  <c r="AE94" i="47"/>
  <c r="AF94" i="47"/>
  <c r="AG94" i="47"/>
  <c r="C95" i="47"/>
  <c r="D95" i="47"/>
  <c r="E95" i="47"/>
  <c r="F95" i="47"/>
  <c r="G95" i="47"/>
  <c r="H95" i="47"/>
  <c r="I95" i="47"/>
  <c r="J95" i="47"/>
  <c r="K95" i="47"/>
  <c r="L95" i="47"/>
  <c r="M95" i="47"/>
  <c r="N95" i="47"/>
  <c r="O95" i="47"/>
  <c r="P95" i="47"/>
  <c r="Q95" i="47"/>
  <c r="R95" i="47"/>
  <c r="S95" i="47"/>
  <c r="T95" i="47"/>
  <c r="U95" i="47"/>
  <c r="V95" i="47"/>
  <c r="W95" i="47"/>
  <c r="X95" i="47"/>
  <c r="Y95" i="47"/>
  <c r="Z95" i="47"/>
  <c r="AA95" i="47"/>
  <c r="AB95" i="47"/>
  <c r="AC95" i="47"/>
  <c r="AD95" i="47"/>
  <c r="AE95" i="47"/>
  <c r="AF95" i="47"/>
  <c r="AG95" i="47"/>
  <c r="C96" i="47"/>
  <c r="D96" i="47"/>
  <c r="E96" i="47"/>
  <c r="F96" i="47"/>
  <c r="G96" i="47"/>
  <c r="H96" i="47"/>
  <c r="I96" i="47"/>
  <c r="J96" i="47"/>
  <c r="K96" i="47"/>
  <c r="L96" i="47"/>
  <c r="M96" i="47"/>
  <c r="N96" i="47"/>
  <c r="O96" i="47"/>
  <c r="P96" i="47"/>
  <c r="Q96" i="47"/>
  <c r="R96" i="47"/>
  <c r="S96" i="47"/>
  <c r="T96" i="47"/>
  <c r="U96" i="47"/>
  <c r="V96" i="47"/>
  <c r="W96" i="47"/>
  <c r="X96" i="47"/>
  <c r="Y96" i="47"/>
  <c r="Z96" i="47"/>
  <c r="AA96" i="47"/>
  <c r="AB96" i="47"/>
  <c r="AC96" i="47"/>
  <c r="AD96" i="47"/>
  <c r="AE96" i="47"/>
  <c r="AF96" i="47"/>
  <c r="AG96" i="47"/>
  <c r="B96" i="47"/>
  <c r="B95" i="47"/>
  <c r="B94" i="47"/>
  <c r="B93" i="47"/>
  <c r="B92" i="47"/>
  <c r="B91" i="47"/>
  <c r="U123" i="49"/>
  <c r="AI396" i="53"/>
  <c r="AI397" i="53"/>
  <c r="AI398" i="53"/>
  <c r="AI399" i="53"/>
  <c r="AH60" i="32"/>
  <c r="AH61" i="32"/>
  <c r="AH266" i="27"/>
  <c r="AH158" i="44"/>
  <c r="AH159" i="44" s="1"/>
  <c r="AH160" i="44" s="1"/>
  <c r="AH117" i="44"/>
  <c r="AH118" i="44" s="1"/>
  <c r="AH119" i="44" s="1"/>
  <c r="AH74" i="44"/>
  <c r="AH75" i="44" s="1"/>
  <c r="AH76" i="44" s="1"/>
  <c r="AG11" i="17"/>
  <c r="AG78" i="47" s="1"/>
  <c r="AG9" i="17"/>
  <c r="AG176" i="49" s="1"/>
  <c r="AI136" i="27"/>
  <c r="AI119" i="27"/>
  <c r="AI519" i="27"/>
  <c r="AI520" i="27"/>
  <c r="AI521" i="27"/>
  <c r="AI442" i="27"/>
  <c r="AI443" i="27"/>
  <c r="AI444" i="27"/>
  <c r="AI410" i="27"/>
  <c r="AI411" i="27"/>
  <c r="AI412" i="27"/>
  <c r="AI413" i="27"/>
  <c r="AI414" i="27"/>
  <c r="AI415" i="27"/>
  <c r="AI416" i="27"/>
  <c r="AI417" i="27"/>
  <c r="AI496" i="27"/>
  <c r="AI497" i="27"/>
  <c r="AI498" i="27"/>
  <c r="AI305" i="27"/>
  <c r="AI306" i="27"/>
  <c r="AI307" i="27"/>
  <c r="AI314" i="27"/>
  <c r="AI261" i="27"/>
  <c r="AI264" i="27"/>
  <c r="AI265" i="27"/>
  <c r="AI283" i="27"/>
  <c r="AI278" i="27"/>
  <c r="AI279" i="27"/>
  <c r="AI282" i="27"/>
  <c r="AH198" i="44"/>
  <c r="AH199" i="44" s="1"/>
  <c r="AH200" i="44" s="1"/>
  <c r="AH169" i="44"/>
  <c r="AH80" i="47"/>
  <c r="AH117" i="49"/>
  <c r="AH120" i="49"/>
  <c r="AH136" i="49"/>
  <c r="AH153" i="49"/>
  <c r="AH121" i="49"/>
  <c r="AH152" i="49"/>
  <c r="AH79" i="54"/>
  <c r="AH66" i="54"/>
  <c r="AH67" i="54"/>
  <c r="AH47" i="54"/>
  <c r="AH51" i="54"/>
  <c r="AH34" i="54"/>
  <c r="AH25" i="45"/>
  <c r="AH10" i="45"/>
  <c r="AH13" i="45"/>
  <c r="AH17" i="45"/>
  <c r="AH22" i="45"/>
  <c r="AH33" i="45"/>
  <c r="AI425" i="27"/>
  <c r="AI426" i="27"/>
  <c r="AI427" i="27"/>
  <c r="AI428" i="27"/>
  <c r="AI429" i="27"/>
  <c r="AI430" i="27"/>
  <c r="AI431" i="27"/>
  <c r="AI432" i="27"/>
  <c r="AI433" i="27"/>
  <c r="AI434" i="27"/>
  <c r="AI289" i="27"/>
  <c r="AI290" i="27"/>
  <c r="AI291" i="27"/>
  <c r="AI292" i="27"/>
  <c r="AI293" i="27"/>
  <c r="AI294" i="27"/>
  <c r="AI295" i="27"/>
  <c r="AI296" i="27"/>
  <c r="AI297" i="27"/>
  <c r="AI298" i="27"/>
  <c r="AH143" i="44"/>
  <c r="AH85" i="44"/>
  <c r="AH317" i="53"/>
  <c r="AH321" i="53"/>
  <c r="AH335" i="53"/>
  <c r="AH337" i="53"/>
  <c r="AH345" i="53"/>
  <c r="AH346" i="53"/>
  <c r="AH353" i="53"/>
  <c r="AH354" i="53"/>
  <c r="AH202" i="53"/>
  <c r="AH204" i="53"/>
  <c r="AH212" i="53"/>
  <c r="AH213" i="53"/>
  <c r="AH218" i="53"/>
  <c r="AH219" i="53"/>
  <c r="AH396" i="53"/>
  <c r="AH397" i="53"/>
  <c r="AH398" i="53"/>
  <c r="AH399" i="53"/>
  <c r="AH464" i="53"/>
  <c r="AH465" i="53"/>
  <c r="AH466" i="53"/>
  <c r="AH467" i="53"/>
  <c r="AH468" i="53"/>
  <c r="AH469" i="53"/>
  <c r="AH470" i="53"/>
  <c r="AH471" i="53"/>
  <c r="AH472" i="53"/>
  <c r="AH473" i="53"/>
  <c r="AH474" i="53"/>
  <c r="AH475" i="53"/>
  <c r="AH476" i="53"/>
  <c r="AH477" i="53"/>
  <c r="B82" i="50"/>
  <c r="AP82" i="50" s="1"/>
  <c r="E52" i="31"/>
  <c r="E39" i="45" s="1"/>
  <c r="F83" i="47"/>
  <c r="F82" i="47" s="1"/>
  <c r="F52" i="31"/>
  <c r="F39" i="45" s="1"/>
  <c r="G52" i="31"/>
  <c r="G39" i="45" s="1"/>
  <c r="H52" i="31"/>
  <c r="H39" i="45" s="1"/>
  <c r="I52" i="31"/>
  <c r="I39" i="45" s="1"/>
  <c r="J52" i="31"/>
  <c r="J39" i="45" s="1"/>
  <c r="K83" i="47"/>
  <c r="K82" i="47" s="1"/>
  <c r="L83" i="47"/>
  <c r="L82" i="47" s="1"/>
  <c r="M52" i="31"/>
  <c r="M39" i="45" s="1"/>
  <c r="N52" i="31"/>
  <c r="N39" i="45" s="1"/>
  <c r="O83" i="47"/>
  <c r="O82" i="47" s="1"/>
  <c r="P52" i="31"/>
  <c r="P39" i="45" s="1"/>
  <c r="Q52" i="31"/>
  <c r="Q39" i="45" s="1"/>
  <c r="R52" i="31"/>
  <c r="R39" i="45" s="1"/>
  <c r="S83" i="47"/>
  <c r="S82" i="47" s="1"/>
  <c r="T52" i="31"/>
  <c r="T39" i="45" s="1"/>
  <c r="U52" i="31"/>
  <c r="U39" i="45" s="1"/>
  <c r="D52" i="31"/>
  <c r="D39" i="45" s="1"/>
  <c r="C52" i="31"/>
  <c r="C39" i="45" s="1"/>
  <c r="B83" i="47"/>
  <c r="B82" i="47" s="1"/>
  <c r="AF171" i="24"/>
  <c r="AF99" i="25" s="1"/>
  <c r="D86" i="24"/>
  <c r="E86" i="24"/>
  <c r="F86" i="24"/>
  <c r="G86" i="24"/>
  <c r="H86" i="24"/>
  <c r="I86" i="24"/>
  <c r="J86" i="24"/>
  <c r="K86" i="24"/>
  <c r="L86" i="24"/>
  <c r="M86" i="24"/>
  <c r="N86" i="24"/>
  <c r="O86" i="24"/>
  <c r="P86" i="24"/>
  <c r="Q86" i="24"/>
  <c r="R86" i="24"/>
  <c r="S86" i="24"/>
  <c r="T86" i="24"/>
  <c r="U86" i="24"/>
  <c r="V86" i="24"/>
  <c r="W86" i="24"/>
  <c r="X86" i="24"/>
  <c r="Y86" i="24"/>
  <c r="Z86" i="24"/>
  <c r="AA86" i="24"/>
  <c r="AB86" i="24"/>
  <c r="AC86" i="24"/>
  <c r="AD86" i="24"/>
  <c r="AE86" i="24"/>
  <c r="AF86" i="24"/>
  <c r="C86" i="24"/>
  <c r="B86" i="24"/>
  <c r="AG80" i="47"/>
  <c r="B81" i="50"/>
  <c r="AK81" i="50" s="1"/>
  <c r="AH131" i="44"/>
  <c r="AG70" i="47" s="1"/>
  <c r="AG76" i="47"/>
  <c r="AG26" i="31"/>
  <c r="AG64" i="31"/>
  <c r="AG65" i="31" s="1"/>
  <c r="AG78" i="31"/>
  <c r="AG79" i="31" s="1"/>
  <c r="AG19" i="45" s="1"/>
  <c r="AG123" i="49"/>
  <c r="AH519" i="27"/>
  <c r="AH520" i="27"/>
  <c r="AH521" i="27"/>
  <c r="AH410" i="27"/>
  <c r="AH411" i="27"/>
  <c r="AH412" i="27"/>
  <c r="AH413" i="27"/>
  <c r="AH414" i="27"/>
  <c r="AH415" i="27"/>
  <c r="AH416" i="27"/>
  <c r="AH417" i="27"/>
  <c r="AH425" i="27"/>
  <c r="AH426" i="27"/>
  <c r="AH427" i="27"/>
  <c r="AH428" i="27"/>
  <c r="AH429" i="27"/>
  <c r="AH430" i="27"/>
  <c r="AH431" i="27"/>
  <c r="AH432" i="27"/>
  <c r="AH433" i="27"/>
  <c r="AH434" i="27"/>
  <c r="AH442" i="27"/>
  <c r="AH443" i="27"/>
  <c r="AH444" i="27"/>
  <c r="AG466" i="27"/>
  <c r="AG495" i="27" s="1"/>
  <c r="AE466" i="27"/>
  <c r="AE495" i="27" s="1"/>
  <c r="AH495" i="27"/>
  <c r="AH496" i="27"/>
  <c r="AH497" i="27"/>
  <c r="AH262" i="27"/>
  <c r="AH265" i="27"/>
  <c r="AH280" i="27"/>
  <c r="AH278" i="27"/>
  <c r="AH279" i="27"/>
  <c r="AH282" i="27"/>
  <c r="AH289" i="27"/>
  <c r="AH290" i="27"/>
  <c r="AH291" i="27"/>
  <c r="AH292" i="27"/>
  <c r="AH293" i="27"/>
  <c r="AH294" i="27"/>
  <c r="AH295" i="27"/>
  <c r="AH296" i="27"/>
  <c r="AH297" i="27"/>
  <c r="AH298" i="27"/>
  <c r="AH305" i="27"/>
  <c r="AH306" i="27"/>
  <c r="AH307" i="27"/>
  <c r="AH314" i="27"/>
  <c r="AG60" i="32"/>
  <c r="AG61" i="32"/>
  <c r="D519" i="27"/>
  <c r="E519" i="27"/>
  <c r="F519" i="27"/>
  <c r="G519" i="27"/>
  <c r="H519" i="27"/>
  <c r="I519" i="27"/>
  <c r="J519" i="27"/>
  <c r="K519" i="27"/>
  <c r="L519" i="27"/>
  <c r="M519" i="27"/>
  <c r="N519" i="27"/>
  <c r="O519" i="27"/>
  <c r="P519" i="27"/>
  <c r="Q519" i="27"/>
  <c r="R519" i="27"/>
  <c r="S519" i="27"/>
  <c r="T519" i="27"/>
  <c r="U519" i="27"/>
  <c r="V519" i="27"/>
  <c r="W519" i="27"/>
  <c r="X519" i="27"/>
  <c r="Y519" i="27"/>
  <c r="Z519" i="27"/>
  <c r="AA519" i="27"/>
  <c r="AB519" i="27"/>
  <c r="AC519" i="27"/>
  <c r="AD519" i="27"/>
  <c r="AE519" i="27"/>
  <c r="AF519" i="27"/>
  <c r="AG519" i="27"/>
  <c r="D520" i="27"/>
  <c r="E520" i="27"/>
  <c r="F520" i="27"/>
  <c r="G520" i="27"/>
  <c r="H520" i="27"/>
  <c r="I520" i="27"/>
  <c r="J520" i="27"/>
  <c r="K520" i="27"/>
  <c r="L520" i="27"/>
  <c r="M520" i="27"/>
  <c r="N520" i="27"/>
  <c r="O520" i="27"/>
  <c r="P520" i="27"/>
  <c r="Q520" i="27"/>
  <c r="R520" i="27"/>
  <c r="S520" i="27"/>
  <c r="T520" i="27"/>
  <c r="U520" i="27"/>
  <c r="V520" i="27"/>
  <c r="W520" i="27"/>
  <c r="X520" i="27"/>
  <c r="Y520" i="27"/>
  <c r="Z520" i="27"/>
  <c r="AA520" i="27"/>
  <c r="AB520" i="27"/>
  <c r="AC520" i="27"/>
  <c r="AD520" i="27"/>
  <c r="AE520" i="27"/>
  <c r="AF520" i="27"/>
  <c r="AG520" i="27"/>
  <c r="D521" i="27"/>
  <c r="D529" i="27" s="1"/>
  <c r="E521" i="27"/>
  <c r="E529" i="27" s="1"/>
  <c r="F521" i="27"/>
  <c r="F529" i="27" s="1"/>
  <c r="G521" i="27"/>
  <c r="G529" i="27" s="1"/>
  <c r="H521" i="27"/>
  <c r="H529" i="27" s="1"/>
  <c r="I521" i="27"/>
  <c r="I529" i="27" s="1"/>
  <c r="J521" i="27"/>
  <c r="J529" i="27" s="1"/>
  <c r="K521" i="27"/>
  <c r="K529" i="27" s="1"/>
  <c r="L521" i="27"/>
  <c r="L529" i="27" s="1"/>
  <c r="M521" i="27"/>
  <c r="M529" i="27" s="1"/>
  <c r="N521" i="27"/>
  <c r="N529" i="27" s="1"/>
  <c r="O521" i="27"/>
  <c r="O529" i="27" s="1"/>
  <c r="P521" i="27"/>
  <c r="P529" i="27" s="1"/>
  <c r="Q521" i="27"/>
  <c r="Q529" i="27" s="1"/>
  <c r="R521" i="27"/>
  <c r="R529" i="27" s="1"/>
  <c r="S521" i="27"/>
  <c r="S529" i="27" s="1"/>
  <c r="T521" i="27"/>
  <c r="T529" i="27" s="1"/>
  <c r="U521" i="27"/>
  <c r="U529" i="27" s="1"/>
  <c r="V521" i="27"/>
  <c r="V529" i="27" s="1"/>
  <c r="W521" i="27"/>
  <c r="W529" i="27" s="1"/>
  <c r="X521" i="27"/>
  <c r="X529" i="27" s="1"/>
  <c r="Y521" i="27"/>
  <c r="Y529" i="27" s="1"/>
  <c r="Z521" i="27"/>
  <c r="Z529" i="27" s="1"/>
  <c r="AA521" i="27"/>
  <c r="AA529" i="27" s="1"/>
  <c r="AB521" i="27"/>
  <c r="AB529" i="27" s="1"/>
  <c r="AC521" i="27"/>
  <c r="AC529" i="27" s="1"/>
  <c r="AD521" i="27"/>
  <c r="AD529" i="27" s="1"/>
  <c r="AE521" i="27"/>
  <c r="AF521" i="27"/>
  <c r="AG521" i="27"/>
  <c r="C520" i="27"/>
  <c r="C521" i="27"/>
  <c r="C519" i="27"/>
  <c r="AG266" i="27"/>
  <c r="AG269" i="27"/>
  <c r="AG264" i="27"/>
  <c r="AG265" i="27"/>
  <c r="AG279" i="27"/>
  <c r="AG282" i="27"/>
  <c r="AG289" i="27"/>
  <c r="AG290" i="27"/>
  <c r="AG291" i="27"/>
  <c r="AG292" i="27"/>
  <c r="AG293" i="27"/>
  <c r="AG294" i="27"/>
  <c r="AG295" i="27"/>
  <c r="AG296" i="27"/>
  <c r="AG297" i="27"/>
  <c r="AG298" i="27"/>
  <c r="AG305" i="27"/>
  <c r="AG306" i="27"/>
  <c r="AG307" i="27"/>
  <c r="AG314" i="27"/>
  <c r="E266" i="27"/>
  <c r="F266" i="27"/>
  <c r="G268" i="27"/>
  <c r="H268" i="27"/>
  <c r="I268" i="27"/>
  <c r="K268" i="27"/>
  <c r="L268" i="27"/>
  <c r="M266" i="27"/>
  <c r="N266" i="27"/>
  <c r="O268" i="27"/>
  <c r="Q268" i="27"/>
  <c r="R266" i="27"/>
  <c r="S268" i="27"/>
  <c r="U268" i="27"/>
  <c r="V267" i="27"/>
  <c r="W267" i="27"/>
  <c r="X268" i="27"/>
  <c r="Z268" i="27"/>
  <c r="AA267" i="27"/>
  <c r="AC268" i="27"/>
  <c r="AD268" i="27"/>
  <c r="AE266" i="27"/>
  <c r="D261" i="27"/>
  <c r="E269" i="27"/>
  <c r="F269" i="27"/>
  <c r="H261" i="27"/>
  <c r="I269" i="27"/>
  <c r="J261" i="27"/>
  <c r="K269" i="27"/>
  <c r="M269" i="27"/>
  <c r="N262" i="27"/>
  <c r="O269" i="27"/>
  <c r="P269" i="27"/>
  <c r="Q269" i="27"/>
  <c r="R261" i="27"/>
  <c r="S262" i="27"/>
  <c r="T261" i="27"/>
  <c r="V262" i="27"/>
  <c r="W269" i="27"/>
  <c r="X262" i="27"/>
  <c r="Y261" i="27"/>
  <c r="AA269" i="27"/>
  <c r="AB269" i="27"/>
  <c r="AC262" i="27"/>
  <c r="AD261" i="27"/>
  <c r="AE269" i="27"/>
  <c r="AF262" i="27"/>
  <c r="D264" i="27"/>
  <c r="E263" i="27"/>
  <c r="F264" i="27"/>
  <c r="G263" i="27"/>
  <c r="H263" i="27"/>
  <c r="I263" i="27"/>
  <c r="K263" i="27"/>
  <c r="L263" i="27"/>
  <c r="M263" i="27"/>
  <c r="N264" i="27"/>
  <c r="O263" i="27"/>
  <c r="P264" i="27"/>
  <c r="Q263" i="27"/>
  <c r="R264" i="27"/>
  <c r="S263" i="27"/>
  <c r="T263" i="27"/>
  <c r="U264" i="27"/>
  <c r="V264" i="27"/>
  <c r="Y263" i="27"/>
  <c r="Z264" i="27"/>
  <c r="AB263" i="27"/>
  <c r="AC264" i="27"/>
  <c r="AD264" i="27"/>
  <c r="AE264" i="27"/>
  <c r="AF263" i="27"/>
  <c r="D265" i="27"/>
  <c r="E265" i="27"/>
  <c r="F265" i="27"/>
  <c r="G265" i="27"/>
  <c r="H265" i="27"/>
  <c r="I265" i="27"/>
  <c r="J265" i="27"/>
  <c r="K265" i="27"/>
  <c r="L265" i="27"/>
  <c r="M265" i="27"/>
  <c r="N265" i="27"/>
  <c r="O265" i="27"/>
  <c r="P265" i="27"/>
  <c r="Q265" i="27"/>
  <c r="R265" i="27"/>
  <c r="S265" i="27"/>
  <c r="T265" i="27"/>
  <c r="U265" i="27"/>
  <c r="V265" i="27"/>
  <c r="W265" i="27"/>
  <c r="X265" i="27"/>
  <c r="Y265" i="27"/>
  <c r="Z265" i="27"/>
  <c r="AA265" i="27"/>
  <c r="AB265" i="27"/>
  <c r="AC265" i="27"/>
  <c r="AD265" i="27"/>
  <c r="AE265" i="27"/>
  <c r="AF265" i="27"/>
  <c r="D276" i="27"/>
  <c r="E283" i="27"/>
  <c r="F283" i="27"/>
  <c r="I280" i="27"/>
  <c r="J281" i="27"/>
  <c r="K280" i="27"/>
  <c r="L280" i="27"/>
  <c r="M280" i="27"/>
  <c r="N283" i="27"/>
  <c r="O281" i="27"/>
  <c r="P280" i="27"/>
  <c r="Q281" i="27"/>
  <c r="R281" i="27"/>
  <c r="S280" i="27"/>
  <c r="U283" i="27"/>
  <c r="V275" i="27"/>
  <c r="W280" i="27"/>
  <c r="X275" i="27"/>
  <c r="Y283" i="27"/>
  <c r="Z281" i="27"/>
  <c r="AA275" i="27"/>
  <c r="AB276" i="27"/>
  <c r="AC283" i="27"/>
  <c r="AD283" i="27"/>
  <c r="AF275" i="27"/>
  <c r="D278" i="27"/>
  <c r="E278" i="27"/>
  <c r="H278" i="27"/>
  <c r="K277" i="27"/>
  <c r="L277" i="27"/>
  <c r="M277" i="27"/>
  <c r="P277" i="27"/>
  <c r="Q278" i="27"/>
  <c r="R278" i="27"/>
  <c r="T278" i="27"/>
  <c r="U278" i="27"/>
  <c r="V277" i="27"/>
  <c r="W278" i="27"/>
  <c r="X278" i="27"/>
  <c r="Y277" i="27"/>
  <c r="AB277" i="27"/>
  <c r="AC277" i="27"/>
  <c r="D279" i="27"/>
  <c r="E279" i="27"/>
  <c r="F279" i="27"/>
  <c r="G279" i="27"/>
  <c r="H279" i="27"/>
  <c r="I279" i="27"/>
  <c r="J279" i="27"/>
  <c r="K279" i="27"/>
  <c r="L279" i="27"/>
  <c r="M279" i="27"/>
  <c r="N279" i="27"/>
  <c r="O279" i="27"/>
  <c r="P279" i="27"/>
  <c r="Q279" i="27"/>
  <c r="R279" i="27"/>
  <c r="S279" i="27"/>
  <c r="T279" i="27"/>
  <c r="U279" i="27"/>
  <c r="V279" i="27"/>
  <c r="W279" i="27"/>
  <c r="X279" i="27"/>
  <c r="Y279" i="27"/>
  <c r="Z279" i="27"/>
  <c r="AA279" i="27"/>
  <c r="AB279" i="27"/>
  <c r="AC279" i="27"/>
  <c r="AD279" i="27"/>
  <c r="AE279" i="27"/>
  <c r="AF279" i="27"/>
  <c r="D282" i="27"/>
  <c r="E282" i="27"/>
  <c r="F282" i="27"/>
  <c r="G282" i="27"/>
  <c r="H282" i="27"/>
  <c r="I282" i="27"/>
  <c r="J282" i="27"/>
  <c r="K282" i="27"/>
  <c r="L282" i="27"/>
  <c r="M282" i="27"/>
  <c r="N282" i="27"/>
  <c r="O282" i="27"/>
  <c r="P282" i="27"/>
  <c r="Q282" i="27"/>
  <c r="R282" i="27"/>
  <c r="S282" i="27"/>
  <c r="T282" i="27"/>
  <c r="U282" i="27"/>
  <c r="V282" i="27"/>
  <c r="W282" i="27"/>
  <c r="X282" i="27"/>
  <c r="Y282" i="27"/>
  <c r="Z282" i="27"/>
  <c r="AA282" i="27"/>
  <c r="AB282" i="27"/>
  <c r="AC282" i="27"/>
  <c r="AD282" i="27"/>
  <c r="AE282" i="27"/>
  <c r="AF282" i="27"/>
  <c r="AA289" i="27"/>
  <c r="AB289" i="27"/>
  <c r="AC289" i="27"/>
  <c r="AD289" i="27"/>
  <c r="AE289" i="27"/>
  <c r="AF289" i="27"/>
  <c r="AA290" i="27"/>
  <c r="AB290" i="27"/>
  <c r="AC290" i="27"/>
  <c r="AD290" i="27"/>
  <c r="AE290" i="27"/>
  <c r="AF290" i="27"/>
  <c r="AA291" i="27"/>
  <c r="AB291" i="27"/>
  <c r="AC291" i="27"/>
  <c r="AD291" i="27"/>
  <c r="AE291" i="27"/>
  <c r="AF291" i="27"/>
  <c r="AA292" i="27"/>
  <c r="AB292" i="27"/>
  <c r="AC292" i="27"/>
  <c r="AD292" i="27"/>
  <c r="AE292" i="27"/>
  <c r="AF292" i="27"/>
  <c r="AA293" i="27"/>
  <c r="AB293" i="27"/>
  <c r="AC293" i="27"/>
  <c r="AD293" i="27"/>
  <c r="AE293" i="27"/>
  <c r="AF293" i="27"/>
  <c r="AA294" i="27"/>
  <c r="AB294" i="27"/>
  <c r="AC294" i="27"/>
  <c r="AD294" i="27"/>
  <c r="AE294" i="27"/>
  <c r="AF294" i="27"/>
  <c r="AA295" i="27"/>
  <c r="AB295" i="27"/>
  <c r="AC295" i="27"/>
  <c r="AD295" i="27"/>
  <c r="AE295" i="27"/>
  <c r="AF295" i="27"/>
  <c r="AA296" i="27"/>
  <c r="AB296" i="27"/>
  <c r="AC296" i="27"/>
  <c r="AD296" i="27"/>
  <c r="AE296" i="27"/>
  <c r="AF296" i="27"/>
  <c r="AA297" i="27"/>
  <c r="AB297" i="27"/>
  <c r="AC297" i="27"/>
  <c r="AD297" i="27"/>
  <c r="AE297" i="27"/>
  <c r="AF297" i="27"/>
  <c r="AA298" i="27"/>
  <c r="AB298" i="27"/>
  <c r="AC298" i="27"/>
  <c r="AD298" i="27"/>
  <c r="AE298" i="27"/>
  <c r="AF298" i="27"/>
  <c r="D305" i="27"/>
  <c r="E305" i="27"/>
  <c r="F305" i="27"/>
  <c r="G305" i="27"/>
  <c r="H305" i="27"/>
  <c r="I305" i="27"/>
  <c r="J305" i="27"/>
  <c r="K305" i="27"/>
  <c r="L305" i="27"/>
  <c r="M305" i="27"/>
  <c r="N305" i="27"/>
  <c r="O305" i="27"/>
  <c r="P305" i="27"/>
  <c r="Q305" i="27"/>
  <c r="R305" i="27"/>
  <c r="S305" i="27"/>
  <c r="T305" i="27"/>
  <c r="V305" i="27"/>
  <c r="W305" i="27"/>
  <c r="X305" i="27"/>
  <c r="Y305" i="27"/>
  <c r="Z305" i="27"/>
  <c r="AA305" i="27"/>
  <c r="AB305" i="27"/>
  <c r="AC305" i="27"/>
  <c r="AD305" i="27"/>
  <c r="AE305" i="27"/>
  <c r="AF305" i="27"/>
  <c r="D306" i="27"/>
  <c r="E306" i="27"/>
  <c r="F306" i="27"/>
  <c r="G306" i="27"/>
  <c r="H306" i="27"/>
  <c r="I306" i="27"/>
  <c r="J306" i="27"/>
  <c r="K306" i="27"/>
  <c r="L306" i="27"/>
  <c r="M306" i="27"/>
  <c r="N306" i="27"/>
  <c r="O306" i="27"/>
  <c r="P306" i="27"/>
  <c r="Q306" i="27"/>
  <c r="R306" i="27"/>
  <c r="S306" i="27"/>
  <c r="T306" i="27"/>
  <c r="W306" i="27"/>
  <c r="X306" i="27"/>
  <c r="Y306" i="27"/>
  <c r="Z306" i="27"/>
  <c r="AA306" i="27"/>
  <c r="AB306" i="27"/>
  <c r="AC306" i="27"/>
  <c r="AD306" i="27"/>
  <c r="AE306" i="27"/>
  <c r="AF306" i="27"/>
  <c r="D307" i="27"/>
  <c r="E307" i="27"/>
  <c r="F307" i="27"/>
  <c r="G307" i="27"/>
  <c r="H307" i="27"/>
  <c r="I307" i="27"/>
  <c r="J307" i="27"/>
  <c r="K307" i="27"/>
  <c r="L307" i="27"/>
  <c r="M307" i="27"/>
  <c r="N307" i="27"/>
  <c r="O307" i="27"/>
  <c r="P307" i="27"/>
  <c r="Q307" i="27"/>
  <c r="R307" i="27"/>
  <c r="S307" i="27"/>
  <c r="T307" i="27"/>
  <c r="W307" i="27"/>
  <c r="X307" i="27"/>
  <c r="Y307" i="27"/>
  <c r="Z307" i="27"/>
  <c r="AA307" i="27"/>
  <c r="AB307" i="27"/>
  <c r="AC307" i="27"/>
  <c r="AD307" i="27"/>
  <c r="AE307" i="27"/>
  <c r="AF307" i="27"/>
  <c r="W314" i="27"/>
  <c r="X314" i="27"/>
  <c r="Y314" i="27"/>
  <c r="Z314" i="27"/>
  <c r="AA314" i="27"/>
  <c r="AB314" i="27"/>
  <c r="AC314" i="27"/>
  <c r="AD314" i="27"/>
  <c r="AE314" i="27"/>
  <c r="AF314" i="27"/>
  <c r="C262" i="27"/>
  <c r="C265" i="27"/>
  <c r="C277" i="27"/>
  <c r="C279" i="27"/>
  <c r="C282" i="27"/>
  <c r="C289" i="27"/>
  <c r="C290" i="27"/>
  <c r="C291" i="27"/>
  <c r="C292" i="27"/>
  <c r="C293" i="27"/>
  <c r="C294" i="27"/>
  <c r="C295" i="27"/>
  <c r="C296" i="27"/>
  <c r="C297" i="27"/>
  <c r="C298" i="27"/>
  <c r="C305" i="27"/>
  <c r="C306" i="27"/>
  <c r="C307" i="27"/>
  <c r="C266" i="27"/>
  <c r="AG117" i="49"/>
  <c r="AG120" i="49"/>
  <c r="AG121" i="49"/>
  <c r="AG136" i="49"/>
  <c r="AG152" i="49"/>
  <c r="AG153" i="49"/>
  <c r="B110" i="54"/>
  <c r="AG79" i="54"/>
  <c r="AF79" i="54"/>
  <c r="AE79" i="54"/>
  <c r="AD79" i="54"/>
  <c r="AC79" i="54"/>
  <c r="AB79" i="54"/>
  <c r="AA79" i="54"/>
  <c r="Z79" i="54"/>
  <c r="Y79" i="54"/>
  <c r="X79" i="54"/>
  <c r="W79" i="54"/>
  <c r="V79" i="54"/>
  <c r="U79" i="54"/>
  <c r="T79" i="54"/>
  <c r="S79" i="54"/>
  <c r="R79" i="54"/>
  <c r="Q79" i="54"/>
  <c r="P79" i="54"/>
  <c r="O79" i="54"/>
  <c r="N79" i="54"/>
  <c r="M79" i="54"/>
  <c r="L79" i="54"/>
  <c r="K79" i="54"/>
  <c r="J79" i="54"/>
  <c r="I79" i="54"/>
  <c r="H79" i="54"/>
  <c r="G79" i="54"/>
  <c r="F79" i="54"/>
  <c r="E79" i="54"/>
  <c r="D79" i="54"/>
  <c r="C79" i="54"/>
  <c r="B79" i="54"/>
  <c r="AG67" i="54"/>
  <c r="AF67" i="54"/>
  <c r="AE67" i="54"/>
  <c r="AD67" i="54"/>
  <c r="AC67" i="54"/>
  <c r="AB67" i="54"/>
  <c r="AA67" i="54"/>
  <c r="Z67" i="54"/>
  <c r="Y67" i="54"/>
  <c r="X67" i="54"/>
  <c r="W67" i="54"/>
  <c r="V67" i="54"/>
  <c r="U67" i="54"/>
  <c r="T67" i="54"/>
  <c r="S67" i="54"/>
  <c r="R67" i="54"/>
  <c r="Q67" i="54"/>
  <c r="P67" i="54"/>
  <c r="O67" i="54"/>
  <c r="N67" i="54"/>
  <c r="M67" i="54"/>
  <c r="L67" i="54"/>
  <c r="K67" i="54"/>
  <c r="J67" i="54"/>
  <c r="I67" i="54"/>
  <c r="H67" i="54"/>
  <c r="G67" i="54"/>
  <c r="F67" i="54"/>
  <c r="E67" i="54"/>
  <c r="D67" i="54"/>
  <c r="C67" i="54"/>
  <c r="B67" i="54"/>
  <c r="AG66" i="54"/>
  <c r="AF66" i="54"/>
  <c r="AE66" i="54"/>
  <c r="AD66" i="54"/>
  <c r="AC66" i="54"/>
  <c r="AB66" i="54"/>
  <c r="AA66" i="54"/>
  <c r="Z66" i="54"/>
  <c r="Y66" i="54"/>
  <c r="X66" i="54"/>
  <c r="W66" i="54"/>
  <c r="V66" i="54"/>
  <c r="U66" i="54"/>
  <c r="T66" i="54"/>
  <c r="S66" i="54"/>
  <c r="R66" i="54"/>
  <c r="Q66" i="54"/>
  <c r="P66" i="54"/>
  <c r="O66" i="54"/>
  <c r="N66" i="54"/>
  <c r="M66" i="54"/>
  <c r="L66" i="54"/>
  <c r="K66" i="54"/>
  <c r="J66" i="54"/>
  <c r="I66" i="54"/>
  <c r="H66" i="54"/>
  <c r="G66" i="54"/>
  <c r="F66" i="54"/>
  <c r="E66" i="54"/>
  <c r="D66" i="54"/>
  <c r="C66" i="54"/>
  <c r="B66" i="54"/>
  <c r="AG51" i="54"/>
  <c r="AF51" i="54"/>
  <c r="AE51" i="54"/>
  <c r="AD51" i="54"/>
  <c r="AC51" i="54"/>
  <c r="AB51" i="54"/>
  <c r="AA51" i="54"/>
  <c r="Z51" i="54"/>
  <c r="Y51" i="54"/>
  <c r="X51" i="54"/>
  <c r="W51" i="54"/>
  <c r="V51" i="54"/>
  <c r="U51" i="54"/>
  <c r="T51" i="54"/>
  <c r="S51" i="54"/>
  <c r="R51" i="54"/>
  <c r="Q51" i="54"/>
  <c r="P51" i="54"/>
  <c r="O51" i="54"/>
  <c r="N51" i="54"/>
  <c r="M51" i="54"/>
  <c r="L51" i="54"/>
  <c r="K51" i="54"/>
  <c r="J51" i="54"/>
  <c r="I51" i="54"/>
  <c r="H51" i="54"/>
  <c r="G51" i="54"/>
  <c r="F51" i="54"/>
  <c r="E51" i="54"/>
  <c r="D51" i="54"/>
  <c r="C51" i="54"/>
  <c r="B51" i="54"/>
  <c r="AG47" i="54"/>
  <c r="AF47" i="54"/>
  <c r="AE47" i="54"/>
  <c r="AD47" i="54"/>
  <c r="AC47" i="54"/>
  <c r="AB47" i="54"/>
  <c r="AA47" i="54"/>
  <c r="Z47" i="54"/>
  <c r="Y47" i="54"/>
  <c r="X47" i="54"/>
  <c r="W47" i="54"/>
  <c r="V47" i="54"/>
  <c r="U47" i="54"/>
  <c r="T47" i="54"/>
  <c r="S47" i="54"/>
  <c r="R47" i="54"/>
  <c r="Q47" i="54"/>
  <c r="P47" i="54"/>
  <c r="O47" i="54"/>
  <c r="N47" i="54"/>
  <c r="M47" i="54"/>
  <c r="L47" i="54"/>
  <c r="K47" i="54"/>
  <c r="J47" i="54"/>
  <c r="I47" i="54"/>
  <c r="H47" i="54"/>
  <c r="G47" i="54"/>
  <c r="F47" i="54"/>
  <c r="E47" i="54"/>
  <c r="D47" i="54"/>
  <c r="C47" i="54"/>
  <c r="B47" i="54"/>
  <c r="AG34" i="54"/>
  <c r="AF34" i="54"/>
  <c r="AE34" i="54"/>
  <c r="AD34" i="54"/>
  <c r="AC34" i="54"/>
  <c r="AB34" i="54"/>
  <c r="AA34" i="54"/>
  <c r="Z34" i="54"/>
  <c r="Y34" i="54"/>
  <c r="X34" i="54"/>
  <c r="W34" i="54"/>
  <c r="V34" i="54"/>
  <c r="U34" i="54"/>
  <c r="T34" i="54"/>
  <c r="S34" i="54"/>
  <c r="R34" i="54"/>
  <c r="Q34" i="54"/>
  <c r="P34" i="54"/>
  <c r="O34" i="54"/>
  <c r="N34" i="54"/>
  <c r="M34" i="54"/>
  <c r="L34" i="54"/>
  <c r="K34" i="54"/>
  <c r="J34" i="54"/>
  <c r="I34" i="54"/>
  <c r="H34" i="54"/>
  <c r="G34" i="54"/>
  <c r="F34" i="54"/>
  <c r="E34" i="54"/>
  <c r="D34" i="54"/>
  <c r="C34" i="54"/>
  <c r="B34" i="54"/>
  <c r="B37" i="54" s="1"/>
  <c r="AH162" i="27"/>
  <c r="AG10" i="45"/>
  <c r="AG13" i="45"/>
  <c r="AG17" i="45"/>
  <c r="AG22" i="45"/>
  <c r="AG23" i="45"/>
  <c r="AG25" i="45"/>
  <c r="AG35" i="45"/>
  <c r="D169" i="44"/>
  <c r="E169" i="44"/>
  <c r="F169" i="44"/>
  <c r="G169" i="44"/>
  <c r="H169" i="44"/>
  <c r="I169" i="44"/>
  <c r="J169" i="44"/>
  <c r="K169" i="44"/>
  <c r="L169" i="44"/>
  <c r="M169" i="44"/>
  <c r="N169" i="44"/>
  <c r="O169" i="44"/>
  <c r="P169" i="44"/>
  <c r="Q169" i="44"/>
  <c r="R169" i="44"/>
  <c r="S169" i="44"/>
  <c r="T169" i="44"/>
  <c r="U169" i="44"/>
  <c r="V169" i="44"/>
  <c r="W169" i="44"/>
  <c r="X169" i="44"/>
  <c r="Y169" i="44"/>
  <c r="Z169" i="44"/>
  <c r="AA169" i="44"/>
  <c r="AB169" i="44"/>
  <c r="AC169" i="44"/>
  <c r="AD169" i="44"/>
  <c r="AE169" i="44"/>
  <c r="AF169" i="44"/>
  <c r="AG169" i="44"/>
  <c r="D198" i="44"/>
  <c r="D199" i="44" s="1"/>
  <c r="D200" i="44" s="1"/>
  <c r="E198" i="44"/>
  <c r="E199" i="44" s="1"/>
  <c r="E200" i="44" s="1"/>
  <c r="F198" i="44"/>
  <c r="F199" i="44" s="1"/>
  <c r="F200" i="44" s="1"/>
  <c r="G198" i="44"/>
  <c r="G199" i="44" s="1"/>
  <c r="G200" i="44" s="1"/>
  <c r="H198" i="44"/>
  <c r="H199" i="44" s="1"/>
  <c r="H200" i="44" s="1"/>
  <c r="I198" i="44"/>
  <c r="I199" i="44" s="1"/>
  <c r="I200" i="44" s="1"/>
  <c r="J198" i="44"/>
  <c r="J199" i="44" s="1"/>
  <c r="J200" i="44" s="1"/>
  <c r="K198" i="44"/>
  <c r="K199" i="44" s="1"/>
  <c r="K200" i="44" s="1"/>
  <c r="L198" i="44"/>
  <c r="L199" i="44" s="1"/>
  <c r="L200" i="44" s="1"/>
  <c r="M198" i="44"/>
  <c r="M199" i="44" s="1"/>
  <c r="M200" i="44" s="1"/>
  <c r="N198" i="44"/>
  <c r="N199" i="44" s="1"/>
  <c r="N200" i="44" s="1"/>
  <c r="O198" i="44"/>
  <c r="O199" i="44" s="1"/>
  <c r="O200" i="44" s="1"/>
  <c r="P198" i="44"/>
  <c r="P199" i="44" s="1"/>
  <c r="P200" i="44" s="1"/>
  <c r="Q198" i="44"/>
  <c r="Q199" i="44" s="1"/>
  <c r="Q200" i="44" s="1"/>
  <c r="R198" i="44"/>
  <c r="R199" i="44" s="1"/>
  <c r="R200" i="44" s="1"/>
  <c r="S198" i="44"/>
  <c r="S199" i="44" s="1"/>
  <c r="S200" i="44" s="1"/>
  <c r="T198" i="44"/>
  <c r="T199" i="44" s="1"/>
  <c r="T200" i="44" s="1"/>
  <c r="U198" i="44"/>
  <c r="U199" i="44" s="1"/>
  <c r="U200" i="44" s="1"/>
  <c r="V198" i="44"/>
  <c r="V199" i="44" s="1"/>
  <c r="V200" i="44" s="1"/>
  <c r="W198" i="44"/>
  <c r="W199" i="44" s="1"/>
  <c r="W200" i="44" s="1"/>
  <c r="X198" i="44"/>
  <c r="X199" i="44" s="1"/>
  <c r="X200" i="44" s="1"/>
  <c r="Y198" i="44"/>
  <c r="Y199" i="44" s="1"/>
  <c r="Y200" i="44" s="1"/>
  <c r="Z198" i="44"/>
  <c r="Z199" i="44" s="1"/>
  <c r="Z200" i="44" s="1"/>
  <c r="AA198" i="44"/>
  <c r="AA199" i="44" s="1"/>
  <c r="AA200" i="44" s="1"/>
  <c r="AB198" i="44"/>
  <c r="AB199" i="44" s="1"/>
  <c r="AB200" i="44" s="1"/>
  <c r="AC198" i="44"/>
  <c r="AC199" i="44" s="1"/>
  <c r="AC200" i="44" s="1"/>
  <c r="AD198" i="44"/>
  <c r="AD199" i="44" s="1"/>
  <c r="AD200" i="44" s="1"/>
  <c r="AE198" i="44"/>
  <c r="AE199" i="44" s="1"/>
  <c r="AE200" i="44" s="1"/>
  <c r="AF198" i="44"/>
  <c r="AF199" i="44" s="1"/>
  <c r="AF200" i="44" s="1"/>
  <c r="AG198" i="44"/>
  <c r="AG199" i="44" s="1"/>
  <c r="AG200" i="44" s="1"/>
  <c r="C198" i="44"/>
  <c r="C199" i="44" s="1"/>
  <c r="C200" i="44" s="1"/>
  <c r="AH498" i="27"/>
  <c r="D518" i="27"/>
  <c r="D526" i="27" s="1"/>
  <c r="E518" i="27"/>
  <c r="E526" i="27" s="1"/>
  <c r="F518" i="27"/>
  <c r="F526" i="27" s="1"/>
  <c r="G518" i="27"/>
  <c r="G526" i="27" s="1"/>
  <c r="H518" i="27"/>
  <c r="H526" i="27" s="1"/>
  <c r="I518" i="27"/>
  <c r="I526" i="27" s="1"/>
  <c r="J518" i="27"/>
  <c r="J526" i="27" s="1"/>
  <c r="K518" i="27"/>
  <c r="K526" i="27" s="1"/>
  <c r="L518" i="27"/>
  <c r="L526" i="27" s="1"/>
  <c r="M518" i="27"/>
  <c r="M526" i="27" s="1"/>
  <c r="N518" i="27"/>
  <c r="N526" i="27" s="1"/>
  <c r="O518" i="27"/>
  <c r="O526" i="27" s="1"/>
  <c r="P518" i="27"/>
  <c r="P526" i="27" s="1"/>
  <c r="Q518" i="27"/>
  <c r="Q526" i="27" s="1"/>
  <c r="R518" i="27"/>
  <c r="R526" i="27" s="1"/>
  <c r="S518" i="27"/>
  <c r="S526" i="27" s="1"/>
  <c r="T518" i="27"/>
  <c r="T526" i="27" s="1"/>
  <c r="U518" i="27"/>
  <c r="U526" i="27" s="1"/>
  <c r="V518" i="27"/>
  <c r="V526" i="27" s="1"/>
  <c r="W518" i="27"/>
  <c r="W526" i="27" s="1"/>
  <c r="X518" i="27"/>
  <c r="X526" i="27" s="1"/>
  <c r="Y518" i="27"/>
  <c r="Y526" i="27" s="1"/>
  <c r="Z518" i="27"/>
  <c r="Z526" i="27" s="1"/>
  <c r="AA518" i="27"/>
  <c r="AA526" i="27" s="1"/>
  <c r="AB518" i="27"/>
  <c r="AB526" i="27" s="1"/>
  <c r="AC518" i="27"/>
  <c r="AC526" i="27" s="1"/>
  <c r="AD518" i="27"/>
  <c r="AD526" i="27" s="1"/>
  <c r="AE518" i="27"/>
  <c r="AE526" i="27" s="1"/>
  <c r="AF518" i="27"/>
  <c r="AF526" i="27" s="1"/>
  <c r="AG518" i="27"/>
  <c r="AG526" i="27" s="1"/>
  <c r="C518" i="27"/>
  <c r="C526" i="27" s="1"/>
  <c r="AH176" i="53"/>
  <c r="AH136" i="27"/>
  <c r="AH119" i="27"/>
  <c r="D495" i="27"/>
  <c r="E495" i="27"/>
  <c r="F495" i="27"/>
  <c r="G495" i="27"/>
  <c r="H495" i="27"/>
  <c r="I495" i="27"/>
  <c r="J495" i="27"/>
  <c r="K495" i="27"/>
  <c r="L495" i="27"/>
  <c r="M495" i="27"/>
  <c r="N495" i="27"/>
  <c r="O495" i="27"/>
  <c r="P495" i="27"/>
  <c r="Q495" i="27"/>
  <c r="R495" i="27"/>
  <c r="S495" i="27"/>
  <c r="T495" i="27"/>
  <c r="V495" i="27"/>
  <c r="W495" i="27"/>
  <c r="X495" i="27"/>
  <c r="Y495" i="27"/>
  <c r="Z495" i="27"/>
  <c r="AA495" i="27"/>
  <c r="AB495" i="27"/>
  <c r="AC495" i="27"/>
  <c r="AD495" i="27"/>
  <c r="AF495" i="27"/>
  <c r="D496" i="27"/>
  <c r="E496" i="27"/>
  <c r="F496" i="27"/>
  <c r="G496" i="27"/>
  <c r="H496" i="27"/>
  <c r="I496" i="27"/>
  <c r="J496" i="27"/>
  <c r="K496" i="27"/>
  <c r="L496" i="27"/>
  <c r="M496" i="27"/>
  <c r="N496" i="27"/>
  <c r="O496" i="27"/>
  <c r="P496" i="27"/>
  <c r="Q496" i="27"/>
  <c r="R496" i="27"/>
  <c r="S496" i="27"/>
  <c r="T496" i="27"/>
  <c r="W496" i="27"/>
  <c r="X496" i="27"/>
  <c r="Y496" i="27"/>
  <c r="Z496" i="27"/>
  <c r="AA496" i="27"/>
  <c r="AB496" i="27"/>
  <c r="AC496" i="27"/>
  <c r="AD496" i="27"/>
  <c r="AE496" i="27"/>
  <c r="AF496" i="27"/>
  <c r="AG496" i="27"/>
  <c r="D497" i="27"/>
  <c r="E497" i="27"/>
  <c r="F497" i="27"/>
  <c r="G497" i="27"/>
  <c r="H497" i="27"/>
  <c r="I497" i="27"/>
  <c r="J497" i="27"/>
  <c r="K497" i="27"/>
  <c r="L497" i="27"/>
  <c r="M497" i="27"/>
  <c r="N497" i="27"/>
  <c r="O497" i="27"/>
  <c r="P497" i="27"/>
  <c r="Q497" i="27"/>
  <c r="R497" i="27"/>
  <c r="S497" i="27"/>
  <c r="T497" i="27"/>
  <c r="U497" i="27"/>
  <c r="V497" i="27"/>
  <c r="W497" i="27"/>
  <c r="X497" i="27"/>
  <c r="Y497" i="27"/>
  <c r="Z497" i="27"/>
  <c r="AA497" i="27"/>
  <c r="AB497" i="27"/>
  <c r="AC497" i="27"/>
  <c r="AD497" i="27"/>
  <c r="AE497" i="27"/>
  <c r="AF497" i="27"/>
  <c r="AG497" i="27"/>
  <c r="AE498" i="27"/>
  <c r="AF498" i="27"/>
  <c r="AG498" i="27"/>
  <c r="C496" i="27"/>
  <c r="C497" i="27"/>
  <c r="C498" i="27"/>
  <c r="C495" i="27"/>
  <c r="AH309" i="53"/>
  <c r="B155" i="49"/>
  <c r="B107" i="54"/>
  <c r="B115" i="54" s="1"/>
  <c r="F108" i="54"/>
  <c r="G33" i="45"/>
  <c r="H33" i="45"/>
  <c r="J33" i="45"/>
  <c r="V108" i="54"/>
  <c r="W33" i="45"/>
  <c r="X33" i="45"/>
  <c r="AA123" i="49"/>
  <c r="AC32" i="45"/>
  <c r="AC72" i="50" s="1"/>
  <c r="AD33" i="45"/>
  <c r="AE107" i="54"/>
  <c r="AE115" i="54" s="1"/>
  <c r="H107" i="54"/>
  <c r="H115" i="54" s="1"/>
  <c r="V32" i="45"/>
  <c r="Y107" i="54"/>
  <c r="Y115" i="54" s="1"/>
  <c r="Y108" i="54"/>
  <c r="AA108" i="54"/>
  <c r="AF123" i="49"/>
  <c r="AD108" i="54"/>
  <c r="J108" i="54"/>
  <c r="AA107" i="54"/>
  <c r="AA115" i="54" s="1"/>
  <c r="AE23" i="45"/>
  <c r="AE35" i="45"/>
  <c r="AF11" i="17"/>
  <c r="AF78" i="47" s="1"/>
  <c r="AF9" i="17"/>
  <c r="AF82" i="54" s="1"/>
  <c r="AE171" i="24"/>
  <c r="AD171" i="24"/>
  <c r="AD99" i="25" s="1"/>
  <c r="AC171" i="24"/>
  <c r="AC99" i="25" s="1"/>
  <c r="AB171" i="24"/>
  <c r="AB99" i="25" s="1"/>
  <c r="AA171" i="24"/>
  <c r="Z171" i="24"/>
  <c r="Z99" i="25" s="1"/>
  <c r="Y171" i="24"/>
  <c r="Y99" i="25" s="1"/>
  <c r="X171" i="24"/>
  <c r="X99" i="25" s="1"/>
  <c r="W171" i="24"/>
  <c r="W99" i="25" s="1"/>
  <c r="V171" i="24"/>
  <c r="V99" i="25" s="1"/>
  <c r="U171" i="24"/>
  <c r="U99" i="25" s="1"/>
  <c r="T171" i="24"/>
  <c r="T99" i="25" s="1"/>
  <c r="S171" i="24"/>
  <c r="S99" i="25" s="1"/>
  <c r="R171" i="24"/>
  <c r="R99" i="25" s="1"/>
  <c r="Q171" i="24"/>
  <c r="Q99" i="25" s="1"/>
  <c r="P171" i="24"/>
  <c r="O171" i="24"/>
  <c r="O99" i="25" s="1"/>
  <c r="N171" i="24"/>
  <c r="N99" i="25" s="1"/>
  <c r="M171" i="24"/>
  <c r="M99" i="25" s="1"/>
  <c r="L171" i="24"/>
  <c r="L99" i="25" s="1"/>
  <c r="K171" i="24"/>
  <c r="K99" i="25" s="1"/>
  <c r="J171" i="24"/>
  <c r="J99" i="25" s="1"/>
  <c r="I171" i="24"/>
  <c r="B178" i="24"/>
  <c r="D172" i="24" s="1"/>
  <c r="D119" i="49" s="1"/>
  <c r="AF22" i="45"/>
  <c r="AF49" i="29"/>
  <c r="AF124" i="49" s="1"/>
  <c r="AF47" i="29"/>
  <c r="AF48" i="29"/>
  <c r="AF154" i="49" s="1"/>
  <c r="AE117" i="49"/>
  <c r="AF117" i="49"/>
  <c r="AE120" i="49"/>
  <c r="AF120" i="49"/>
  <c r="AE121" i="49"/>
  <c r="AF121" i="49"/>
  <c r="AE136" i="49"/>
  <c r="AF136" i="49"/>
  <c r="AF152" i="49"/>
  <c r="AE153" i="49"/>
  <c r="AF153" i="49"/>
  <c r="B10" i="45"/>
  <c r="C10" i="45"/>
  <c r="D10" i="45"/>
  <c r="E10" i="45"/>
  <c r="F10" i="45"/>
  <c r="G10" i="45"/>
  <c r="H10" i="45"/>
  <c r="I10" i="45"/>
  <c r="J10" i="45"/>
  <c r="K10" i="45"/>
  <c r="L10" i="45"/>
  <c r="M10" i="45"/>
  <c r="N10" i="45"/>
  <c r="O10" i="45"/>
  <c r="P10" i="45"/>
  <c r="Q10" i="45"/>
  <c r="R10" i="45"/>
  <c r="S10" i="45"/>
  <c r="T10" i="45"/>
  <c r="U10" i="45"/>
  <c r="V10" i="45"/>
  <c r="W10" i="45"/>
  <c r="X10" i="45"/>
  <c r="Y10" i="45"/>
  <c r="Z10" i="45"/>
  <c r="AA10" i="45"/>
  <c r="AB10" i="45"/>
  <c r="B13" i="45"/>
  <c r="C13" i="45"/>
  <c r="D13" i="45"/>
  <c r="E13" i="45"/>
  <c r="F13" i="45"/>
  <c r="G13" i="45"/>
  <c r="H13" i="45"/>
  <c r="I13" i="45"/>
  <c r="J13" i="45"/>
  <c r="K13" i="45"/>
  <c r="L13" i="45"/>
  <c r="M13" i="45"/>
  <c r="N13" i="45"/>
  <c r="O13" i="45"/>
  <c r="P13" i="45"/>
  <c r="Q13" i="45"/>
  <c r="R13" i="45"/>
  <c r="S13" i="45"/>
  <c r="T13" i="45"/>
  <c r="U13" i="45"/>
  <c r="V13" i="45"/>
  <c r="W13" i="45"/>
  <c r="X13" i="45"/>
  <c r="Y13" i="45"/>
  <c r="Z13" i="45"/>
  <c r="AA13" i="45"/>
  <c r="AB13" i="45"/>
  <c r="B17" i="45"/>
  <c r="C17" i="45"/>
  <c r="D17" i="45"/>
  <c r="E17" i="45"/>
  <c r="F17" i="45"/>
  <c r="G17" i="45"/>
  <c r="H17" i="45"/>
  <c r="I17" i="45"/>
  <c r="J17" i="45"/>
  <c r="K17" i="45"/>
  <c r="L17" i="45"/>
  <c r="M17" i="45"/>
  <c r="N17" i="45"/>
  <c r="O17" i="45"/>
  <c r="P17" i="45"/>
  <c r="Q17" i="45"/>
  <c r="R17" i="45"/>
  <c r="S17" i="45"/>
  <c r="T17" i="45"/>
  <c r="U17" i="45"/>
  <c r="V17" i="45"/>
  <c r="W17" i="45"/>
  <c r="X17" i="45"/>
  <c r="Y17" i="45"/>
  <c r="Z17" i="45"/>
  <c r="AA17" i="45"/>
  <c r="AB17" i="45"/>
  <c r="B22" i="45"/>
  <c r="C22" i="45"/>
  <c r="D22" i="45"/>
  <c r="E22" i="45"/>
  <c r="F22" i="45"/>
  <c r="G22" i="45"/>
  <c r="H22" i="45"/>
  <c r="I22" i="45"/>
  <c r="J22" i="45"/>
  <c r="K22" i="45"/>
  <c r="L22" i="45"/>
  <c r="M22" i="45"/>
  <c r="N22" i="45"/>
  <c r="O22" i="45"/>
  <c r="P22" i="45"/>
  <c r="Q22" i="45"/>
  <c r="R22" i="45"/>
  <c r="S22" i="45"/>
  <c r="T22" i="45"/>
  <c r="U22" i="45"/>
  <c r="V22" i="45"/>
  <c r="W22" i="45"/>
  <c r="X22" i="45"/>
  <c r="Y22" i="45"/>
  <c r="Z22" i="45"/>
  <c r="AA22" i="45"/>
  <c r="AB22" i="45"/>
  <c r="B23" i="45"/>
  <c r="C23" i="45"/>
  <c r="D23" i="45"/>
  <c r="E23" i="45"/>
  <c r="F23" i="45"/>
  <c r="G23" i="45"/>
  <c r="H23" i="45"/>
  <c r="I23" i="45"/>
  <c r="J23" i="45"/>
  <c r="K23" i="45"/>
  <c r="L23" i="45"/>
  <c r="M23" i="45"/>
  <c r="N23" i="45"/>
  <c r="O23" i="45"/>
  <c r="P23" i="45"/>
  <c r="Q23" i="45"/>
  <c r="R23" i="45"/>
  <c r="S23" i="45"/>
  <c r="T23" i="45"/>
  <c r="U23" i="45"/>
  <c r="V23" i="45"/>
  <c r="W23" i="45"/>
  <c r="X23" i="45"/>
  <c r="Y23" i="45"/>
  <c r="Z23" i="45"/>
  <c r="AA23" i="45"/>
  <c r="AB23" i="45"/>
  <c r="B25" i="45"/>
  <c r="C25" i="45"/>
  <c r="D25" i="45"/>
  <c r="E25" i="45"/>
  <c r="F25" i="45"/>
  <c r="G25" i="45"/>
  <c r="H25" i="45"/>
  <c r="I25" i="45"/>
  <c r="J25" i="45"/>
  <c r="K25" i="45"/>
  <c r="L25" i="45"/>
  <c r="M25" i="45"/>
  <c r="N25" i="45"/>
  <c r="O25" i="45"/>
  <c r="P25" i="45"/>
  <c r="Q25" i="45"/>
  <c r="R25" i="45"/>
  <c r="S25" i="45"/>
  <c r="T25" i="45"/>
  <c r="U25" i="45"/>
  <c r="V25" i="45"/>
  <c r="W25" i="45"/>
  <c r="X25" i="45"/>
  <c r="Y25" i="45"/>
  <c r="Z25" i="45"/>
  <c r="AA25" i="45"/>
  <c r="AB25" i="45"/>
  <c r="K33" i="45"/>
  <c r="Y33" i="45"/>
  <c r="B35" i="45"/>
  <c r="C35" i="45"/>
  <c r="D35" i="45"/>
  <c r="E35" i="45"/>
  <c r="F35" i="45"/>
  <c r="G35" i="45"/>
  <c r="H35" i="45"/>
  <c r="I35" i="45"/>
  <c r="J35" i="45"/>
  <c r="K35" i="45"/>
  <c r="L35" i="45"/>
  <c r="M35" i="45"/>
  <c r="N35" i="45"/>
  <c r="O35" i="45"/>
  <c r="P35" i="45"/>
  <c r="Q35" i="45"/>
  <c r="R35" i="45"/>
  <c r="S35" i="45"/>
  <c r="T35" i="45"/>
  <c r="U35" i="45"/>
  <c r="V35" i="45"/>
  <c r="W35" i="45"/>
  <c r="X35" i="45"/>
  <c r="Y35" i="45"/>
  <c r="Z35" i="45"/>
  <c r="AA35" i="45"/>
  <c r="AB35" i="45"/>
  <c r="AF25" i="45"/>
  <c r="AE27" i="44"/>
  <c r="AE28" i="44" s="1"/>
  <c r="AF27" i="44"/>
  <c r="AF28" i="44" s="1"/>
  <c r="AG464" i="53"/>
  <c r="AG465" i="53"/>
  <c r="AG466" i="53"/>
  <c r="AG467" i="53"/>
  <c r="AG468" i="53"/>
  <c r="AG469" i="53"/>
  <c r="AG470" i="53"/>
  <c r="AG471" i="53"/>
  <c r="AG472" i="53"/>
  <c r="AG473" i="53"/>
  <c r="AG474" i="53"/>
  <c r="AG475" i="53"/>
  <c r="AG476" i="53"/>
  <c r="AG477" i="53"/>
  <c r="AF23" i="45"/>
  <c r="AF17" i="45"/>
  <c r="AF10" i="45"/>
  <c r="AF13" i="45"/>
  <c r="AF80" i="47"/>
  <c r="AG158" i="44"/>
  <c r="AG159" i="44" s="1"/>
  <c r="AG160" i="44" s="1"/>
  <c r="AG131" i="44"/>
  <c r="AF70" i="47" s="1"/>
  <c r="AG117" i="44"/>
  <c r="AG118" i="44" s="1"/>
  <c r="AG119" i="44" s="1"/>
  <c r="AG143" i="44"/>
  <c r="AG85" i="44"/>
  <c r="AG74" i="44"/>
  <c r="AG75" i="44" s="1"/>
  <c r="AG76" i="44" s="1"/>
  <c r="AF76" i="47"/>
  <c r="AF26" i="31"/>
  <c r="AF64" i="31"/>
  <c r="AF65" i="31" s="1"/>
  <c r="AF27" i="45" s="1"/>
  <c r="AF78" i="31"/>
  <c r="AF79" i="31" s="1"/>
  <c r="AF33" i="45"/>
  <c r="AF35" i="45"/>
  <c r="AG162" i="27"/>
  <c r="AF60" i="32"/>
  <c r="AF61" i="32"/>
  <c r="V61" i="32"/>
  <c r="V62" i="32" s="1"/>
  <c r="V47" i="32" s="1"/>
  <c r="AG335" i="53"/>
  <c r="AG337" i="53"/>
  <c r="AG345" i="53"/>
  <c r="AG346" i="53"/>
  <c r="AG353" i="53"/>
  <c r="AG354" i="53"/>
  <c r="AG317" i="53"/>
  <c r="AG321" i="53"/>
  <c r="AG202" i="53"/>
  <c r="AG204" i="53"/>
  <c r="AG212" i="53"/>
  <c r="AG213" i="53"/>
  <c r="AG218" i="53"/>
  <c r="AG219" i="53"/>
  <c r="AG396" i="53"/>
  <c r="AG397" i="53"/>
  <c r="AG398" i="53"/>
  <c r="AG399" i="53"/>
  <c r="AG309" i="53"/>
  <c r="AG176" i="53"/>
  <c r="AG410" i="27"/>
  <c r="AG411" i="27"/>
  <c r="AG412" i="27"/>
  <c r="AG413" i="27"/>
  <c r="AG414" i="27"/>
  <c r="AG415" i="27"/>
  <c r="AG416" i="27"/>
  <c r="AG417" i="27"/>
  <c r="AG425" i="27"/>
  <c r="AG426" i="27"/>
  <c r="AG427" i="27"/>
  <c r="AG428" i="27"/>
  <c r="AG429" i="27"/>
  <c r="AG430" i="27"/>
  <c r="AG431" i="27"/>
  <c r="AG432" i="27"/>
  <c r="AG433" i="27"/>
  <c r="AG434" i="27"/>
  <c r="AG442" i="27"/>
  <c r="AG443" i="27"/>
  <c r="AG444" i="27"/>
  <c r="AG136" i="27"/>
  <c r="AG119" i="27"/>
  <c r="B191" i="24"/>
  <c r="AE184" i="24" s="1"/>
  <c r="AE9" i="17"/>
  <c r="AE28" i="45" s="1"/>
  <c r="AC35" i="45"/>
  <c r="AD35" i="45"/>
  <c r="D444" i="27"/>
  <c r="E444" i="27"/>
  <c r="F444" i="27"/>
  <c r="G444" i="27"/>
  <c r="H444" i="27"/>
  <c r="I444" i="27"/>
  <c r="J444" i="27"/>
  <c r="K444" i="27"/>
  <c r="L444" i="27"/>
  <c r="M444" i="27"/>
  <c r="N444" i="27"/>
  <c r="O444" i="27"/>
  <c r="P444" i="27"/>
  <c r="Q444" i="27"/>
  <c r="R444" i="27"/>
  <c r="S444" i="27"/>
  <c r="T444" i="27"/>
  <c r="W444" i="27"/>
  <c r="X444" i="27"/>
  <c r="Y444" i="27"/>
  <c r="Z444" i="27"/>
  <c r="AA444" i="27"/>
  <c r="AB444" i="27"/>
  <c r="AC444" i="27"/>
  <c r="AD444" i="27"/>
  <c r="AE444" i="27"/>
  <c r="AF444" i="27"/>
  <c r="C444" i="27"/>
  <c r="AE11" i="17"/>
  <c r="AE78" i="47" s="1"/>
  <c r="AF74" i="44"/>
  <c r="AF75" i="44" s="1"/>
  <c r="AF76" i="44" s="1"/>
  <c r="AF117" i="44"/>
  <c r="AF118" i="44" s="1"/>
  <c r="AF119" i="44" s="1"/>
  <c r="AF158" i="44"/>
  <c r="AF159" i="44" s="1"/>
  <c r="AF160" i="44" s="1"/>
  <c r="AF85" i="44"/>
  <c r="AF143" i="44"/>
  <c r="AF464" i="53"/>
  <c r="AF465" i="53"/>
  <c r="AF466" i="53"/>
  <c r="AF467" i="53"/>
  <c r="AF468" i="53"/>
  <c r="AF469" i="53"/>
  <c r="AF470" i="53"/>
  <c r="AF471" i="53"/>
  <c r="AF472" i="53"/>
  <c r="AF473" i="53"/>
  <c r="AF474" i="53"/>
  <c r="AF475" i="53"/>
  <c r="AF476" i="53"/>
  <c r="AF477" i="53"/>
  <c r="AF335" i="53"/>
  <c r="AF337" i="53"/>
  <c r="AF345" i="53"/>
  <c r="AF346" i="53"/>
  <c r="AF353" i="53"/>
  <c r="AF354" i="53"/>
  <c r="AF317" i="53"/>
  <c r="AF321" i="53"/>
  <c r="AF309" i="53"/>
  <c r="AF176" i="53"/>
  <c r="AF202" i="53"/>
  <c r="AF204" i="53"/>
  <c r="AF212" i="53"/>
  <c r="AF213" i="53"/>
  <c r="AF218" i="53"/>
  <c r="AF219" i="53"/>
  <c r="AD61" i="32"/>
  <c r="W61" i="32"/>
  <c r="W62" i="32" s="1"/>
  <c r="X61" i="32"/>
  <c r="X62" i="32" s="1"/>
  <c r="Y61" i="32"/>
  <c r="Y62" i="32" s="1"/>
  <c r="Y47" i="32" s="1"/>
  <c r="Z61" i="32"/>
  <c r="AA61" i="32"/>
  <c r="AC61" i="32"/>
  <c r="AE61" i="32"/>
  <c r="Z60" i="32"/>
  <c r="AA60" i="32"/>
  <c r="AB60" i="32"/>
  <c r="AC60" i="32"/>
  <c r="AD60" i="32"/>
  <c r="AE60" i="32"/>
  <c r="B113" i="32"/>
  <c r="B87" i="32"/>
  <c r="B65" i="31"/>
  <c r="B27" i="45" s="1"/>
  <c r="B91" i="31"/>
  <c r="B103" i="31" s="1"/>
  <c r="AE38" i="31"/>
  <c r="AE39" i="31"/>
  <c r="AE37" i="31"/>
  <c r="AE80" i="47" s="1"/>
  <c r="AF131" i="44"/>
  <c r="AE70" i="47" s="1"/>
  <c r="AE76" i="47"/>
  <c r="AE78" i="31"/>
  <c r="AE79" i="31" s="1"/>
  <c r="AE53" i="54" s="1"/>
  <c r="AE64" i="31"/>
  <c r="AE65" i="31" s="1"/>
  <c r="AE27" i="45" s="1"/>
  <c r="AE26" i="31"/>
  <c r="B140" i="49"/>
  <c r="B33" i="45"/>
  <c r="AD47" i="29"/>
  <c r="AE47" i="29"/>
  <c r="AD48" i="29"/>
  <c r="AD154" i="49" s="1"/>
  <c r="AE48" i="29"/>
  <c r="AE154" i="49" s="1"/>
  <c r="AD49" i="29"/>
  <c r="AD124" i="49" s="1"/>
  <c r="AE49" i="29"/>
  <c r="AE124" i="49" s="1"/>
  <c r="AF443" i="27"/>
  <c r="AF442" i="27"/>
  <c r="AF434" i="27"/>
  <c r="AF433" i="27"/>
  <c r="AF432" i="27"/>
  <c r="AF431" i="27"/>
  <c r="AF430" i="27"/>
  <c r="AF429" i="27"/>
  <c r="AF428" i="27"/>
  <c r="AF427" i="27"/>
  <c r="AF426" i="27"/>
  <c r="AF425" i="27"/>
  <c r="AF417" i="27"/>
  <c r="AF416" i="27"/>
  <c r="AF415" i="27"/>
  <c r="AF414" i="27"/>
  <c r="AF413" i="27"/>
  <c r="AF412" i="27"/>
  <c r="AF411" i="27"/>
  <c r="AF410" i="27"/>
  <c r="AB477" i="53"/>
  <c r="AB471" i="53"/>
  <c r="AB468" i="53"/>
  <c r="AB465" i="53"/>
  <c r="AB474" i="53"/>
  <c r="AC474" i="53"/>
  <c r="AD474" i="53"/>
  <c r="AE474" i="53"/>
  <c r="AC465" i="53"/>
  <c r="AD465" i="53"/>
  <c r="AC468" i="53"/>
  <c r="AD468" i="53"/>
  <c r="AC471" i="53"/>
  <c r="AD471" i="53"/>
  <c r="AC477" i="53"/>
  <c r="AD477" i="53"/>
  <c r="AE477" i="53"/>
  <c r="AE485" i="53"/>
  <c r="AE471" i="53"/>
  <c r="AE468" i="53"/>
  <c r="AE465" i="53"/>
  <c r="AB466" i="53"/>
  <c r="AB467" i="53"/>
  <c r="AB469" i="53"/>
  <c r="AB470" i="53"/>
  <c r="AB472" i="53"/>
  <c r="AB464" i="53"/>
  <c r="AE451" i="53"/>
  <c r="AC451" i="53"/>
  <c r="AC470" i="53" s="1"/>
  <c r="AB414" i="53"/>
  <c r="AB473" i="53" s="1"/>
  <c r="AC466" i="53"/>
  <c r="AC467" i="53"/>
  <c r="AC469" i="53"/>
  <c r="AC472" i="53"/>
  <c r="AC473" i="53"/>
  <c r="AD466" i="53"/>
  <c r="AD467" i="53"/>
  <c r="AD469" i="53"/>
  <c r="AD470" i="53"/>
  <c r="AD472" i="53"/>
  <c r="AD473" i="53"/>
  <c r="AE466" i="53"/>
  <c r="AE467" i="53"/>
  <c r="AE469" i="53"/>
  <c r="AE472" i="53"/>
  <c r="AE473" i="53"/>
  <c r="AB475" i="53"/>
  <c r="AC464" i="53"/>
  <c r="AD464" i="53"/>
  <c r="AC475" i="53"/>
  <c r="AD475" i="53"/>
  <c r="AE464" i="53"/>
  <c r="AE411" i="53"/>
  <c r="AB476" i="53"/>
  <c r="AC476" i="53"/>
  <c r="AD476" i="53"/>
  <c r="AE476" i="53"/>
  <c r="AE475" i="53"/>
  <c r="Y483" i="53"/>
  <c r="Y482" i="53"/>
  <c r="X483" i="53"/>
  <c r="X482" i="53"/>
  <c r="Z483" i="53"/>
  <c r="AA489" i="53"/>
  <c r="AA486" i="53"/>
  <c r="AA483" i="53"/>
  <c r="Z482" i="53"/>
  <c r="AA485" i="53"/>
  <c r="AA482" i="53"/>
  <c r="AB486" i="53"/>
  <c r="AB485" i="53"/>
  <c r="AC486" i="53"/>
  <c r="AC485" i="53"/>
  <c r="AD486" i="53"/>
  <c r="AD485" i="53"/>
  <c r="AD396" i="53"/>
  <c r="AE396" i="53"/>
  <c r="AF396" i="53"/>
  <c r="AD397" i="53"/>
  <c r="AE397" i="53"/>
  <c r="AF397" i="53"/>
  <c r="AD398" i="53"/>
  <c r="AE398" i="53"/>
  <c r="AF398" i="53"/>
  <c r="AD399" i="53"/>
  <c r="AE399" i="53"/>
  <c r="AF399" i="53"/>
  <c r="AC397" i="53"/>
  <c r="AC398" i="53"/>
  <c r="AC399" i="53"/>
  <c r="AC396" i="53"/>
  <c r="E136" i="27"/>
  <c r="F136" i="27"/>
  <c r="G136" i="27"/>
  <c r="H136" i="27"/>
  <c r="I136" i="27"/>
  <c r="J136" i="27"/>
  <c r="K136" i="27"/>
  <c r="L136" i="27"/>
  <c r="M136" i="27"/>
  <c r="N136" i="27"/>
  <c r="O136" i="27"/>
  <c r="P136" i="27"/>
  <c r="Q136" i="27"/>
  <c r="R136" i="27"/>
  <c r="S136" i="27"/>
  <c r="T136" i="27"/>
  <c r="U136" i="27"/>
  <c r="V136" i="27"/>
  <c r="W136" i="27"/>
  <c r="X136" i="27"/>
  <c r="Y136" i="27"/>
  <c r="Z136" i="27"/>
  <c r="AA136" i="27"/>
  <c r="AB136" i="27"/>
  <c r="AC136" i="27"/>
  <c r="AD136" i="27"/>
  <c r="AE136" i="27"/>
  <c r="AF136" i="27"/>
  <c r="D136" i="27"/>
  <c r="C136" i="27"/>
  <c r="D309" i="53"/>
  <c r="E309" i="53"/>
  <c r="F309" i="53"/>
  <c r="G309" i="53"/>
  <c r="H309" i="53"/>
  <c r="I309" i="53"/>
  <c r="J309" i="53"/>
  <c r="K309" i="53"/>
  <c r="L309" i="53"/>
  <c r="M309" i="53"/>
  <c r="N309" i="53"/>
  <c r="O309" i="53"/>
  <c r="P309" i="53"/>
  <c r="Q309" i="53"/>
  <c r="R309" i="53"/>
  <c r="S309" i="53"/>
  <c r="T309" i="53"/>
  <c r="U309" i="53"/>
  <c r="V309" i="53"/>
  <c r="W309" i="53"/>
  <c r="X309" i="53"/>
  <c r="Y309" i="53"/>
  <c r="Z309" i="53"/>
  <c r="AA309" i="53"/>
  <c r="AB309" i="53"/>
  <c r="AC309" i="53"/>
  <c r="AD309" i="53"/>
  <c r="AE309" i="53"/>
  <c r="D317" i="53"/>
  <c r="E317" i="53"/>
  <c r="F317" i="53"/>
  <c r="G317" i="53"/>
  <c r="H317" i="53"/>
  <c r="I317" i="53"/>
  <c r="J317" i="53"/>
  <c r="K317" i="53"/>
  <c r="L317" i="53"/>
  <c r="M317" i="53"/>
  <c r="N317" i="53"/>
  <c r="O317" i="53"/>
  <c r="P317" i="53"/>
  <c r="Q317" i="53"/>
  <c r="R317" i="53"/>
  <c r="S317" i="53"/>
  <c r="T317" i="53"/>
  <c r="U317" i="53"/>
  <c r="V317" i="53"/>
  <c r="W317" i="53"/>
  <c r="X317" i="53"/>
  <c r="Y317" i="53"/>
  <c r="Z317" i="53"/>
  <c r="AA317" i="53"/>
  <c r="AB317" i="53"/>
  <c r="AC317" i="53"/>
  <c r="AD317" i="53"/>
  <c r="AE317" i="53"/>
  <c r="D319" i="53"/>
  <c r="E319" i="53"/>
  <c r="F319" i="53"/>
  <c r="G319" i="53"/>
  <c r="H319" i="53"/>
  <c r="I319" i="53"/>
  <c r="J319" i="53"/>
  <c r="K319" i="53"/>
  <c r="L319" i="53"/>
  <c r="M319" i="53"/>
  <c r="N319" i="53"/>
  <c r="O319" i="53"/>
  <c r="P319" i="53"/>
  <c r="Q319" i="53"/>
  <c r="R319" i="53"/>
  <c r="S319" i="53"/>
  <c r="T319" i="53"/>
  <c r="U319" i="53"/>
  <c r="V319" i="53"/>
  <c r="W319" i="53"/>
  <c r="X319" i="53"/>
  <c r="Y319" i="53"/>
  <c r="Z319" i="53"/>
  <c r="AA319" i="53"/>
  <c r="D320" i="53"/>
  <c r="E320" i="53"/>
  <c r="F320" i="53"/>
  <c r="G320" i="53"/>
  <c r="H320" i="53"/>
  <c r="I320" i="53"/>
  <c r="J320" i="53"/>
  <c r="K320" i="53"/>
  <c r="L320" i="53"/>
  <c r="M320" i="53"/>
  <c r="N320" i="53"/>
  <c r="O320" i="53"/>
  <c r="P320" i="53"/>
  <c r="Q320" i="53"/>
  <c r="R320" i="53"/>
  <c r="S320" i="53"/>
  <c r="T320" i="53"/>
  <c r="U320" i="53"/>
  <c r="V320" i="53"/>
  <c r="W320" i="53"/>
  <c r="X320" i="53"/>
  <c r="Y320" i="53"/>
  <c r="Z320" i="53"/>
  <c r="AA320" i="53"/>
  <c r="D321" i="53"/>
  <c r="E321" i="53"/>
  <c r="F321" i="53"/>
  <c r="G321" i="53"/>
  <c r="H321" i="53"/>
  <c r="I321" i="53"/>
  <c r="J321" i="53"/>
  <c r="K321" i="53"/>
  <c r="L321" i="53"/>
  <c r="M321" i="53"/>
  <c r="N321" i="53"/>
  <c r="O321" i="53"/>
  <c r="P321" i="53"/>
  <c r="Q321" i="53"/>
  <c r="R321" i="53"/>
  <c r="S321" i="53"/>
  <c r="T321" i="53"/>
  <c r="U321" i="53"/>
  <c r="V321" i="53"/>
  <c r="W321" i="53"/>
  <c r="X321" i="53"/>
  <c r="Y321" i="53"/>
  <c r="Z321" i="53"/>
  <c r="AA321" i="53"/>
  <c r="AC321" i="53"/>
  <c r="AD321" i="53"/>
  <c r="AE321" i="53"/>
  <c r="D335" i="53"/>
  <c r="E335" i="53"/>
  <c r="F335" i="53"/>
  <c r="G335" i="53"/>
  <c r="H335" i="53"/>
  <c r="I335" i="53"/>
  <c r="J335" i="53"/>
  <c r="K335" i="53"/>
  <c r="L335" i="53"/>
  <c r="M335" i="53"/>
  <c r="N335" i="53"/>
  <c r="O335" i="53"/>
  <c r="P335" i="53"/>
  <c r="Q335" i="53"/>
  <c r="R335" i="53"/>
  <c r="S335" i="53"/>
  <c r="T335" i="53"/>
  <c r="U335" i="53"/>
  <c r="V335" i="53"/>
  <c r="W335" i="53"/>
  <c r="X335" i="53"/>
  <c r="Y335" i="53"/>
  <c r="Z335" i="53"/>
  <c r="AA335" i="53"/>
  <c r="AB335" i="53"/>
  <c r="AC335" i="53"/>
  <c r="AD335" i="53"/>
  <c r="AE335" i="53"/>
  <c r="D336" i="53"/>
  <c r="E336" i="53"/>
  <c r="F336" i="53"/>
  <c r="G336" i="53"/>
  <c r="H336" i="53"/>
  <c r="I336" i="53"/>
  <c r="J336" i="53"/>
  <c r="K336" i="53"/>
  <c r="L336" i="53"/>
  <c r="M336" i="53"/>
  <c r="N336" i="53"/>
  <c r="O336" i="53"/>
  <c r="P336" i="53"/>
  <c r="Q336" i="53"/>
  <c r="R336" i="53"/>
  <c r="S336" i="53"/>
  <c r="T336" i="53"/>
  <c r="U336" i="53"/>
  <c r="V336" i="53"/>
  <c r="W336" i="53"/>
  <c r="X336" i="53"/>
  <c r="D337" i="53"/>
  <c r="E337" i="53"/>
  <c r="F337" i="53"/>
  <c r="G337" i="53"/>
  <c r="H337" i="53"/>
  <c r="I337" i="53"/>
  <c r="J337" i="53"/>
  <c r="K337" i="53"/>
  <c r="L337" i="53"/>
  <c r="M337" i="53"/>
  <c r="N337" i="53"/>
  <c r="O337" i="53"/>
  <c r="P337" i="53"/>
  <c r="Q337" i="53"/>
  <c r="R337" i="53"/>
  <c r="S337" i="53"/>
  <c r="T337" i="53"/>
  <c r="U337" i="53"/>
  <c r="V337" i="53"/>
  <c r="W337" i="53"/>
  <c r="X337" i="53"/>
  <c r="Y337" i="53"/>
  <c r="Z337" i="53"/>
  <c r="AA337" i="53"/>
  <c r="AB337" i="53"/>
  <c r="AC337" i="53"/>
  <c r="AD337" i="53"/>
  <c r="AE337" i="53"/>
  <c r="D310" i="53"/>
  <c r="E310" i="53"/>
  <c r="F310" i="53"/>
  <c r="G310" i="53"/>
  <c r="H310" i="53"/>
  <c r="I310" i="53"/>
  <c r="J310" i="53"/>
  <c r="K310" i="53"/>
  <c r="L310" i="53"/>
  <c r="M310" i="53"/>
  <c r="N310" i="53"/>
  <c r="O310" i="53"/>
  <c r="P310" i="53"/>
  <c r="Q310" i="53"/>
  <c r="R310" i="53"/>
  <c r="S310" i="53"/>
  <c r="T310" i="53"/>
  <c r="U310" i="53"/>
  <c r="V310" i="53"/>
  <c r="W310" i="53"/>
  <c r="X310" i="53"/>
  <c r="Y310" i="53"/>
  <c r="Z310" i="53"/>
  <c r="AA310" i="53"/>
  <c r="AB310" i="53"/>
  <c r="D322" i="53"/>
  <c r="E322" i="53"/>
  <c r="F322" i="53"/>
  <c r="G322" i="53"/>
  <c r="H322" i="53"/>
  <c r="I322" i="53"/>
  <c r="J322" i="53"/>
  <c r="K322" i="53"/>
  <c r="L322" i="53"/>
  <c r="M322" i="53"/>
  <c r="N322" i="53"/>
  <c r="O322" i="53"/>
  <c r="P322" i="53"/>
  <c r="Q322" i="53"/>
  <c r="R322" i="53"/>
  <c r="S322" i="53"/>
  <c r="T322" i="53"/>
  <c r="U322" i="53"/>
  <c r="V322" i="53"/>
  <c r="W322" i="53"/>
  <c r="X322" i="53"/>
  <c r="Y322" i="53"/>
  <c r="Z322" i="53"/>
  <c r="AA322" i="53"/>
  <c r="D345" i="53"/>
  <c r="E345" i="53"/>
  <c r="F345" i="53"/>
  <c r="G345" i="53"/>
  <c r="H345" i="53"/>
  <c r="I345" i="53"/>
  <c r="J345" i="53"/>
  <c r="K345" i="53"/>
  <c r="L345" i="53"/>
  <c r="M345" i="53"/>
  <c r="N345" i="53"/>
  <c r="O345" i="53"/>
  <c r="P345" i="53"/>
  <c r="Q345" i="53"/>
  <c r="R345" i="53"/>
  <c r="S345" i="53"/>
  <c r="T345" i="53"/>
  <c r="U345" i="53"/>
  <c r="V345" i="53"/>
  <c r="W345" i="53"/>
  <c r="X345" i="53"/>
  <c r="Y345" i="53"/>
  <c r="Z345" i="53"/>
  <c r="AA345" i="53"/>
  <c r="AB345" i="53"/>
  <c r="AC345" i="53"/>
  <c r="AD345" i="53"/>
  <c r="AE345" i="53"/>
  <c r="D346" i="53"/>
  <c r="E346" i="53"/>
  <c r="F346" i="53"/>
  <c r="G346" i="53"/>
  <c r="H346" i="53"/>
  <c r="I346" i="53"/>
  <c r="J346" i="53"/>
  <c r="K346" i="53"/>
  <c r="L346" i="53"/>
  <c r="M346" i="53"/>
  <c r="N346" i="53"/>
  <c r="O346" i="53"/>
  <c r="P346" i="53"/>
  <c r="Q346" i="53"/>
  <c r="R346" i="53"/>
  <c r="S346" i="53"/>
  <c r="T346" i="53"/>
  <c r="U346" i="53"/>
  <c r="V346" i="53"/>
  <c r="W346" i="53"/>
  <c r="X346" i="53"/>
  <c r="Y346" i="53"/>
  <c r="Z346" i="53"/>
  <c r="AA346" i="53"/>
  <c r="AB346" i="53"/>
  <c r="AC346" i="53"/>
  <c r="AD346" i="53"/>
  <c r="AE346" i="53"/>
  <c r="D353" i="53"/>
  <c r="E353" i="53"/>
  <c r="F353" i="53"/>
  <c r="G353" i="53"/>
  <c r="H353" i="53"/>
  <c r="I353" i="53"/>
  <c r="J353" i="53"/>
  <c r="K353" i="53"/>
  <c r="L353" i="53"/>
  <c r="M353" i="53"/>
  <c r="N353" i="53"/>
  <c r="O353" i="53"/>
  <c r="P353" i="53"/>
  <c r="Q353" i="53"/>
  <c r="R353" i="53"/>
  <c r="S353" i="53"/>
  <c r="T353" i="53"/>
  <c r="U353" i="53"/>
  <c r="V353" i="53"/>
  <c r="W353" i="53"/>
  <c r="X353" i="53"/>
  <c r="Y353" i="53"/>
  <c r="Z353" i="53"/>
  <c r="AA353" i="53"/>
  <c r="AB353" i="53"/>
  <c r="AC353" i="53"/>
  <c r="AD353" i="53"/>
  <c r="AE353" i="53"/>
  <c r="D354" i="53"/>
  <c r="E354" i="53"/>
  <c r="F354" i="53"/>
  <c r="G354" i="53"/>
  <c r="H354" i="53"/>
  <c r="I354" i="53"/>
  <c r="J354" i="53"/>
  <c r="K354" i="53"/>
  <c r="L354" i="53"/>
  <c r="M354" i="53"/>
  <c r="N354" i="53"/>
  <c r="O354" i="53"/>
  <c r="P354" i="53"/>
  <c r="Q354" i="53"/>
  <c r="R354" i="53"/>
  <c r="S354" i="53"/>
  <c r="T354" i="53"/>
  <c r="U354" i="53"/>
  <c r="V354" i="53"/>
  <c r="W354" i="53"/>
  <c r="X354" i="53"/>
  <c r="Y354" i="53"/>
  <c r="Z354" i="53"/>
  <c r="AA354" i="53"/>
  <c r="AB354" i="53"/>
  <c r="AC354" i="53"/>
  <c r="AD354" i="53"/>
  <c r="AE354" i="53"/>
  <c r="C319" i="53"/>
  <c r="C320" i="53"/>
  <c r="C321" i="53"/>
  <c r="C335" i="53"/>
  <c r="C336" i="53"/>
  <c r="C337" i="53"/>
  <c r="C310" i="53"/>
  <c r="C322" i="53"/>
  <c r="C345" i="53"/>
  <c r="C346" i="53"/>
  <c r="C353" i="53"/>
  <c r="C354" i="53"/>
  <c r="C309" i="53"/>
  <c r="D176" i="53"/>
  <c r="E176" i="53"/>
  <c r="F176" i="53"/>
  <c r="G176" i="53"/>
  <c r="H176" i="53"/>
  <c r="I176" i="53"/>
  <c r="J176" i="53"/>
  <c r="K176" i="53"/>
  <c r="L176" i="53"/>
  <c r="M176" i="53"/>
  <c r="N176" i="53"/>
  <c r="O176" i="53"/>
  <c r="P176" i="53"/>
  <c r="Q176" i="53"/>
  <c r="R176" i="53"/>
  <c r="S176" i="53"/>
  <c r="T176" i="53"/>
  <c r="U176" i="53"/>
  <c r="V176" i="53"/>
  <c r="W176" i="53"/>
  <c r="X176" i="53"/>
  <c r="Y176" i="53"/>
  <c r="Z176" i="53"/>
  <c r="AA176" i="53"/>
  <c r="AB176" i="53"/>
  <c r="AC176" i="53"/>
  <c r="AD176" i="53"/>
  <c r="AE176" i="53"/>
  <c r="D184" i="53"/>
  <c r="E184" i="53"/>
  <c r="F184" i="53"/>
  <c r="G184" i="53"/>
  <c r="H184" i="53"/>
  <c r="I184" i="53"/>
  <c r="J184" i="53"/>
  <c r="K184" i="53"/>
  <c r="L184" i="53"/>
  <c r="M184" i="53"/>
  <c r="N184" i="53"/>
  <c r="O184" i="53"/>
  <c r="P184" i="53"/>
  <c r="Q184" i="53"/>
  <c r="R184" i="53"/>
  <c r="S184" i="53"/>
  <c r="T184" i="53"/>
  <c r="U184" i="53"/>
  <c r="V184" i="53"/>
  <c r="W184" i="53"/>
  <c r="X184" i="53"/>
  <c r="Y184" i="53"/>
  <c r="Z184" i="53"/>
  <c r="AA184" i="53"/>
  <c r="D186" i="53"/>
  <c r="E186" i="53"/>
  <c r="F186" i="53"/>
  <c r="G186" i="53"/>
  <c r="H186" i="53"/>
  <c r="I186" i="53"/>
  <c r="J186" i="53"/>
  <c r="K186" i="53"/>
  <c r="L186" i="53"/>
  <c r="M186" i="53"/>
  <c r="N186" i="53"/>
  <c r="O186" i="53"/>
  <c r="P186" i="53"/>
  <c r="Q186" i="53"/>
  <c r="R186" i="53"/>
  <c r="S186" i="53"/>
  <c r="T186" i="53"/>
  <c r="U186" i="53"/>
  <c r="V186" i="53"/>
  <c r="W186" i="53"/>
  <c r="X186" i="53"/>
  <c r="Y186" i="53"/>
  <c r="Z186" i="53"/>
  <c r="AA186" i="53"/>
  <c r="D187" i="53"/>
  <c r="E187" i="53"/>
  <c r="F187" i="53"/>
  <c r="G187" i="53"/>
  <c r="H187" i="53"/>
  <c r="I187" i="53"/>
  <c r="J187" i="53"/>
  <c r="K187" i="53"/>
  <c r="L187" i="53"/>
  <c r="M187" i="53"/>
  <c r="N187" i="53"/>
  <c r="O187" i="53"/>
  <c r="P187" i="53"/>
  <c r="Q187" i="53"/>
  <c r="R187" i="53"/>
  <c r="S187" i="53"/>
  <c r="T187" i="53"/>
  <c r="U187" i="53"/>
  <c r="V187" i="53"/>
  <c r="W187" i="53"/>
  <c r="X187" i="53"/>
  <c r="Y187" i="53"/>
  <c r="Z187" i="53"/>
  <c r="AA187" i="53"/>
  <c r="D188" i="53"/>
  <c r="E188" i="53"/>
  <c r="F188" i="53"/>
  <c r="G188" i="53"/>
  <c r="H188" i="53"/>
  <c r="I188" i="53"/>
  <c r="J188" i="53"/>
  <c r="K188" i="53"/>
  <c r="L188" i="53"/>
  <c r="M188" i="53"/>
  <c r="N188" i="53"/>
  <c r="O188" i="53"/>
  <c r="P188" i="53"/>
  <c r="Q188" i="53"/>
  <c r="R188" i="53"/>
  <c r="S188" i="53"/>
  <c r="T188" i="53"/>
  <c r="U188" i="53"/>
  <c r="V188" i="53"/>
  <c r="W188" i="53"/>
  <c r="X188" i="53"/>
  <c r="Y188" i="53"/>
  <c r="Z188" i="53"/>
  <c r="AA188" i="53"/>
  <c r="D202" i="53"/>
  <c r="E202" i="53"/>
  <c r="F202" i="53"/>
  <c r="G202" i="53"/>
  <c r="H202" i="53"/>
  <c r="I202" i="53"/>
  <c r="J202" i="53"/>
  <c r="K202" i="53"/>
  <c r="L202" i="53"/>
  <c r="M202" i="53"/>
  <c r="N202" i="53"/>
  <c r="O202" i="53"/>
  <c r="P202" i="53"/>
  <c r="Q202" i="53"/>
  <c r="R202" i="53"/>
  <c r="S202" i="53"/>
  <c r="T202" i="53"/>
  <c r="U202" i="53"/>
  <c r="V202" i="53"/>
  <c r="W202" i="53"/>
  <c r="X202" i="53"/>
  <c r="Y202" i="53"/>
  <c r="Z202" i="53"/>
  <c r="AA202" i="53"/>
  <c r="AB202" i="53"/>
  <c r="AC202" i="53"/>
  <c r="AD202" i="53"/>
  <c r="AE202" i="53"/>
  <c r="D203" i="53"/>
  <c r="E203" i="53"/>
  <c r="F203" i="53"/>
  <c r="G203" i="53"/>
  <c r="H203" i="53"/>
  <c r="I203" i="53"/>
  <c r="J203" i="53"/>
  <c r="K203" i="53"/>
  <c r="L203" i="53"/>
  <c r="M203" i="53"/>
  <c r="N203" i="53"/>
  <c r="O203" i="53"/>
  <c r="P203" i="53"/>
  <c r="Q203" i="53"/>
  <c r="R203" i="53"/>
  <c r="S203" i="53"/>
  <c r="T203" i="53"/>
  <c r="U203" i="53"/>
  <c r="V203" i="53"/>
  <c r="W203" i="53"/>
  <c r="X203" i="53"/>
  <c r="D204" i="53"/>
  <c r="E204" i="53"/>
  <c r="F204" i="53"/>
  <c r="G204" i="53"/>
  <c r="H204" i="53"/>
  <c r="I204" i="53"/>
  <c r="J204" i="53"/>
  <c r="K204" i="53"/>
  <c r="L204" i="53"/>
  <c r="M204" i="53"/>
  <c r="N204" i="53"/>
  <c r="O204" i="53"/>
  <c r="P204" i="53"/>
  <c r="Q204" i="53"/>
  <c r="R204" i="53"/>
  <c r="S204" i="53"/>
  <c r="T204" i="53"/>
  <c r="U204" i="53"/>
  <c r="V204" i="53"/>
  <c r="W204" i="53"/>
  <c r="X204" i="53"/>
  <c r="Y204" i="53"/>
  <c r="Z204" i="53"/>
  <c r="AA204" i="53"/>
  <c r="AB204" i="53"/>
  <c r="AC204" i="53"/>
  <c r="AD204" i="53"/>
  <c r="AE204" i="53"/>
  <c r="D177" i="53"/>
  <c r="E177" i="53"/>
  <c r="F177" i="53"/>
  <c r="G177" i="53"/>
  <c r="H177" i="53"/>
  <c r="I177" i="53"/>
  <c r="J177" i="53"/>
  <c r="K177" i="53"/>
  <c r="L177" i="53"/>
  <c r="M177" i="53"/>
  <c r="N177" i="53"/>
  <c r="O177" i="53"/>
  <c r="P177" i="53"/>
  <c r="Q177" i="53"/>
  <c r="R177" i="53"/>
  <c r="S177" i="53"/>
  <c r="T177" i="53"/>
  <c r="U177" i="53"/>
  <c r="V177" i="53"/>
  <c r="W177" i="53"/>
  <c r="X177" i="53"/>
  <c r="Y177" i="53"/>
  <c r="Z177" i="53"/>
  <c r="AA177" i="53"/>
  <c r="AB177" i="53"/>
  <c r="D189" i="53"/>
  <c r="E189" i="53"/>
  <c r="F189" i="53"/>
  <c r="G189" i="53"/>
  <c r="H189" i="53"/>
  <c r="I189" i="53"/>
  <c r="J189" i="53"/>
  <c r="K189" i="53"/>
  <c r="L189" i="53"/>
  <c r="M189" i="53"/>
  <c r="N189" i="53"/>
  <c r="O189" i="53"/>
  <c r="P189" i="53"/>
  <c r="Q189" i="53"/>
  <c r="R189" i="53"/>
  <c r="S189" i="53"/>
  <c r="T189" i="53"/>
  <c r="U189" i="53"/>
  <c r="V189" i="53"/>
  <c r="W189" i="53"/>
  <c r="X189" i="53"/>
  <c r="Y189" i="53"/>
  <c r="Z189" i="53"/>
  <c r="AA189" i="53"/>
  <c r="D212" i="53"/>
  <c r="E212" i="53"/>
  <c r="F212" i="53"/>
  <c r="G212" i="53"/>
  <c r="H212" i="53"/>
  <c r="I212" i="53"/>
  <c r="J212" i="53"/>
  <c r="K212" i="53"/>
  <c r="L212" i="53"/>
  <c r="M212" i="53"/>
  <c r="N212" i="53"/>
  <c r="O212" i="53"/>
  <c r="P212" i="53"/>
  <c r="Q212" i="53"/>
  <c r="R212" i="53"/>
  <c r="S212" i="53"/>
  <c r="T212" i="53"/>
  <c r="U212" i="53"/>
  <c r="V212" i="53"/>
  <c r="W212" i="53"/>
  <c r="X212" i="53"/>
  <c r="Y212" i="53"/>
  <c r="Z212" i="53"/>
  <c r="AA212" i="53"/>
  <c r="AB212" i="53"/>
  <c r="AC212" i="53"/>
  <c r="AD212" i="53"/>
  <c r="AE212" i="53"/>
  <c r="D213" i="53"/>
  <c r="E213" i="53"/>
  <c r="F213" i="53"/>
  <c r="G213" i="53"/>
  <c r="H213" i="53"/>
  <c r="I213" i="53"/>
  <c r="J213" i="53"/>
  <c r="K213" i="53"/>
  <c r="L213" i="53"/>
  <c r="M213" i="53"/>
  <c r="N213" i="53"/>
  <c r="O213" i="53"/>
  <c r="P213" i="53"/>
  <c r="Q213" i="53"/>
  <c r="R213" i="53"/>
  <c r="S213" i="53"/>
  <c r="T213" i="53"/>
  <c r="U213" i="53"/>
  <c r="V213" i="53"/>
  <c r="W213" i="53"/>
  <c r="X213" i="53"/>
  <c r="Y213" i="53"/>
  <c r="Z213" i="53"/>
  <c r="AA213" i="53"/>
  <c r="AB213" i="53"/>
  <c r="AC213" i="53"/>
  <c r="AD213" i="53"/>
  <c r="AE213" i="53"/>
  <c r="D218" i="53"/>
  <c r="E218" i="53"/>
  <c r="F218" i="53"/>
  <c r="G218" i="53"/>
  <c r="H218" i="53"/>
  <c r="I218" i="53"/>
  <c r="J218" i="53"/>
  <c r="K218" i="53"/>
  <c r="L218" i="53"/>
  <c r="M218" i="53"/>
  <c r="N218" i="53"/>
  <c r="O218" i="53"/>
  <c r="P218" i="53"/>
  <c r="Q218" i="53"/>
  <c r="R218" i="53"/>
  <c r="S218" i="53"/>
  <c r="T218" i="53"/>
  <c r="U218" i="53"/>
  <c r="V218" i="53"/>
  <c r="W218" i="53"/>
  <c r="X218" i="53"/>
  <c r="Y218" i="53"/>
  <c r="Z218" i="53"/>
  <c r="AE218" i="53"/>
  <c r="D219" i="53"/>
  <c r="E219" i="53"/>
  <c r="F219" i="53"/>
  <c r="G219" i="53"/>
  <c r="H219" i="53"/>
  <c r="I219" i="53"/>
  <c r="J219" i="53"/>
  <c r="K219" i="53"/>
  <c r="L219" i="53"/>
  <c r="M219" i="53"/>
  <c r="N219" i="53"/>
  <c r="O219" i="53"/>
  <c r="P219" i="53"/>
  <c r="Q219" i="53"/>
  <c r="R219" i="53"/>
  <c r="S219" i="53"/>
  <c r="T219" i="53"/>
  <c r="U219" i="53"/>
  <c r="V219" i="53"/>
  <c r="W219" i="53"/>
  <c r="AB219" i="53"/>
  <c r="AC219" i="53"/>
  <c r="AD219" i="53"/>
  <c r="AE219" i="53"/>
  <c r="C184" i="53"/>
  <c r="C186" i="53"/>
  <c r="C187" i="53"/>
  <c r="C188" i="53"/>
  <c r="C202" i="53"/>
  <c r="C203" i="53"/>
  <c r="C204" i="53"/>
  <c r="C177" i="53"/>
  <c r="C189" i="53"/>
  <c r="C212" i="53"/>
  <c r="C213" i="53"/>
  <c r="C218" i="53"/>
  <c r="C219" i="53"/>
  <c r="C176" i="53"/>
  <c r="D410" i="27"/>
  <c r="E410" i="27"/>
  <c r="F410" i="27"/>
  <c r="G410" i="27"/>
  <c r="H410" i="27"/>
  <c r="I410" i="27"/>
  <c r="J410" i="27"/>
  <c r="K410" i="27"/>
  <c r="L410" i="27"/>
  <c r="M410" i="27"/>
  <c r="N410" i="27"/>
  <c r="O410" i="27"/>
  <c r="P410" i="27"/>
  <c r="Q410" i="27"/>
  <c r="R410" i="27"/>
  <c r="S410" i="27"/>
  <c r="T410" i="27"/>
  <c r="U410" i="27"/>
  <c r="V410" i="27"/>
  <c r="W410" i="27"/>
  <c r="X410" i="27"/>
  <c r="Y410" i="27"/>
  <c r="Z410" i="27"/>
  <c r="AA410" i="27"/>
  <c r="AB410" i="27"/>
  <c r="AC410" i="27"/>
  <c r="AD410" i="27"/>
  <c r="AE410" i="27"/>
  <c r="D411" i="27"/>
  <c r="E411" i="27"/>
  <c r="F411" i="27"/>
  <c r="G411" i="27"/>
  <c r="H411" i="27"/>
  <c r="I411" i="27"/>
  <c r="J411" i="27"/>
  <c r="K411" i="27"/>
  <c r="L411" i="27"/>
  <c r="M411" i="27"/>
  <c r="N411" i="27"/>
  <c r="O411" i="27"/>
  <c r="P411" i="27"/>
  <c r="Q411" i="27"/>
  <c r="R411" i="27"/>
  <c r="S411" i="27"/>
  <c r="T411" i="27"/>
  <c r="U411" i="27"/>
  <c r="V411" i="27"/>
  <c r="W411" i="27"/>
  <c r="X411" i="27"/>
  <c r="Y411" i="27"/>
  <c r="Z411" i="27"/>
  <c r="AA411" i="27"/>
  <c r="AB411" i="27"/>
  <c r="AC411" i="27"/>
  <c r="AD411" i="27"/>
  <c r="AE411" i="27"/>
  <c r="D412" i="27"/>
  <c r="E412" i="27"/>
  <c r="F412" i="27"/>
  <c r="G412" i="27"/>
  <c r="H412" i="27"/>
  <c r="I412" i="27"/>
  <c r="J412" i="27"/>
  <c r="K412" i="27"/>
  <c r="L412" i="27"/>
  <c r="M412" i="27"/>
  <c r="N412" i="27"/>
  <c r="O412" i="27"/>
  <c r="P412" i="27"/>
  <c r="Q412" i="27"/>
  <c r="R412" i="27"/>
  <c r="S412" i="27"/>
  <c r="T412" i="27"/>
  <c r="U412" i="27"/>
  <c r="V412" i="27"/>
  <c r="W412" i="27"/>
  <c r="X412" i="27"/>
  <c r="Y412" i="27"/>
  <c r="Z412" i="27"/>
  <c r="AA412" i="27"/>
  <c r="AB412" i="27"/>
  <c r="AC412" i="27"/>
  <c r="AD412" i="27"/>
  <c r="AE412" i="27"/>
  <c r="D413" i="27"/>
  <c r="E413" i="27"/>
  <c r="F413" i="27"/>
  <c r="G413" i="27"/>
  <c r="H413" i="27"/>
  <c r="I413" i="27"/>
  <c r="J413" i="27"/>
  <c r="K413" i="27"/>
  <c r="L413" i="27"/>
  <c r="M413" i="27"/>
  <c r="N413" i="27"/>
  <c r="O413" i="27"/>
  <c r="P413" i="27"/>
  <c r="Q413" i="27"/>
  <c r="R413" i="27"/>
  <c r="S413" i="27"/>
  <c r="T413" i="27"/>
  <c r="U413" i="27"/>
  <c r="V413" i="27"/>
  <c r="W413" i="27"/>
  <c r="X413" i="27"/>
  <c r="Y413" i="27"/>
  <c r="Z413" i="27"/>
  <c r="AA413" i="27"/>
  <c r="AB413" i="27"/>
  <c r="AC413" i="27"/>
  <c r="AD413" i="27"/>
  <c r="AE413" i="27"/>
  <c r="D414" i="27"/>
  <c r="E414" i="27"/>
  <c r="F414" i="27"/>
  <c r="G414" i="27"/>
  <c r="H414" i="27"/>
  <c r="I414" i="27"/>
  <c r="J414" i="27"/>
  <c r="K414" i="27"/>
  <c r="L414" i="27"/>
  <c r="M414" i="27"/>
  <c r="N414" i="27"/>
  <c r="O414" i="27"/>
  <c r="P414" i="27"/>
  <c r="Q414" i="27"/>
  <c r="R414" i="27"/>
  <c r="S414" i="27"/>
  <c r="T414" i="27"/>
  <c r="U414" i="27"/>
  <c r="V414" i="27"/>
  <c r="W414" i="27"/>
  <c r="X414" i="27"/>
  <c r="Y414" i="27"/>
  <c r="Z414" i="27"/>
  <c r="AA414" i="27"/>
  <c r="AB414" i="27"/>
  <c r="AC414" i="27"/>
  <c r="AD414" i="27"/>
  <c r="AE414" i="27"/>
  <c r="D415" i="27"/>
  <c r="E415" i="27"/>
  <c r="F415" i="27"/>
  <c r="G415" i="27"/>
  <c r="H415" i="27"/>
  <c r="I415" i="27"/>
  <c r="J415" i="27"/>
  <c r="K415" i="27"/>
  <c r="L415" i="27"/>
  <c r="M415" i="27"/>
  <c r="N415" i="27"/>
  <c r="O415" i="27"/>
  <c r="P415" i="27"/>
  <c r="Q415" i="27"/>
  <c r="R415" i="27"/>
  <c r="S415" i="27"/>
  <c r="T415" i="27"/>
  <c r="U415" i="27"/>
  <c r="V415" i="27"/>
  <c r="W415" i="27"/>
  <c r="X415" i="27"/>
  <c r="Y415" i="27"/>
  <c r="Z415" i="27"/>
  <c r="AA415" i="27"/>
  <c r="AB415" i="27"/>
  <c r="AC415" i="27"/>
  <c r="AD415" i="27"/>
  <c r="AE415" i="27"/>
  <c r="D416" i="27"/>
  <c r="E416" i="27"/>
  <c r="F416" i="27"/>
  <c r="G416" i="27"/>
  <c r="H416" i="27"/>
  <c r="I416" i="27"/>
  <c r="J416" i="27"/>
  <c r="K416" i="27"/>
  <c r="L416" i="27"/>
  <c r="M416" i="27"/>
  <c r="N416" i="27"/>
  <c r="O416" i="27"/>
  <c r="P416" i="27"/>
  <c r="Q416" i="27"/>
  <c r="R416" i="27"/>
  <c r="S416" i="27"/>
  <c r="T416" i="27"/>
  <c r="U416" i="27"/>
  <c r="V416" i="27"/>
  <c r="W416" i="27"/>
  <c r="X416" i="27"/>
  <c r="Y416" i="27"/>
  <c r="Z416" i="27"/>
  <c r="AA416" i="27"/>
  <c r="AB416" i="27"/>
  <c r="AC416" i="27"/>
  <c r="AD416" i="27"/>
  <c r="AE416" i="27"/>
  <c r="D417" i="27"/>
  <c r="E417" i="27"/>
  <c r="F417" i="27"/>
  <c r="G417" i="27"/>
  <c r="H417" i="27"/>
  <c r="I417" i="27"/>
  <c r="J417" i="27"/>
  <c r="K417" i="27"/>
  <c r="L417" i="27"/>
  <c r="M417" i="27"/>
  <c r="N417" i="27"/>
  <c r="O417" i="27"/>
  <c r="P417" i="27"/>
  <c r="Q417" i="27"/>
  <c r="R417" i="27"/>
  <c r="S417" i="27"/>
  <c r="T417" i="27"/>
  <c r="U417" i="27"/>
  <c r="V417" i="27"/>
  <c r="W417" i="27"/>
  <c r="X417" i="27"/>
  <c r="Y417" i="27"/>
  <c r="Z417" i="27"/>
  <c r="AA417" i="27"/>
  <c r="AB417" i="27"/>
  <c r="AC417" i="27"/>
  <c r="AD417" i="27"/>
  <c r="AE417" i="27"/>
  <c r="AA425" i="27"/>
  <c r="AB425" i="27"/>
  <c r="AC425" i="27"/>
  <c r="AD425" i="27"/>
  <c r="AE425" i="27"/>
  <c r="AA426" i="27"/>
  <c r="AB426" i="27"/>
  <c r="AC426" i="27"/>
  <c r="AD426" i="27"/>
  <c r="AE426" i="27"/>
  <c r="AA427" i="27"/>
  <c r="AB427" i="27"/>
  <c r="AC427" i="27"/>
  <c r="AD427" i="27"/>
  <c r="AE427" i="27"/>
  <c r="AA428" i="27"/>
  <c r="AB428" i="27"/>
  <c r="AC428" i="27"/>
  <c r="AD428" i="27"/>
  <c r="AE428" i="27"/>
  <c r="AA429" i="27"/>
  <c r="AB429" i="27"/>
  <c r="AC429" i="27"/>
  <c r="AD429" i="27"/>
  <c r="AE429" i="27"/>
  <c r="AA430" i="27"/>
  <c r="AB430" i="27"/>
  <c r="AC430" i="27"/>
  <c r="AD430" i="27"/>
  <c r="AE430" i="27"/>
  <c r="AA431" i="27"/>
  <c r="AB431" i="27"/>
  <c r="AC431" i="27"/>
  <c r="AD431" i="27"/>
  <c r="AE431" i="27"/>
  <c r="AA432" i="27"/>
  <c r="AB432" i="27"/>
  <c r="AC432" i="27"/>
  <c r="AD432" i="27"/>
  <c r="AE432" i="27"/>
  <c r="AA433" i="27"/>
  <c r="AB433" i="27"/>
  <c r="AC433" i="27"/>
  <c r="AD433" i="27"/>
  <c r="AE433" i="27"/>
  <c r="AA434" i="27"/>
  <c r="AB434" i="27"/>
  <c r="AC434" i="27"/>
  <c r="AD434" i="27"/>
  <c r="AE434" i="27"/>
  <c r="D442" i="27"/>
  <c r="E442" i="27"/>
  <c r="F442" i="27"/>
  <c r="G442" i="27"/>
  <c r="H442" i="27"/>
  <c r="I442" i="27"/>
  <c r="J442" i="27"/>
  <c r="K442" i="27"/>
  <c r="L442" i="27"/>
  <c r="M442" i="27"/>
  <c r="N442" i="27"/>
  <c r="O442" i="27"/>
  <c r="P442" i="27"/>
  <c r="Q442" i="27"/>
  <c r="R442" i="27"/>
  <c r="S442" i="27"/>
  <c r="T442" i="27"/>
  <c r="V442" i="27"/>
  <c r="W442" i="27"/>
  <c r="X442" i="27"/>
  <c r="Y442" i="27"/>
  <c r="Z442" i="27"/>
  <c r="AA442" i="27"/>
  <c r="AB442" i="27"/>
  <c r="AC442" i="27"/>
  <c r="AD442" i="27"/>
  <c r="AE442" i="27"/>
  <c r="D443" i="27"/>
  <c r="E443" i="27"/>
  <c r="F443" i="27"/>
  <c r="G443" i="27"/>
  <c r="H443" i="27"/>
  <c r="I443" i="27"/>
  <c r="J443" i="27"/>
  <c r="K443" i="27"/>
  <c r="L443" i="27"/>
  <c r="M443" i="27"/>
  <c r="N443" i="27"/>
  <c r="O443" i="27"/>
  <c r="P443" i="27"/>
  <c r="Q443" i="27"/>
  <c r="R443" i="27"/>
  <c r="S443" i="27"/>
  <c r="T443" i="27"/>
  <c r="W443" i="27"/>
  <c r="X443" i="27"/>
  <c r="Y443" i="27"/>
  <c r="Z443" i="27"/>
  <c r="AA443" i="27"/>
  <c r="AB443" i="27"/>
  <c r="AC443" i="27"/>
  <c r="AD443" i="27"/>
  <c r="AE443" i="27"/>
  <c r="C411" i="27"/>
  <c r="C412" i="27"/>
  <c r="C413" i="27"/>
  <c r="C414" i="27"/>
  <c r="C415" i="27"/>
  <c r="C416" i="27"/>
  <c r="C417" i="27"/>
  <c r="C425" i="27"/>
  <c r="C426" i="27"/>
  <c r="C427" i="27"/>
  <c r="C428" i="27"/>
  <c r="C429" i="27"/>
  <c r="C430" i="27"/>
  <c r="C431" i="27"/>
  <c r="C432" i="27"/>
  <c r="C433" i="27"/>
  <c r="C434" i="27"/>
  <c r="C442" i="27"/>
  <c r="C443" i="27"/>
  <c r="C410" i="27"/>
  <c r="AD23" i="45"/>
  <c r="C153" i="49"/>
  <c r="D153" i="49"/>
  <c r="E153" i="49"/>
  <c r="F153" i="49"/>
  <c r="G153" i="49"/>
  <c r="H153" i="49"/>
  <c r="I153" i="49"/>
  <c r="J153" i="49"/>
  <c r="K153" i="49"/>
  <c r="L153" i="49"/>
  <c r="M153" i="49"/>
  <c r="N153" i="49"/>
  <c r="O153" i="49"/>
  <c r="P153" i="49"/>
  <c r="Q153" i="49"/>
  <c r="R153" i="49"/>
  <c r="S153" i="49"/>
  <c r="T153" i="49"/>
  <c r="U153" i="49"/>
  <c r="V153" i="49"/>
  <c r="W153" i="49"/>
  <c r="X153" i="49"/>
  <c r="Y153" i="49"/>
  <c r="Z153" i="49"/>
  <c r="AA153" i="49"/>
  <c r="AB153" i="49"/>
  <c r="AC153" i="49"/>
  <c r="AD153" i="49"/>
  <c r="B153" i="49"/>
  <c r="C136" i="49"/>
  <c r="D136" i="49"/>
  <c r="E136" i="49"/>
  <c r="F136" i="49"/>
  <c r="G136" i="49"/>
  <c r="H136" i="49"/>
  <c r="I136" i="49"/>
  <c r="J136" i="49"/>
  <c r="K136" i="49"/>
  <c r="L136" i="49"/>
  <c r="M136" i="49"/>
  <c r="N136" i="49"/>
  <c r="O136" i="49"/>
  <c r="P136" i="49"/>
  <c r="Q136" i="49"/>
  <c r="R136" i="49"/>
  <c r="S136" i="49"/>
  <c r="T136" i="49"/>
  <c r="U136" i="49"/>
  <c r="V136" i="49"/>
  <c r="W136" i="49"/>
  <c r="X136" i="49"/>
  <c r="Y136" i="49"/>
  <c r="Z136" i="49"/>
  <c r="AA136" i="49"/>
  <c r="AB136" i="49"/>
  <c r="AC136" i="49"/>
  <c r="AD136" i="49"/>
  <c r="B136" i="49"/>
  <c r="AE10" i="45"/>
  <c r="AE13" i="45"/>
  <c r="AE17" i="45"/>
  <c r="AE22" i="45"/>
  <c r="AF119" i="27"/>
  <c r="AE158" i="44"/>
  <c r="AE159" i="44" s="1"/>
  <c r="AE160" i="44" s="1"/>
  <c r="AE117" i="44"/>
  <c r="AE118" i="44" s="1"/>
  <c r="AE119" i="44" s="1"/>
  <c r="AE74" i="44"/>
  <c r="AE75" i="44" s="1"/>
  <c r="AE76" i="44" s="1"/>
  <c r="AE25" i="45"/>
  <c r="AF162" i="27"/>
  <c r="AE162" i="27"/>
  <c r="AD9" i="17"/>
  <c r="AD176" i="49" s="1"/>
  <c r="AD11" i="17"/>
  <c r="AD78" i="47" s="1"/>
  <c r="AE143" i="44"/>
  <c r="AE85" i="44"/>
  <c r="AC49" i="29"/>
  <c r="AC124" i="49" s="1"/>
  <c r="AC47" i="29"/>
  <c r="AC48" i="29"/>
  <c r="AC154" i="49" s="1"/>
  <c r="C47" i="29"/>
  <c r="D47" i="29"/>
  <c r="E47" i="29"/>
  <c r="F47" i="29"/>
  <c r="G47" i="29"/>
  <c r="H47" i="29"/>
  <c r="I47" i="29"/>
  <c r="J47" i="29"/>
  <c r="K47" i="29"/>
  <c r="L47" i="29"/>
  <c r="M47" i="29"/>
  <c r="N47" i="29"/>
  <c r="O47" i="29"/>
  <c r="P47" i="29"/>
  <c r="Q47" i="29"/>
  <c r="R47" i="29"/>
  <c r="S47" i="29"/>
  <c r="T47" i="29"/>
  <c r="U47" i="29"/>
  <c r="V47" i="29"/>
  <c r="W47" i="29"/>
  <c r="X47" i="29"/>
  <c r="Y47" i="29"/>
  <c r="Z47" i="29"/>
  <c r="AA47" i="29"/>
  <c r="AB47" i="29"/>
  <c r="C48" i="29"/>
  <c r="C154" i="49" s="1"/>
  <c r="D48" i="29"/>
  <c r="D154" i="49" s="1"/>
  <c r="E48" i="29"/>
  <c r="E154" i="49" s="1"/>
  <c r="F48" i="29"/>
  <c r="F154" i="49" s="1"/>
  <c r="G48" i="29"/>
  <c r="G154" i="49" s="1"/>
  <c r="H48" i="29"/>
  <c r="H154" i="49" s="1"/>
  <c r="I48" i="29"/>
  <c r="I154" i="49" s="1"/>
  <c r="J48" i="29"/>
  <c r="J154" i="49" s="1"/>
  <c r="K48" i="29"/>
  <c r="K154" i="49" s="1"/>
  <c r="L48" i="29"/>
  <c r="L154" i="49" s="1"/>
  <c r="M48" i="29"/>
  <c r="M154" i="49" s="1"/>
  <c r="N48" i="29"/>
  <c r="N154" i="49" s="1"/>
  <c r="O48" i="29"/>
  <c r="O154" i="49" s="1"/>
  <c r="P48" i="29"/>
  <c r="P154" i="49" s="1"/>
  <c r="Q48" i="29"/>
  <c r="Q154" i="49" s="1"/>
  <c r="R48" i="29"/>
  <c r="R154" i="49" s="1"/>
  <c r="S48" i="29"/>
  <c r="S154" i="49" s="1"/>
  <c r="T48" i="29"/>
  <c r="T154" i="49" s="1"/>
  <c r="U48" i="29"/>
  <c r="U154" i="49" s="1"/>
  <c r="V48" i="29"/>
  <c r="V154" i="49" s="1"/>
  <c r="W48" i="29"/>
  <c r="W154" i="49" s="1"/>
  <c r="X48" i="29"/>
  <c r="X154" i="49" s="1"/>
  <c r="Y48" i="29"/>
  <c r="Y154" i="49" s="1"/>
  <c r="Z48" i="29"/>
  <c r="Z154" i="49" s="1"/>
  <c r="AA48" i="29"/>
  <c r="AA154" i="49" s="1"/>
  <c r="AB48" i="29"/>
  <c r="AB154" i="49" s="1"/>
  <c r="C49" i="29"/>
  <c r="C124" i="49" s="1"/>
  <c r="D49" i="29"/>
  <c r="D124" i="49" s="1"/>
  <c r="E49" i="29"/>
  <c r="E124" i="49" s="1"/>
  <c r="F49" i="29"/>
  <c r="F124" i="49" s="1"/>
  <c r="G49" i="29"/>
  <c r="G124" i="49" s="1"/>
  <c r="H49" i="29"/>
  <c r="H124" i="49" s="1"/>
  <c r="I49" i="29"/>
  <c r="I124" i="49" s="1"/>
  <c r="J49" i="29"/>
  <c r="J124" i="49" s="1"/>
  <c r="K49" i="29"/>
  <c r="K124" i="49" s="1"/>
  <c r="L49" i="29"/>
  <c r="L124" i="49" s="1"/>
  <c r="M49" i="29"/>
  <c r="M124" i="49" s="1"/>
  <c r="N49" i="29"/>
  <c r="N124" i="49" s="1"/>
  <c r="O49" i="29"/>
  <c r="O124" i="49" s="1"/>
  <c r="P49" i="29"/>
  <c r="P124" i="49" s="1"/>
  <c r="Q49" i="29"/>
  <c r="Q124" i="49" s="1"/>
  <c r="R49" i="29"/>
  <c r="R124" i="49" s="1"/>
  <c r="S49" i="29"/>
  <c r="S124" i="49" s="1"/>
  <c r="T49" i="29"/>
  <c r="T124" i="49" s="1"/>
  <c r="U49" i="29"/>
  <c r="U124" i="49" s="1"/>
  <c r="V49" i="29"/>
  <c r="V124" i="49" s="1"/>
  <c r="W49" i="29"/>
  <c r="W124" i="49" s="1"/>
  <c r="X49" i="29"/>
  <c r="X124" i="49" s="1"/>
  <c r="Y49" i="29"/>
  <c r="Y124" i="49" s="1"/>
  <c r="Z49" i="29"/>
  <c r="Z124" i="49" s="1"/>
  <c r="AA49" i="29"/>
  <c r="AA124" i="49" s="1"/>
  <c r="AB49" i="29"/>
  <c r="AB124" i="49" s="1"/>
  <c r="AD39" i="31"/>
  <c r="AD38" i="31"/>
  <c r="AD37" i="31"/>
  <c r="AD80" i="47" s="1"/>
  <c r="AE131" i="44"/>
  <c r="AD70" i="47" s="1"/>
  <c r="AD78" i="31"/>
  <c r="AD79" i="31" s="1"/>
  <c r="AD26" i="31"/>
  <c r="AD76" i="47"/>
  <c r="AD64" i="31"/>
  <c r="AD65" i="31" s="1"/>
  <c r="AC23" i="45"/>
  <c r="AD10" i="45"/>
  <c r="AD13" i="45"/>
  <c r="AD17" i="45"/>
  <c r="AD22" i="45"/>
  <c r="AD117" i="49"/>
  <c r="AD120" i="49"/>
  <c r="AD121" i="49"/>
  <c r="AE119" i="27"/>
  <c r="AC9" i="17"/>
  <c r="AC28" i="45" s="1"/>
  <c r="AC11" i="17"/>
  <c r="AC78" i="47" s="1"/>
  <c r="AD158" i="44"/>
  <c r="AD159" i="44" s="1"/>
  <c r="AD160" i="44" s="1"/>
  <c r="AD117" i="44"/>
  <c r="AD118" i="44" s="1"/>
  <c r="AD119" i="44" s="1"/>
  <c r="AD74" i="44"/>
  <c r="AD75" i="44" s="1"/>
  <c r="AD76" i="44" s="1"/>
  <c r="AD27" i="44"/>
  <c r="AD28" i="44" s="1"/>
  <c r="AD25" i="45"/>
  <c r="AD143" i="44"/>
  <c r="AD85" i="44"/>
  <c r="AC38" i="31"/>
  <c r="AB38" i="31"/>
  <c r="AA38" i="31"/>
  <c r="AC39" i="31"/>
  <c r="AB39" i="31"/>
  <c r="AA39" i="31"/>
  <c r="AC37" i="31"/>
  <c r="AC80" i="47" s="1"/>
  <c r="AB37" i="31"/>
  <c r="AB80" i="47" s="1"/>
  <c r="AA37" i="31"/>
  <c r="AA80" i="47" s="1"/>
  <c r="AI75" i="47"/>
  <c r="C26" i="44"/>
  <c r="C27" i="44" s="1"/>
  <c r="C28" i="44" s="1"/>
  <c r="D26" i="44"/>
  <c r="D27" i="44" s="1"/>
  <c r="D28" i="44" s="1"/>
  <c r="E26" i="44"/>
  <c r="E27" i="44" s="1"/>
  <c r="E28" i="44" s="1"/>
  <c r="F26" i="44"/>
  <c r="F27" i="44" s="1"/>
  <c r="F28" i="44" s="1"/>
  <c r="G26" i="44"/>
  <c r="G27" i="44" s="1"/>
  <c r="G28" i="44" s="1"/>
  <c r="H26" i="44"/>
  <c r="H27" i="44" s="1"/>
  <c r="H28" i="44" s="1"/>
  <c r="I26" i="44"/>
  <c r="I27" i="44" s="1"/>
  <c r="I28" i="44" s="1"/>
  <c r="J26" i="44"/>
  <c r="J27" i="44" s="1"/>
  <c r="J28" i="44" s="1"/>
  <c r="K26" i="44"/>
  <c r="K27" i="44" s="1"/>
  <c r="K28" i="44" s="1"/>
  <c r="L26" i="44"/>
  <c r="L27" i="44" s="1"/>
  <c r="L28" i="44" s="1"/>
  <c r="M26" i="44"/>
  <c r="M27" i="44" s="1"/>
  <c r="M28" i="44" s="1"/>
  <c r="N26" i="44"/>
  <c r="N27" i="44" s="1"/>
  <c r="N28" i="44" s="1"/>
  <c r="O26" i="44"/>
  <c r="O27" i="44" s="1"/>
  <c r="O28" i="44" s="1"/>
  <c r="P26" i="44"/>
  <c r="P27" i="44" s="1"/>
  <c r="P28" i="44" s="1"/>
  <c r="Q26" i="44"/>
  <c r="Q27" i="44" s="1"/>
  <c r="Q28" i="44" s="1"/>
  <c r="R26" i="44"/>
  <c r="R27" i="44" s="1"/>
  <c r="R28" i="44" s="1"/>
  <c r="S26" i="44"/>
  <c r="S27" i="44" s="1"/>
  <c r="S28" i="44" s="1"/>
  <c r="T26" i="44"/>
  <c r="T27" i="44" s="1"/>
  <c r="T28" i="44" s="1"/>
  <c r="U26" i="44"/>
  <c r="U27" i="44" s="1"/>
  <c r="U28" i="44" s="1"/>
  <c r="V26" i="44"/>
  <c r="V27" i="44" s="1"/>
  <c r="V28" i="44" s="1"/>
  <c r="W26" i="44"/>
  <c r="W27" i="44" s="1"/>
  <c r="W28" i="44" s="1"/>
  <c r="X26" i="44"/>
  <c r="X27" i="44" s="1"/>
  <c r="X28" i="44" s="1"/>
  <c r="Y27" i="44"/>
  <c r="Y28" i="44" s="1"/>
  <c r="Z27" i="44"/>
  <c r="Z28" i="44" s="1"/>
  <c r="AA27" i="44"/>
  <c r="AA28" i="44" s="1"/>
  <c r="AB27" i="44"/>
  <c r="AB28" i="44" s="1"/>
  <c r="AC27" i="44"/>
  <c r="AC28" i="44" s="1"/>
  <c r="S61" i="44"/>
  <c r="L54" i="44"/>
  <c r="L60" i="44" s="1"/>
  <c r="M54" i="44"/>
  <c r="M60" i="44" s="1"/>
  <c r="W41" i="44"/>
  <c r="W42" i="44" s="1"/>
  <c r="X41" i="44"/>
  <c r="X42" i="44" s="1"/>
  <c r="Y41" i="44"/>
  <c r="Y42" i="44" s="1"/>
  <c r="Z41" i="44"/>
  <c r="Z42" i="44" s="1"/>
  <c r="Z76" i="47"/>
  <c r="AA76" i="47"/>
  <c r="AB76" i="47"/>
  <c r="AC76" i="47"/>
  <c r="C74" i="44"/>
  <c r="C75" i="44" s="1"/>
  <c r="C76" i="44" s="1"/>
  <c r="D74" i="44"/>
  <c r="D75" i="44" s="1"/>
  <c r="D76" i="44" s="1"/>
  <c r="E74" i="44"/>
  <c r="E75" i="44" s="1"/>
  <c r="E76" i="44" s="1"/>
  <c r="F74" i="44"/>
  <c r="F75" i="44" s="1"/>
  <c r="F76" i="44" s="1"/>
  <c r="G74" i="44"/>
  <c r="G75" i="44" s="1"/>
  <c r="G76" i="44" s="1"/>
  <c r="H74" i="44"/>
  <c r="H75" i="44" s="1"/>
  <c r="H76" i="44" s="1"/>
  <c r="I74" i="44"/>
  <c r="I75" i="44" s="1"/>
  <c r="I76" i="44" s="1"/>
  <c r="J74" i="44"/>
  <c r="J75" i="44" s="1"/>
  <c r="J76" i="44" s="1"/>
  <c r="K74" i="44"/>
  <c r="K75" i="44" s="1"/>
  <c r="K76" i="44" s="1"/>
  <c r="L74" i="44"/>
  <c r="L75" i="44" s="1"/>
  <c r="L76" i="44" s="1"/>
  <c r="M74" i="44"/>
  <c r="M75" i="44" s="1"/>
  <c r="M76" i="44" s="1"/>
  <c r="N74" i="44"/>
  <c r="N75" i="44" s="1"/>
  <c r="N76" i="44" s="1"/>
  <c r="O74" i="44"/>
  <c r="O75" i="44" s="1"/>
  <c r="O76" i="44" s="1"/>
  <c r="P74" i="44"/>
  <c r="P75" i="44" s="1"/>
  <c r="P76" i="44" s="1"/>
  <c r="Q74" i="44"/>
  <c r="Q75" i="44" s="1"/>
  <c r="Q76" i="44" s="1"/>
  <c r="R74" i="44"/>
  <c r="R75" i="44" s="1"/>
  <c r="R76" i="44" s="1"/>
  <c r="S74" i="44"/>
  <c r="S75" i="44" s="1"/>
  <c r="S76" i="44" s="1"/>
  <c r="T74" i="44"/>
  <c r="T75" i="44" s="1"/>
  <c r="T76" i="44" s="1"/>
  <c r="U74" i="44"/>
  <c r="U75" i="44" s="1"/>
  <c r="U76" i="44" s="1"/>
  <c r="V74" i="44"/>
  <c r="V75" i="44" s="1"/>
  <c r="V76" i="44" s="1"/>
  <c r="W74" i="44"/>
  <c r="W75" i="44" s="1"/>
  <c r="W76" i="44" s="1"/>
  <c r="X74" i="44"/>
  <c r="X75" i="44" s="1"/>
  <c r="X76" i="44" s="1"/>
  <c r="Y74" i="44"/>
  <c r="Y75" i="44" s="1"/>
  <c r="Y76" i="44" s="1"/>
  <c r="Z74" i="44"/>
  <c r="AA74" i="44"/>
  <c r="AA75" i="44" s="1"/>
  <c r="AA76" i="44" s="1"/>
  <c r="AB74" i="44"/>
  <c r="AB75" i="44" s="1"/>
  <c r="AB76" i="44" s="1"/>
  <c r="AC74" i="44"/>
  <c r="AC75" i="44" s="1"/>
  <c r="AC76" i="44" s="1"/>
  <c r="C85" i="44"/>
  <c r="D85" i="44"/>
  <c r="E85" i="44"/>
  <c r="F85" i="44"/>
  <c r="G85" i="44"/>
  <c r="H85" i="44"/>
  <c r="I85" i="44"/>
  <c r="J85" i="44"/>
  <c r="K85" i="44"/>
  <c r="L85" i="44"/>
  <c r="M85" i="44"/>
  <c r="N85" i="44"/>
  <c r="O85" i="44"/>
  <c r="P85" i="44"/>
  <c r="Q85" i="44"/>
  <c r="R85" i="44"/>
  <c r="S85" i="44"/>
  <c r="T85" i="44"/>
  <c r="U85" i="44"/>
  <c r="V85" i="44"/>
  <c r="W85" i="44"/>
  <c r="X85" i="44"/>
  <c r="Y85" i="44"/>
  <c r="Z85" i="44"/>
  <c r="AA85" i="44"/>
  <c r="AB85" i="44"/>
  <c r="AC85" i="44"/>
  <c r="C143" i="44"/>
  <c r="D143" i="44"/>
  <c r="E143" i="44"/>
  <c r="F143" i="44"/>
  <c r="G143" i="44"/>
  <c r="H143" i="44"/>
  <c r="I143" i="44"/>
  <c r="J143" i="44"/>
  <c r="K143" i="44"/>
  <c r="L143" i="44"/>
  <c r="M143" i="44"/>
  <c r="N143" i="44"/>
  <c r="O143" i="44"/>
  <c r="P143" i="44"/>
  <c r="Q143" i="44"/>
  <c r="R143" i="44"/>
  <c r="S143" i="44"/>
  <c r="T143" i="44"/>
  <c r="U143" i="44"/>
  <c r="V143" i="44"/>
  <c r="W143" i="44"/>
  <c r="X143" i="44"/>
  <c r="Y143" i="44"/>
  <c r="Z143" i="44"/>
  <c r="AA143" i="44"/>
  <c r="AB143" i="44"/>
  <c r="AC143" i="44"/>
  <c r="C117" i="44"/>
  <c r="C118" i="44" s="1"/>
  <c r="C119" i="44" s="1"/>
  <c r="D117" i="44"/>
  <c r="D118" i="44" s="1"/>
  <c r="D119" i="44" s="1"/>
  <c r="E117" i="44"/>
  <c r="E118" i="44" s="1"/>
  <c r="E119" i="44" s="1"/>
  <c r="F117" i="44"/>
  <c r="F118" i="44" s="1"/>
  <c r="F119" i="44" s="1"/>
  <c r="G117" i="44"/>
  <c r="G118" i="44" s="1"/>
  <c r="G119" i="44" s="1"/>
  <c r="H117" i="44"/>
  <c r="H118" i="44" s="1"/>
  <c r="H119" i="44" s="1"/>
  <c r="I117" i="44"/>
  <c r="I118" i="44" s="1"/>
  <c r="I119" i="44" s="1"/>
  <c r="J117" i="44"/>
  <c r="J118" i="44" s="1"/>
  <c r="J119" i="44" s="1"/>
  <c r="K117" i="44"/>
  <c r="K118" i="44" s="1"/>
  <c r="K119" i="44" s="1"/>
  <c r="L117" i="44"/>
  <c r="L118" i="44" s="1"/>
  <c r="L119" i="44" s="1"/>
  <c r="M117" i="44"/>
  <c r="M118" i="44" s="1"/>
  <c r="M119" i="44" s="1"/>
  <c r="N117" i="44"/>
  <c r="N118" i="44" s="1"/>
  <c r="N119" i="44" s="1"/>
  <c r="O117" i="44"/>
  <c r="O118" i="44" s="1"/>
  <c r="O119" i="44" s="1"/>
  <c r="P117" i="44"/>
  <c r="P118" i="44" s="1"/>
  <c r="P119" i="44" s="1"/>
  <c r="Q117" i="44"/>
  <c r="Q118" i="44" s="1"/>
  <c r="Q119" i="44" s="1"/>
  <c r="R117" i="44"/>
  <c r="R118" i="44" s="1"/>
  <c r="R119" i="44" s="1"/>
  <c r="S117" i="44"/>
  <c r="S118" i="44" s="1"/>
  <c r="S119" i="44" s="1"/>
  <c r="T117" i="44"/>
  <c r="T118" i="44" s="1"/>
  <c r="T119" i="44" s="1"/>
  <c r="U117" i="44"/>
  <c r="U118" i="44" s="1"/>
  <c r="U119" i="44" s="1"/>
  <c r="V117" i="44"/>
  <c r="V118" i="44" s="1"/>
  <c r="V119" i="44" s="1"/>
  <c r="W117" i="44"/>
  <c r="W118" i="44" s="1"/>
  <c r="W119" i="44" s="1"/>
  <c r="X117" i="44"/>
  <c r="X118" i="44" s="1"/>
  <c r="X119" i="44" s="1"/>
  <c r="Y117" i="44"/>
  <c r="Y118" i="44" s="1"/>
  <c r="Y119" i="44" s="1"/>
  <c r="Z117" i="44"/>
  <c r="Z118" i="44" s="1"/>
  <c r="Z119" i="44" s="1"/>
  <c r="AA117" i="44"/>
  <c r="AA118" i="44" s="1"/>
  <c r="AA119" i="44" s="1"/>
  <c r="AB117" i="44"/>
  <c r="AB118" i="44" s="1"/>
  <c r="AB119" i="44" s="1"/>
  <c r="AC117" i="44"/>
  <c r="AC118" i="44" s="1"/>
  <c r="AC119" i="44" s="1"/>
  <c r="W130" i="44"/>
  <c r="W131" i="44" s="1"/>
  <c r="V70" i="47" s="1"/>
  <c r="X130" i="44"/>
  <c r="X131" i="44" s="1"/>
  <c r="W70" i="47" s="1"/>
  <c r="Y130" i="44"/>
  <c r="Y131" i="44" s="1"/>
  <c r="X70" i="47" s="1"/>
  <c r="Z130" i="44"/>
  <c r="Z131" i="44" s="1"/>
  <c r="Y70" i="47" s="1"/>
  <c r="AA131" i="44"/>
  <c r="Z70" i="47" s="1"/>
  <c r="AB131" i="44"/>
  <c r="AA70" i="47" s="1"/>
  <c r="AC131" i="44"/>
  <c r="AB70" i="47" s="1"/>
  <c r="AD131" i="44"/>
  <c r="AC70" i="47" s="1"/>
  <c r="C158" i="44"/>
  <c r="C159" i="44" s="1"/>
  <c r="C160" i="44" s="1"/>
  <c r="D158" i="44"/>
  <c r="D159" i="44" s="1"/>
  <c r="D160" i="44" s="1"/>
  <c r="E158" i="44"/>
  <c r="E159" i="44" s="1"/>
  <c r="E160" i="44" s="1"/>
  <c r="F158" i="44"/>
  <c r="F159" i="44" s="1"/>
  <c r="F160" i="44" s="1"/>
  <c r="G158" i="44"/>
  <c r="G159" i="44" s="1"/>
  <c r="G160" i="44" s="1"/>
  <c r="H158" i="44"/>
  <c r="H159" i="44" s="1"/>
  <c r="H160" i="44" s="1"/>
  <c r="I158" i="44"/>
  <c r="I159" i="44" s="1"/>
  <c r="I160" i="44" s="1"/>
  <c r="J158" i="44"/>
  <c r="J159" i="44" s="1"/>
  <c r="J160" i="44" s="1"/>
  <c r="K158" i="44"/>
  <c r="K159" i="44" s="1"/>
  <c r="K160" i="44" s="1"/>
  <c r="L158" i="44"/>
  <c r="L159" i="44" s="1"/>
  <c r="L160" i="44" s="1"/>
  <c r="M158" i="44"/>
  <c r="M159" i="44" s="1"/>
  <c r="M160" i="44" s="1"/>
  <c r="N158" i="44"/>
  <c r="N159" i="44" s="1"/>
  <c r="N160" i="44" s="1"/>
  <c r="O158" i="44"/>
  <c r="O159" i="44" s="1"/>
  <c r="O160" i="44" s="1"/>
  <c r="P158" i="44"/>
  <c r="P159" i="44" s="1"/>
  <c r="P160" i="44" s="1"/>
  <c r="Q158" i="44"/>
  <c r="Q159" i="44" s="1"/>
  <c r="Q160" i="44" s="1"/>
  <c r="R158" i="44"/>
  <c r="R159" i="44" s="1"/>
  <c r="R160" i="44" s="1"/>
  <c r="S158" i="44"/>
  <c r="S159" i="44" s="1"/>
  <c r="S160" i="44" s="1"/>
  <c r="T158" i="44"/>
  <c r="T159" i="44" s="1"/>
  <c r="T160" i="44" s="1"/>
  <c r="U158" i="44"/>
  <c r="U159" i="44" s="1"/>
  <c r="U160" i="44" s="1"/>
  <c r="V158" i="44"/>
  <c r="V159" i="44" s="1"/>
  <c r="V160" i="44" s="1"/>
  <c r="W158" i="44"/>
  <c r="W159" i="44" s="1"/>
  <c r="W160" i="44" s="1"/>
  <c r="X158" i="44"/>
  <c r="X159" i="44" s="1"/>
  <c r="X160" i="44" s="1"/>
  <c r="Y158" i="44"/>
  <c r="Y159" i="44" s="1"/>
  <c r="Y160" i="44" s="1"/>
  <c r="Z158" i="44"/>
  <c r="Z159" i="44" s="1"/>
  <c r="Z160" i="44" s="1"/>
  <c r="AA158" i="44"/>
  <c r="AA159" i="44" s="1"/>
  <c r="AA160" i="44" s="1"/>
  <c r="AB158" i="44"/>
  <c r="AB159" i="44" s="1"/>
  <c r="AB160" i="44" s="1"/>
  <c r="AC158" i="44"/>
  <c r="AC159" i="44" s="1"/>
  <c r="AC160" i="44" s="1"/>
  <c r="C187" i="44"/>
  <c r="C188" i="44" s="1"/>
  <c r="C189" i="44" s="1"/>
  <c r="B78" i="47"/>
  <c r="C78" i="47"/>
  <c r="B80" i="47"/>
  <c r="C80" i="47"/>
  <c r="D80" i="47"/>
  <c r="E80" i="47"/>
  <c r="F80" i="47"/>
  <c r="G80" i="47"/>
  <c r="H80" i="47"/>
  <c r="I80" i="47"/>
  <c r="J80" i="47"/>
  <c r="K80" i="47"/>
  <c r="L80" i="47"/>
  <c r="M80" i="47"/>
  <c r="N80" i="47"/>
  <c r="O80" i="47"/>
  <c r="P80" i="47"/>
  <c r="Q80" i="47"/>
  <c r="R80" i="47"/>
  <c r="S80" i="47"/>
  <c r="T80" i="47"/>
  <c r="U80" i="47"/>
  <c r="M9" i="17"/>
  <c r="M82" i="54" s="1"/>
  <c r="N9" i="17"/>
  <c r="N82" i="54" s="1"/>
  <c r="O9" i="17"/>
  <c r="O176" i="49" s="1"/>
  <c r="P9" i="17"/>
  <c r="P82" i="54" s="1"/>
  <c r="Q9" i="17"/>
  <c r="Q28" i="45" s="1"/>
  <c r="R9" i="17"/>
  <c r="R82" i="54" s="1"/>
  <c r="S9" i="17"/>
  <c r="S176" i="49" s="1"/>
  <c r="T9" i="17"/>
  <c r="T28" i="45" s="1"/>
  <c r="U9" i="17"/>
  <c r="U28" i="45" s="1"/>
  <c r="V9" i="17"/>
  <c r="V28" i="45" s="1"/>
  <c r="W9" i="17"/>
  <c r="W82" i="54" s="1"/>
  <c r="X9" i="17"/>
  <c r="X82" i="54" s="1"/>
  <c r="Y9" i="17"/>
  <c r="Y28" i="45" s="1"/>
  <c r="Z9" i="17"/>
  <c r="Z82" i="54" s="1"/>
  <c r="AA9" i="17"/>
  <c r="AA176" i="49" s="1"/>
  <c r="AB9" i="17"/>
  <c r="AB176" i="49" s="1"/>
  <c r="M11" i="17"/>
  <c r="M78" i="47" s="1"/>
  <c r="N11" i="17"/>
  <c r="N78" i="47" s="1"/>
  <c r="O11" i="17"/>
  <c r="O78" i="47" s="1"/>
  <c r="P11" i="17"/>
  <c r="P78" i="47" s="1"/>
  <c r="Q11" i="17"/>
  <c r="Q78" i="47" s="1"/>
  <c r="R11" i="17"/>
  <c r="R78" i="47" s="1"/>
  <c r="S11" i="17"/>
  <c r="S78" i="47" s="1"/>
  <c r="T11" i="17"/>
  <c r="T78" i="47" s="1"/>
  <c r="U11" i="17"/>
  <c r="U78" i="47" s="1"/>
  <c r="V11" i="17"/>
  <c r="V78" i="47" s="1"/>
  <c r="W11" i="17"/>
  <c r="W78" i="47" s="1"/>
  <c r="X11" i="17"/>
  <c r="X78" i="47" s="1"/>
  <c r="Y11" i="17"/>
  <c r="Y78" i="47" s="1"/>
  <c r="Z11" i="17"/>
  <c r="Z78" i="47" s="1"/>
  <c r="AA11" i="17"/>
  <c r="AA78" i="47" s="1"/>
  <c r="AB11" i="17"/>
  <c r="AB78" i="47" s="1"/>
  <c r="V26" i="31"/>
  <c r="W26" i="31"/>
  <c r="X26" i="31"/>
  <c r="Y26" i="31"/>
  <c r="Z26" i="31"/>
  <c r="AA26" i="31"/>
  <c r="AB26" i="31"/>
  <c r="AC26" i="31"/>
  <c r="V36" i="31"/>
  <c r="V83" i="47" s="1"/>
  <c r="V82" i="47" s="1"/>
  <c r="W36" i="31"/>
  <c r="X36" i="31"/>
  <c r="X83" i="47" s="1"/>
  <c r="X82" i="47" s="1"/>
  <c r="Y36" i="31"/>
  <c r="Z36" i="31"/>
  <c r="Z83" i="47" s="1"/>
  <c r="Z82" i="47" s="1"/>
  <c r="V37" i="31"/>
  <c r="V80" i="47" s="1"/>
  <c r="W37" i="31"/>
  <c r="W80" i="47" s="1"/>
  <c r="X37" i="31"/>
  <c r="X80" i="47" s="1"/>
  <c r="Y37" i="31"/>
  <c r="Y80" i="47" s="1"/>
  <c r="Z37" i="31"/>
  <c r="Z80" i="47" s="1"/>
  <c r="V39" i="31"/>
  <c r="W39" i="31"/>
  <c r="X39" i="31"/>
  <c r="Y39" i="31"/>
  <c r="Z39" i="31"/>
  <c r="V38" i="31"/>
  <c r="W38" i="31"/>
  <c r="X38" i="31"/>
  <c r="Y38" i="31"/>
  <c r="Z38" i="31"/>
  <c r="V64" i="31"/>
  <c r="V65" i="31" s="1"/>
  <c r="W64" i="31"/>
  <c r="W65" i="31" s="1"/>
  <c r="X64" i="31"/>
  <c r="X65" i="31" s="1"/>
  <c r="Y64" i="31"/>
  <c r="Y65" i="31" s="1"/>
  <c r="Z64" i="31"/>
  <c r="Z65" i="31" s="1"/>
  <c r="AA64" i="31"/>
  <c r="AA65" i="31" s="1"/>
  <c r="AA81" i="54" s="1"/>
  <c r="AB64" i="31"/>
  <c r="AB65" i="31" s="1"/>
  <c r="AC64" i="31"/>
  <c r="AC65" i="31" s="1"/>
  <c r="AC27" i="45" s="1"/>
  <c r="D65" i="31"/>
  <c r="D27" i="45" s="1"/>
  <c r="E65" i="31"/>
  <c r="E27" i="45" s="1"/>
  <c r="F65" i="31"/>
  <c r="F27" i="45" s="1"/>
  <c r="G65" i="31"/>
  <c r="G27" i="45" s="1"/>
  <c r="H65" i="31"/>
  <c r="H27" i="45" s="1"/>
  <c r="I65" i="31"/>
  <c r="I81" i="54" s="1"/>
  <c r="J65" i="31"/>
  <c r="J27" i="45" s="1"/>
  <c r="K65" i="31"/>
  <c r="K27" i="45" s="1"/>
  <c r="L65" i="31"/>
  <c r="L27" i="45" s="1"/>
  <c r="M65" i="31"/>
  <c r="M27" i="45" s="1"/>
  <c r="N65" i="31"/>
  <c r="N27" i="45" s="1"/>
  <c r="O65" i="31"/>
  <c r="O27" i="45" s="1"/>
  <c r="P65" i="31"/>
  <c r="P27" i="45" s="1"/>
  <c r="Q65" i="31"/>
  <c r="Q27" i="45" s="1"/>
  <c r="R65" i="31"/>
  <c r="R81" i="54" s="1"/>
  <c r="S65" i="31"/>
  <c r="S27" i="45" s="1"/>
  <c r="T65" i="31"/>
  <c r="T81" i="54" s="1"/>
  <c r="U65" i="31"/>
  <c r="U27" i="45" s="1"/>
  <c r="V78" i="31"/>
  <c r="V79" i="31" s="1"/>
  <c r="W78" i="31"/>
  <c r="W79" i="31" s="1"/>
  <c r="X78" i="31"/>
  <c r="X79" i="31" s="1"/>
  <c r="X53" i="54" s="1"/>
  <c r="Y78" i="31"/>
  <c r="Y79" i="31" s="1"/>
  <c r="Z78" i="31"/>
  <c r="Z79" i="31" s="1"/>
  <c r="AA78" i="31"/>
  <c r="AA79" i="31" s="1"/>
  <c r="AB78" i="31"/>
  <c r="AB79" i="31" s="1"/>
  <c r="AB53" i="54" s="1"/>
  <c r="AC78" i="31"/>
  <c r="AC79" i="31" s="1"/>
  <c r="M92" i="31"/>
  <c r="N92" i="31"/>
  <c r="O92" i="31"/>
  <c r="P92" i="31"/>
  <c r="Q92" i="31"/>
  <c r="R92" i="31"/>
  <c r="S92" i="31"/>
  <c r="T92" i="31"/>
  <c r="U92" i="31"/>
  <c r="C91" i="31"/>
  <c r="D91" i="31"/>
  <c r="E91" i="31"/>
  <c r="F91" i="31"/>
  <c r="G91" i="31"/>
  <c r="H91" i="31"/>
  <c r="I91" i="31"/>
  <c r="J91" i="31"/>
  <c r="K91" i="31"/>
  <c r="L91" i="31"/>
  <c r="B47" i="29"/>
  <c r="B48" i="29"/>
  <c r="B154" i="49" s="1"/>
  <c r="H123" i="49"/>
  <c r="C119" i="27"/>
  <c r="C144" i="27" s="1"/>
  <c r="D119" i="27"/>
  <c r="E119" i="27"/>
  <c r="E144" i="27" s="1"/>
  <c r="F119" i="27"/>
  <c r="F144" i="27" s="1"/>
  <c r="G119" i="27"/>
  <c r="G144" i="27" s="1"/>
  <c r="H119" i="27"/>
  <c r="H144" i="27" s="1"/>
  <c r="I119" i="27"/>
  <c r="J119" i="27"/>
  <c r="K119" i="27"/>
  <c r="K144" i="27" s="1"/>
  <c r="L119" i="27"/>
  <c r="L144" i="27" s="1"/>
  <c r="M119" i="27"/>
  <c r="M144" i="27" s="1"/>
  <c r="N119" i="27"/>
  <c r="O119" i="27"/>
  <c r="P119" i="27"/>
  <c r="P144" i="27" s="1"/>
  <c r="Q119" i="27"/>
  <c r="Q144" i="27" s="1"/>
  <c r="R119" i="27"/>
  <c r="R144" i="27" s="1"/>
  <c r="S119" i="27"/>
  <c r="S144" i="27" s="1"/>
  <c r="T119" i="27"/>
  <c r="U119" i="27"/>
  <c r="V119" i="27"/>
  <c r="W119" i="27"/>
  <c r="X119" i="27"/>
  <c r="Y119" i="27"/>
  <c r="Z119" i="27"/>
  <c r="AA119" i="27"/>
  <c r="AB119" i="27"/>
  <c r="AC119" i="27"/>
  <c r="AD119" i="27"/>
  <c r="C162" i="27"/>
  <c r="AA162" i="27"/>
  <c r="AB162" i="27"/>
  <c r="AC162" i="27"/>
  <c r="AD162" i="27"/>
  <c r="U169" i="27"/>
  <c r="U495" i="27" s="1"/>
  <c r="U170" i="27"/>
  <c r="V170" i="27"/>
  <c r="U171" i="27"/>
  <c r="V171" i="27"/>
  <c r="B99" i="25"/>
  <c r="C99" i="25"/>
  <c r="D99" i="25"/>
  <c r="E99" i="25"/>
  <c r="F99" i="25"/>
  <c r="G99" i="25"/>
  <c r="H99" i="25"/>
  <c r="AC10" i="45"/>
  <c r="AC13" i="45"/>
  <c r="AC17" i="45"/>
  <c r="AC22" i="45"/>
  <c r="AC25" i="45"/>
  <c r="A117" i="49"/>
  <c r="B117" i="49"/>
  <c r="C117" i="49"/>
  <c r="D117" i="49"/>
  <c r="E117" i="49"/>
  <c r="F117" i="49"/>
  <c r="G117" i="49"/>
  <c r="H117" i="49"/>
  <c r="I117" i="49"/>
  <c r="J117" i="49"/>
  <c r="K117" i="49"/>
  <c r="L117" i="49"/>
  <c r="M117" i="49"/>
  <c r="N117" i="49"/>
  <c r="O117" i="49"/>
  <c r="P117" i="49"/>
  <c r="Q117" i="49"/>
  <c r="R117" i="49"/>
  <c r="S117" i="49"/>
  <c r="T117" i="49"/>
  <c r="U117" i="49"/>
  <c r="V117" i="49"/>
  <c r="W117" i="49"/>
  <c r="X117" i="49"/>
  <c r="Y117" i="49"/>
  <c r="Z117" i="49"/>
  <c r="AA117" i="49"/>
  <c r="AB117" i="49"/>
  <c r="AC117" i="49"/>
  <c r="A118" i="49"/>
  <c r="A119" i="49"/>
  <c r="A120" i="49"/>
  <c r="B120" i="49"/>
  <c r="C120" i="49"/>
  <c r="D120" i="49"/>
  <c r="E120" i="49"/>
  <c r="F120" i="49"/>
  <c r="G120" i="49"/>
  <c r="H120" i="49"/>
  <c r="I120" i="49"/>
  <c r="J120" i="49"/>
  <c r="K120" i="49"/>
  <c r="L120" i="49"/>
  <c r="M120" i="49"/>
  <c r="N120" i="49"/>
  <c r="O120" i="49"/>
  <c r="P120" i="49"/>
  <c r="Q120" i="49"/>
  <c r="R120" i="49"/>
  <c r="S120" i="49"/>
  <c r="T120" i="49"/>
  <c r="U120" i="49"/>
  <c r="V120" i="49"/>
  <c r="W120" i="49"/>
  <c r="X120" i="49"/>
  <c r="Y120" i="49"/>
  <c r="Z120" i="49"/>
  <c r="AA120" i="49"/>
  <c r="AB120" i="49"/>
  <c r="AC120" i="49"/>
  <c r="A121" i="49"/>
  <c r="B121" i="49"/>
  <c r="C121" i="49"/>
  <c r="D121" i="49"/>
  <c r="E121" i="49"/>
  <c r="F121" i="49"/>
  <c r="G121" i="49"/>
  <c r="H121" i="49"/>
  <c r="I121" i="49"/>
  <c r="J121" i="49"/>
  <c r="K121" i="49"/>
  <c r="L121" i="49"/>
  <c r="M121" i="49"/>
  <c r="N121" i="49"/>
  <c r="O121" i="49"/>
  <c r="P121" i="49"/>
  <c r="Q121" i="49"/>
  <c r="R121" i="49"/>
  <c r="S121" i="49"/>
  <c r="T121" i="49"/>
  <c r="U121" i="49"/>
  <c r="V121" i="49"/>
  <c r="W121" i="49"/>
  <c r="X121" i="49"/>
  <c r="Y121" i="49"/>
  <c r="Z121" i="49"/>
  <c r="AA121" i="49"/>
  <c r="AB121" i="49"/>
  <c r="AC121" i="49"/>
  <c r="B123" i="49"/>
  <c r="K123" i="49"/>
  <c r="V123" i="49"/>
  <c r="Y123" i="49"/>
  <c r="B124" i="49"/>
  <c r="A131" i="49"/>
  <c r="A132" i="49"/>
  <c r="A133" i="49"/>
  <c r="A134" i="49"/>
  <c r="A146" i="49"/>
  <c r="A147" i="49"/>
  <c r="A148" i="49"/>
  <c r="A149" i="49"/>
  <c r="B152" i="49"/>
  <c r="C152" i="49"/>
  <c r="D152" i="49"/>
  <c r="E152" i="49"/>
  <c r="F152" i="49"/>
  <c r="G152" i="49"/>
  <c r="H152" i="49"/>
  <c r="I152" i="49"/>
  <c r="J152" i="49"/>
  <c r="K152" i="49"/>
  <c r="L152" i="49"/>
  <c r="M152" i="49"/>
  <c r="N152" i="49"/>
  <c r="O152" i="49"/>
  <c r="P152" i="49"/>
  <c r="Q152" i="49"/>
  <c r="R152" i="49"/>
  <c r="S152" i="49"/>
  <c r="T152" i="49"/>
  <c r="U152" i="49"/>
  <c r="D155" i="49"/>
  <c r="C155" i="49"/>
  <c r="H155" i="49"/>
  <c r="G155" i="49"/>
  <c r="K155" i="49"/>
  <c r="F155" i="49"/>
  <c r="J155" i="49"/>
  <c r="E155" i="49"/>
  <c r="I155" i="49"/>
  <c r="G140" i="49"/>
  <c r="J140" i="49"/>
  <c r="I140" i="49"/>
  <c r="K140" i="49"/>
  <c r="D140" i="49"/>
  <c r="H140" i="49"/>
  <c r="E140" i="49"/>
  <c r="C140" i="49"/>
  <c r="N190" i="53" l="1"/>
  <c r="L323" i="53"/>
  <c r="Q323" i="53"/>
  <c r="E323" i="53"/>
  <c r="W323" i="53"/>
  <c r="V323" i="53"/>
  <c r="U323" i="53"/>
  <c r="T323" i="53"/>
  <c r="H323" i="53"/>
  <c r="K323" i="53"/>
  <c r="L190" i="53"/>
  <c r="W190" i="53"/>
  <c r="I323" i="53"/>
  <c r="S323" i="53"/>
  <c r="G323" i="53"/>
  <c r="M190" i="53"/>
  <c r="J323" i="53"/>
  <c r="K190" i="53"/>
  <c r="R323" i="53"/>
  <c r="F323" i="53"/>
  <c r="N323" i="53"/>
  <c r="P323" i="53"/>
  <c r="D323" i="53"/>
  <c r="O323" i="53"/>
  <c r="M323" i="53"/>
  <c r="C323" i="53"/>
  <c r="U190" i="53"/>
  <c r="V190" i="53"/>
  <c r="J190" i="53"/>
  <c r="I190" i="53"/>
  <c r="T190" i="53"/>
  <c r="H190" i="53"/>
  <c r="C190" i="53"/>
  <c r="R190" i="53"/>
  <c r="Q190" i="53"/>
  <c r="E190" i="53"/>
  <c r="G190" i="53"/>
  <c r="F190" i="53"/>
  <c r="P190" i="53"/>
  <c r="D190" i="53"/>
  <c r="S190" i="53"/>
  <c r="O190" i="53"/>
  <c r="B104" i="31"/>
  <c r="B76" i="31" s="1"/>
  <c r="B135" i="49" s="1"/>
  <c r="B105" i="31"/>
  <c r="B106" i="31" s="1"/>
  <c r="B77" i="31" s="1"/>
  <c r="R91" i="31"/>
  <c r="R102" i="31" s="1"/>
  <c r="R103" i="31"/>
  <c r="R104" i="31" s="1"/>
  <c r="R105" i="31"/>
  <c r="R106" i="31" s="1"/>
  <c r="O91" i="31"/>
  <c r="O102" i="31" s="1"/>
  <c r="O105" i="31"/>
  <c r="O106" i="31" s="1"/>
  <c r="O103" i="31"/>
  <c r="O104" i="31" s="1"/>
  <c r="Q91" i="31"/>
  <c r="Q102" i="31" s="1"/>
  <c r="Q105" i="31"/>
  <c r="Q106" i="31" s="1"/>
  <c r="Q103" i="31"/>
  <c r="Q104" i="31" s="1"/>
  <c r="P91" i="31"/>
  <c r="P102" i="31" s="1"/>
  <c r="P105" i="31"/>
  <c r="P106" i="31" s="1"/>
  <c r="P103" i="31"/>
  <c r="P104" i="31" s="1"/>
  <c r="P76" i="31" s="1"/>
  <c r="N91" i="31"/>
  <c r="N102" i="31" s="1"/>
  <c r="N105" i="31"/>
  <c r="N106" i="31" s="1"/>
  <c r="N103" i="31"/>
  <c r="N104" i="31" s="1"/>
  <c r="M91" i="31"/>
  <c r="M102" i="31" s="1"/>
  <c r="M105" i="31"/>
  <c r="M106" i="31" s="1"/>
  <c r="M103" i="31"/>
  <c r="M104" i="31" s="1"/>
  <c r="T91" i="31"/>
  <c r="T102" i="31" s="1"/>
  <c r="T103" i="31"/>
  <c r="T104" i="31" s="1"/>
  <c r="T105" i="31"/>
  <c r="T106" i="31" s="1"/>
  <c r="S91" i="31"/>
  <c r="S102" i="31" s="1"/>
  <c r="S103" i="31"/>
  <c r="S104" i="31" s="1"/>
  <c r="S105" i="31"/>
  <c r="S106" i="31" s="1"/>
  <c r="U91" i="31"/>
  <c r="U102" i="31" s="1"/>
  <c r="U105" i="31"/>
  <c r="U106" i="31" s="1"/>
  <c r="U77" i="31" s="1"/>
  <c r="U103" i="31"/>
  <c r="U104" i="31" s="1"/>
  <c r="V65" i="54"/>
  <c r="V68" i="54" s="1"/>
  <c r="L104" i="31"/>
  <c r="L76" i="31" s="1"/>
  <c r="L102" i="31"/>
  <c r="K104" i="31"/>
  <c r="K76" i="31" s="1"/>
  <c r="K102" i="31"/>
  <c r="H104" i="31"/>
  <c r="H76" i="31" s="1"/>
  <c r="H102" i="31"/>
  <c r="G104" i="31"/>
  <c r="G76" i="31" s="1"/>
  <c r="G135" i="49" s="1"/>
  <c r="G102" i="31"/>
  <c r="I106" i="31"/>
  <c r="I77" i="31" s="1"/>
  <c r="I102" i="31"/>
  <c r="J104" i="31"/>
  <c r="J76" i="31" s="1"/>
  <c r="J102" i="31"/>
  <c r="F106" i="31"/>
  <c r="F77" i="31" s="1"/>
  <c r="F102" i="31"/>
  <c r="E104" i="31"/>
  <c r="E76" i="31" s="1"/>
  <c r="E135" i="49" s="1"/>
  <c r="E102" i="31"/>
  <c r="C104" i="31"/>
  <c r="C76" i="31" s="1"/>
  <c r="C135" i="49" s="1"/>
  <c r="C102" i="31"/>
  <c r="C75" i="31" s="1"/>
  <c r="D104" i="31"/>
  <c r="D76" i="31" s="1"/>
  <c r="D135" i="49" s="1"/>
  <c r="D102" i="31"/>
  <c r="I99" i="25"/>
  <c r="I98" i="25" s="1"/>
  <c r="I172" i="24"/>
  <c r="I119" i="49" s="1"/>
  <c r="AD28" i="45"/>
  <c r="AG82" i="54"/>
  <c r="Y176" i="49"/>
  <c r="Y67" i="59" s="1"/>
  <c r="X176" i="49"/>
  <c r="X67" i="59" s="1"/>
  <c r="S28" i="45"/>
  <c r="R28" i="45"/>
  <c r="Q82" i="54"/>
  <c r="S82" i="54"/>
  <c r="T176" i="49"/>
  <c r="T67" i="59" s="1"/>
  <c r="AG28" i="45"/>
  <c r="R176" i="49"/>
  <c r="R67" i="59" s="1"/>
  <c r="Q176" i="49"/>
  <c r="Q67" i="59" s="1"/>
  <c r="T82" i="54"/>
  <c r="V176" i="49"/>
  <c r="V67" i="59" s="1"/>
  <c r="AF28" i="45"/>
  <c r="AD82" i="54"/>
  <c r="W176" i="49"/>
  <c r="W67" i="59" s="1"/>
  <c r="AF176" i="49"/>
  <c r="AF67" i="59" s="1"/>
  <c r="AE176" i="49"/>
  <c r="AE67" i="59" s="1"/>
  <c r="M176" i="49"/>
  <c r="M67" i="59" s="1"/>
  <c r="P28" i="45"/>
  <c r="AB28" i="45"/>
  <c r="AB82" i="54"/>
  <c r="AC82" i="54"/>
  <c r="P176" i="49"/>
  <c r="P67" i="59" s="1"/>
  <c r="U176" i="49"/>
  <c r="U67" i="59" s="1"/>
  <c r="AE82" i="54"/>
  <c r="O82" i="54"/>
  <c r="AA82" i="54"/>
  <c r="AA28" i="45"/>
  <c r="O28" i="45"/>
  <c r="Z28" i="45"/>
  <c r="M28" i="45"/>
  <c r="U82" i="54"/>
  <c r="X28" i="45"/>
  <c r="V82" i="54"/>
  <c r="Y82" i="54"/>
  <c r="N28" i="45"/>
  <c r="AC176" i="49"/>
  <c r="AC67" i="59" s="1"/>
  <c r="W28" i="45"/>
  <c r="Z176" i="49"/>
  <c r="Z67" i="59" s="1"/>
  <c r="N176" i="49"/>
  <c r="N67" i="59" s="1"/>
  <c r="X170" i="44"/>
  <c r="X171" i="44" s="1"/>
  <c r="W62" i="47" s="1"/>
  <c r="X172" i="44"/>
  <c r="X173" i="44" s="1"/>
  <c r="X174" i="44" s="1"/>
  <c r="X175" i="44"/>
  <c r="X176" i="44" s="1"/>
  <c r="X177" i="44" s="1"/>
  <c r="W60" i="25" s="1"/>
  <c r="W77" i="25" s="1"/>
  <c r="W146" i="49" s="1"/>
  <c r="K175" i="44"/>
  <c r="K176" i="44" s="1"/>
  <c r="K177" i="44" s="1"/>
  <c r="J60" i="25" s="1"/>
  <c r="J77" i="25" s="1"/>
  <c r="J146" i="49" s="1"/>
  <c r="K170" i="44"/>
  <c r="K171" i="44" s="1"/>
  <c r="J62" i="47" s="1"/>
  <c r="K172" i="44"/>
  <c r="K173" i="44" s="1"/>
  <c r="K174" i="44" s="1"/>
  <c r="V172" i="44"/>
  <c r="V173" i="44" s="1"/>
  <c r="V174" i="44" s="1"/>
  <c r="U61" i="25" s="1"/>
  <c r="U78" i="25" s="1"/>
  <c r="U131" i="49" s="1"/>
  <c r="V175" i="44"/>
  <c r="V176" i="44" s="1"/>
  <c r="V177" i="44" s="1"/>
  <c r="U60" i="25" s="1"/>
  <c r="V170" i="44"/>
  <c r="V171" i="44" s="1"/>
  <c r="U62" i="47" s="1"/>
  <c r="AI170" i="44"/>
  <c r="AI171" i="44" s="1"/>
  <c r="AH62" i="47" s="1"/>
  <c r="AI175" i="44"/>
  <c r="AI176" i="44" s="1"/>
  <c r="AI177" i="44" s="1"/>
  <c r="AH60" i="25" s="1"/>
  <c r="AH77" i="25" s="1"/>
  <c r="AH146" i="49" s="1"/>
  <c r="AI172" i="44"/>
  <c r="AI173" i="44" s="1"/>
  <c r="AI174" i="44" s="1"/>
  <c r="AG172" i="44"/>
  <c r="AG173" i="44" s="1"/>
  <c r="AG174" i="44" s="1"/>
  <c r="AF61" i="25" s="1"/>
  <c r="AF78" i="25" s="1"/>
  <c r="AF131" i="49" s="1"/>
  <c r="AG170" i="44"/>
  <c r="AG171" i="44" s="1"/>
  <c r="AF62" i="47" s="1"/>
  <c r="AG175" i="44"/>
  <c r="AG176" i="44" s="1"/>
  <c r="AG177" i="44" s="1"/>
  <c r="AF60" i="25" s="1"/>
  <c r="AF77" i="25" s="1"/>
  <c r="AF146" i="49" s="1"/>
  <c r="U172" i="44"/>
  <c r="U173" i="44" s="1"/>
  <c r="U174" i="44" s="1"/>
  <c r="T61" i="25" s="1"/>
  <c r="T78" i="25" s="1"/>
  <c r="T131" i="49" s="1"/>
  <c r="U175" i="44"/>
  <c r="U176" i="44" s="1"/>
  <c r="U177" i="44" s="1"/>
  <c r="T60" i="25" s="1"/>
  <c r="T77" i="25" s="1"/>
  <c r="T146" i="49" s="1"/>
  <c r="U170" i="44"/>
  <c r="U171" i="44" s="1"/>
  <c r="T62" i="47" s="1"/>
  <c r="I172" i="44"/>
  <c r="I173" i="44" s="1"/>
  <c r="I174" i="44" s="1"/>
  <c r="H61" i="25" s="1"/>
  <c r="H78" i="25" s="1"/>
  <c r="H131" i="49" s="1"/>
  <c r="I175" i="44"/>
  <c r="I176" i="44" s="1"/>
  <c r="I177" i="44" s="1"/>
  <c r="H60" i="25" s="1"/>
  <c r="H77" i="25" s="1"/>
  <c r="H146" i="49" s="1"/>
  <c r="I170" i="44"/>
  <c r="I171" i="44" s="1"/>
  <c r="H62" i="47" s="1"/>
  <c r="AJ172" i="44"/>
  <c r="AJ173" i="44" s="1"/>
  <c r="AJ174" i="44" s="1"/>
  <c r="AI61" i="25" s="1"/>
  <c r="AI78" i="25" s="1"/>
  <c r="AI131" i="49" s="1"/>
  <c r="AJ175" i="44"/>
  <c r="AJ176" i="44" s="1"/>
  <c r="AJ177" i="44" s="1"/>
  <c r="AI60" i="25" s="1"/>
  <c r="AI77" i="25" s="1"/>
  <c r="AI146" i="49" s="1"/>
  <c r="AJ170" i="44"/>
  <c r="AJ171" i="44" s="1"/>
  <c r="AI62" i="47" s="1"/>
  <c r="M175" i="44"/>
  <c r="M176" i="44" s="1"/>
  <c r="M177" i="44" s="1"/>
  <c r="L60" i="25" s="1"/>
  <c r="L77" i="25" s="1"/>
  <c r="L146" i="49" s="1"/>
  <c r="M170" i="44"/>
  <c r="M171" i="44" s="1"/>
  <c r="L62" i="47" s="1"/>
  <c r="M172" i="44"/>
  <c r="M173" i="44" s="1"/>
  <c r="M174" i="44" s="1"/>
  <c r="L61" i="25" s="1"/>
  <c r="L78" i="25" s="1"/>
  <c r="L131" i="49" s="1"/>
  <c r="L175" i="44"/>
  <c r="L176" i="44" s="1"/>
  <c r="L177" i="44" s="1"/>
  <c r="K60" i="25" s="1"/>
  <c r="K77" i="25" s="1"/>
  <c r="K146" i="49" s="1"/>
  <c r="L170" i="44"/>
  <c r="L171" i="44" s="1"/>
  <c r="K62" i="47" s="1"/>
  <c r="L172" i="44"/>
  <c r="L173" i="44" s="1"/>
  <c r="L174" i="44" s="1"/>
  <c r="W175" i="44"/>
  <c r="W176" i="44" s="1"/>
  <c r="W177" i="44" s="1"/>
  <c r="V60" i="25" s="1"/>
  <c r="V77" i="25" s="1"/>
  <c r="V146" i="49" s="1"/>
  <c r="W170" i="44"/>
  <c r="W171" i="44" s="1"/>
  <c r="V62" i="47" s="1"/>
  <c r="W172" i="44"/>
  <c r="W173" i="44" s="1"/>
  <c r="W174" i="44" s="1"/>
  <c r="V61" i="25" s="1"/>
  <c r="V78" i="25" s="1"/>
  <c r="V131" i="49" s="1"/>
  <c r="AF175" i="44"/>
  <c r="AF176" i="44" s="1"/>
  <c r="AF177" i="44" s="1"/>
  <c r="AE60" i="25" s="1"/>
  <c r="AE77" i="25" s="1"/>
  <c r="AE146" i="49" s="1"/>
  <c r="AF172" i="44"/>
  <c r="AF173" i="44" s="1"/>
  <c r="AF174" i="44" s="1"/>
  <c r="AE61" i="25" s="1"/>
  <c r="AF170" i="44"/>
  <c r="AF171" i="44" s="1"/>
  <c r="AE62" i="47" s="1"/>
  <c r="T170" i="44"/>
  <c r="T171" i="44" s="1"/>
  <c r="S62" i="47" s="1"/>
  <c r="T172" i="44"/>
  <c r="T173" i="44" s="1"/>
  <c r="T174" i="44" s="1"/>
  <c r="S61" i="25" s="1"/>
  <c r="S78" i="25" s="1"/>
  <c r="S131" i="49" s="1"/>
  <c r="T175" i="44"/>
  <c r="T176" i="44" s="1"/>
  <c r="T177" i="44" s="1"/>
  <c r="S60" i="25" s="1"/>
  <c r="S77" i="25" s="1"/>
  <c r="S146" i="49" s="1"/>
  <c r="H175" i="44"/>
  <c r="H176" i="44" s="1"/>
  <c r="H177" i="44" s="1"/>
  <c r="H172" i="44"/>
  <c r="H173" i="44" s="1"/>
  <c r="H174" i="44" s="1"/>
  <c r="G61" i="25" s="1"/>
  <c r="G78" i="25" s="1"/>
  <c r="G131" i="49" s="1"/>
  <c r="H170" i="44"/>
  <c r="H171" i="44" s="1"/>
  <c r="G62" i="47" s="1"/>
  <c r="AH175" i="44"/>
  <c r="AH176" i="44" s="1"/>
  <c r="AH177" i="44" s="1"/>
  <c r="AG60" i="25" s="1"/>
  <c r="AG77" i="25" s="1"/>
  <c r="AG146" i="49" s="1"/>
  <c r="AH170" i="44"/>
  <c r="AH171" i="44" s="1"/>
  <c r="AG62" i="47" s="1"/>
  <c r="AH172" i="44"/>
  <c r="AH173" i="44" s="1"/>
  <c r="AH174" i="44" s="1"/>
  <c r="AG61" i="25" s="1"/>
  <c r="AG78" i="25" s="1"/>
  <c r="AG131" i="49" s="1"/>
  <c r="J170" i="44"/>
  <c r="J171" i="44" s="1"/>
  <c r="I62" i="47" s="1"/>
  <c r="J172" i="44"/>
  <c r="J173" i="44" s="1"/>
  <c r="J174" i="44" s="1"/>
  <c r="J175" i="44"/>
  <c r="J176" i="44" s="1"/>
  <c r="J177" i="44" s="1"/>
  <c r="I60" i="25" s="1"/>
  <c r="I77" i="25" s="1"/>
  <c r="I146" i="49" s="1"/>
  <c r="AE175" i="44"/>
  <c r="AE176" i="44" s="1"/>
  <c r="AE177" i="44" s="1"/>
  <c r="AD60" i="25" s="1"/>
  <c r="AD77" i="25" s="1"/>
  <c r="AD146" i="49" s="1"/>
  <c r="AE170" i="44"/>
  <c r="AE171" i="44" s="1"/>
  <c r="AD62" i="47" s="1"/>
  <c r="AE172" i="44"/>
  <c r="AE173" i="44" s="1"/>
  <c r="AE174" i="44" s="1"/>
  <c r="S170" i="44"/>
  <c r="S171" i="44" s="1"/>
  <c r="R62" i="47" s="1"/>
  <c r="S172" i="44"/>
  <c r="S173" i="44" s="1"/>
  <c r="S174" i="44" s="1"/>
  <c r="S175" i="44"/>
  <c r="S176" i="44" s="1"/>
  <c r="S177" i="44" s="1"/>
  <c r="R60" i="25" s="1"/>
  <c r="R77" i="25" s="1"/>
  <c r="R146" i="49" s="1"/>
  <c r="G172" i="44"/>
  <c r="G173" i="44" s="1"/>
  <c r="G174" i="44" s="1"/>
  <c r="F61" i="25" s="1"/>
  <c r="F78" i="25" s="1"/>
  <c r="F131" i="49" s="1"/>
  <c r="G175" i="44"/>
  <c r="G176" i="44" s="1"/>
  <c r="G177" i="44" s="1"/>
  <c r="F60" i="25" s="1"/>
  <c r="F77" i="25" s="1"/>
  <c r="F146" i="49" s="1"/>
  <c r="G170" i="44"/>
  <c r="G171" i="44" s="1"/>
  <c r="F62" i="47" s="1"/>
  <c r="Y170" i="44"/>
  <c r="Y171" i="44" s="1"/>
  <c r="X62" i="47" s="1"/>
  <c r="Y175" i="44"/>
  <c r="Y176" i="44" s="1"/>
  <c r="Y177" i="44" s="1"/>
  <c r="X60" i="25" s="1"/>
  <c r="X77" i="25" s="1"/>
  <c r="X146" i="49" s="1"/>
  <c r="Y172" i="44"/>
  <c r="Y173" i="44" s="1"/>
  <c r="Y174" i="44" s="1"/>
  <c r="F170" i="44"/>
  <c r="F171" i="44" s="1"/>
  <c r="E62" i="47" s="1"/>
  <c r="F172" i="44"/>
  <c r="F173" i="44" s="1"/>
  <c r="F174" i="44" s="1"/>
  <c r="E61" i="25" s="1"/>
  <c r="E78" i="25" s="1"/>
  <c r="E131" i="49" s="1"/>
  <c r="F175" i="44"/>
  <c r="F176" i="44" s="1"/>
  <c r="F177" i="44" s="1"/>
  <c r="E60" i="25" s="1"/>
  <c r="E77" i="25" s="1"/>
  <c r="E146" i="49" s="1"/>
  <c r="AC170" i="44"/>
  <c r="AC171" i="44" s="1"/>
  <c r="AB62" i="47" s="1"/>
  <c r="AC172" i="44"/>
  <c r="AC173" i="44" s="1"/>
  <c r="AC174" i="44" s="1"/>
  <c r="AC175" i="44"/>
  <c r="AC176" i="44" s="1"/>
  <c r="AC177" i="44" s="1"/>
  <c r="AB60" i="25" s="1"/>
  <c r="AB77" i="25" s="1"/>
  <c r="AB146" i="49" s="1"/>
  <c r="Q170" i="44"/>
  <c r="Q171" i="44" s="1"/>
  <c r="P62" i="47" s="1"/>
  <c r="Q175" i="44"/>
  <c r="Q176" i="44" s="1"/>
  <c r="Q177" i="44" s="1"/>
  <c r="P60" i="25" s="1"/>
  <c r="P77" i="25" s="1"/>
  <c r="P146" i="49" s="1"/>
  <c r="Q172" i="44"/>
  <c r="Q173" i="44" s="1"/>
  <c r="Q174" i="44" s="1"/>
  <c r="P61" i="25" s="1"/>
  <c r="P78" i="25" s="1"/>
  <c r="P131" i="49" s="1"/>
  <c r="E175" i="44"/>
  <c r="E176" i="44" s="1"/>
  <c r="E177" i="44" s="1"/>
  <c r="D60" i="25" s="1"/>
  <c r="E170" i="44"/>
  <c r="E171" i="44" s="1"/>
  <c r="D62" i="47" s="1"/>
  <c r="E172" i="44"/>
  <c r="E173" i="44" s="1"/>
  <c r="E174" i="44" s="1"/>
  <c r="D61" i="25" s="1"/>
  <c r="D78" i="25" s="1"/>
  <c r="D131" i="49" s="1"/>
  <c r="C175" i="44"/>
  <c r="C176" i="44" s="1"/>
  <c r="C170" i="44"/>
  <c r="C171" i="44" s="1"/>
  <c r="B62" i="47" s="1"/>
  <c r="C172" i="44"/>
  <c r="C173" i="44" s="1"/>
  <c r="AB172" i="44"/>
  <c r="AB173" i="44" s="1"/>
  <c r="AB174" i="44" s="1"/>
  <c r="AB175" i="44"/>
  <c r="AB176" i="44" s="1"/>
  <c r="AB177" i="44" s="1"/>
  <c r="AA60" i="25" s="1"/>
  <c r="AA77" i="25" s="1"/>
  <c r="AA146" i="49" s="1"/>
  <c r="AB170" i="44"/>
  <c r="AB171" i="44" s="1"/>
  <c r="AA62" i="47" s="1"/>
  <c r="P172" i="44"/>
  <c r="P173" i="44" s="1"/>
  <c r="P174" i="44" s="1"/>
  <c r="O61" i="25" s="1"/>
  <c r="O78" i="25" s="1"/>
  <c r="O131" i="49" s="1"/>
  <c r="P175" i="44"/>
  <c r="P176" i="44" s="1"/>
  <c r="P177" i="44" s="1"/>
  <c r="O60" i="25" s="1"/>
  <c r="O77" i="25" s="1"/>
  <c r="O146" i="49" s="1"/>
  <c r="P170" i="44"/>
  <c r="P171" i="44" s="1"/>
  <c r="O62" i="47" s="1"/>
  <c r="D170" i="44"/>
  <c r="D171" i="44" s="1"/>
  <c r="C62" i="47" s="1"/>
  <c r="D172" i="44"/>
  <c r="D173" i="44" s="1"/>
  <c r="D174" i="44" s="1"/>
  <c r="C61" i="25" s="1"/>
  <c r="C78" i="25" s="1"/>
  <c r="C131" i="49" s="1"/>
  <c r="D175" i="44"/>
  <c r="D176" i="44" s="1"/>
  <c r="D177" i="44" s="1"/>
  <c r="C60" i="25" s="1"/>
  <c r="C77" i="25" s="1"/>
  <c r="C146" i="49" s="1"/>
  <c r="AD175" i="44"/>
  <c r="AD176" i="44" s="1"/>
  <c r="AD177" i="44" s="1"/>
  <c r="AC60" i="25" s="1"/>
  <c r="AC77" i="25" s="1"/>
  <c r="AC146" i="49" s="1"/>
  <c r="AD170" i="44"/>
  <c r="AD171" i="44" s="1"/>
  <c r="AC62" i="47" s="1"/>
  <c r="AD172" i="44"/>
  <c r="AD173" i="44" s="1"/>
  <c r="AD174" i="44" s="1"/>
  <c r="AC61" i="25" s="1"/>
  <c r="AC78" i="25" s="1"/>
  <c r="AC131" i="49" s="1"/>
  <c r="R170" i="44"/>
  <c r="R171" i="44" s="1"/>
  <c r="Q62" i="47" s="1"/>
  <c r="R172" i="44"/>
  <c r="R173" i="44" s="1"/>
  <c r="R174" i="44" s="1"/>
  <c r="Q61" i="25" s="1"/>
  <c r="Q78" i="25" s="1"/>
  <c r="Q131" i="49" s="1"/>
  <c r="R175" i="44"/>
  <c r="R176" i="44" s="1"/>
  <c r="R177" i="44" s="1"/>
  <c r="Q60" i="25" s="1"/>
  <c r="Q77" i="25" s="1"/>
  <c r="Q146" i="49" s="1"/>
  <c r="AA175" i="44"/>
  <c r="AA176" i="44" s="1"/>
  <c r="AA177" i="44" s="1"/>
  <c r="Z60" i="25" s="1"/>
  <c r="Z77" i="25" s="1"/>
  <c r="Z146" i="49" s="1"/>
  <c r="AA172" i="44"/>
  <c r="AA173" i="44" s="1"/>
  <c r="AA174" i="44" s="1"/>
  <c r="AA170" i="44"/>
  <c r="AA171" i="44" s="1"/>
  <c r="Z62" i="47" s="1"/>
  <c r="O175" i="44"/>
  <c r="O176" i="44" s="1"/>
  <c r="O177" i="44" s="1"/>
  <c r="N60" i="25" s="1"/>
  <c r="N77" i="25" s="1"/>
  <c r="N146" i="49" s="1"/>
  <c r="O170" i="44"/>
  <c r="O171" i="44" s="1"/>
  <c r="N62" i="47" s="1"/>
  <c r="O172" i="44"/>
  <c r="O173" i="44" s="1"/>
  <c r="O174" i="44" s="1"/>
  <c r="N61" i="25" s="1"/>
  <c r="N78" i="25" s="1"/>
  <c r="N131" i="49" s="1"/>
  <c r="Z170" i="44"/>
  <c r="Z171" i="44" s="1"/>
  <c r="Y62" i="47" s="1"/>
  <c r="Z175" i="44"/>
  <c r="Z176" i="44" s="1"/>
  <c r="Z177" i="44" s="1"/>
  <c r="Y60" i="25" s="1"/>
  <c r="Y77" i="25" s="1"/>
  <c r="Y146" i="49" s="1"/>
  <c r="Z172" i="44"/>
  <c r="Z173" i="44" s="1"/>
  <c r="Z174" i="44" s="1"/>
  <c r="Y61" i="25" s="1"/>
  <c r="Y78" i="25" s="1"/>
  <c r="Y131" i="49" s="1"/>
  <c r="N175" i="44"/>
  <c r="N176" i="44" s="1"/>
  <c r="N177" i="44" s="1"/>
  <c r="M60" i="25" s="1"/>
  <c r="M77" i="25" s="1"/>
  <c r="M146" i="49" s="1"/>
  <c r="N170" i="44"/>
  <c r="N171" i="44" s="1"/>
  <c r="M62" i="47" s="1"/>
  <c r="N172" i="44"/>
  <c r="N173" i="44" s="1"/>
  <c r="N174" i="44" s="1"/>
  <c r="M61" i="25" s="1"/>
  <c r="AB149" i="44"/>
  <c r="AB150" i="44" s="1"/>
  <c r="AB151" i="44" s="1"/>
  <c r="AA66" i="25" s="1"/>
  <c r="AA83" i="25" s="1"/>
  <c r="AB144" i="44"/>
  <c r="AB145" i="44" s="1"/>
  <c r="AA68" i="47" s="1"/>
  <c r="AB146" i="44"/>
  <c r="AB147" i="44" s="1"/>
  <c r="AB148" i="44" s="1"/>
  <c r="P146" i="44"/>
  <c r="P147" i="44" s="1"/>
  <c r="P148" i="44" s="1"/>
  <c r="P144" i="44"/>
  <c r="P145" i="44" s="1"/>
  <c r="O68" i="47" s="1"/>
  <c r="P149" i="44"/>
  <c r="P150" i="44" s="1"/>
  <c r="P151" i="44" s="1"/>
  <c r="O66" i="25" s="1"/>
  <c r="O83" i="25" s="1"/>
  <c r="D144" i="44"/>
  <c r="D145" i="44" s="1"/>
  <c r="C68" i="47" s="1"/>
  <c r="D149" i="44"/>
  <c r="D150" i="44" s="1"/>
  <c r="D151" i="44" s="1"/>
  <c r="C66" i="25" s="1"/>
  <c r="C83" i="25" s="1"/>
  <c r="D146" i="44"/>
  <c r="D147" i="44" s="1"/>
  <c r="D148" i="44" s="1"/>
  <c r="AD144" i="44"/>
  <c r="AD145" i="44" s="1"/>
  <c r="AC68" i="47" s="1"/>
  <c r="AD149" i="44"/>
  <c r="AD150" i="44" s="1"/>
  <c r="AD151" i="44" s="1"/>
  <c r="AC66" i="25" s="1"/>
  <c r="AC83" i="25" s="1"/>
  <c r="AD146" i="44"/>
  <c r="AD147" i="44" s="1"/>
  <c r="AD148" i="44" s="1"/>
  <c r="AG149" i="44"/>
  <c r="AG150" i="44" s="1"/>
  <c r="AG151" i="44" s="1"/>
  <c r="AF66" i="25" s="1"/>
  <c r="AF83" i="25" s="1"/>
  <c r="AG144" i="44"/>
  <c r="AG145" i="44" s="1"/>
  <c r="AF68" i="47" s="1"/>
  <c r="AG146" i="44"/>
  <c r="AG147" i="44" s="1"/>
  <c r="AG148" i="44" s="1"/>
  <c r="E144" i="44"/>
  <c r="E145" i="44" s="1"/>
  <c r="D68" i="47" s="1"/>
  <c r="E149" i="44"/>
  <c r="E150" i="44" s="1"/>
  <c r="E151" i="44" s="1"/>
  <c r="D66" i="25" s="1"/>
  <c r="D83" i="25" s="1"/>
  <c r="E146" i="44"/>
  <c r="E147" i="44" s="1"/>
  <c r="E148" i="44" s="1"/>
  <c r="AA146" i="44"/>
  <c r="AA147" i="44" s="1"/>
  <c r="AA148" i="44" s="1"/>
  <c r="Z67" i="25" s="1"/>
  <c r="Z84" i="25" s="1"/>
  <c r="AA149" i="44"/>
  <c r="AA150" i="44" s="1"/>
  <c r="AA151" i="44" s="1"/>
  <c r="Z66" i="25" s="1"/>
  <c r="Z83" i="25" s="1"/>
  <c r="AA144" i="44"/>
  <c r="AA145" i="44" s="1"/>
  <c r="Z68" i="47" s="1"/>
  <c r="O146" i="44"/>
  <c r="O147" i="44" s="1"/>
  <c r="O148" i="44" s="1"/>
  <c r="N67" i="25" s="1"/>
  <c r="N84" i="25" s="1"/>
  <c r="O144" i="44"/>
  <c r="O145" i="44" s="1"/>
  <c r="N68" i="47" s="1"/>
  <c r="O149" i="44"/>
  <c r="O150" i="44" s="1"/>
  <c r="O151" i="44" s="1"/>
  <c r="N66" i="25" s="1"/>
  <c r="N83" i="25" s="1"/>
  <c r="C144" i="44"/>
  <c r="C145" i="44" s="1"/>
  <c r="B68" i="47" s="1"/>
  <c r="C149" i="44"/>
  <c r="C150" i="44" s="1"/>
  <c r="C151" i="44" s="1"/>
  <c r="B66" i="25" s="1"/>
  <c r="B83" i="25" s="1"/>
  <c r="C146" i="44"/>
  <c r="C147" i="44" s="1"/>
  <c r="C148" i="44" s="1"/>
  <c r="AJ146" i="44"/>
  <c r="AJ147" i="44" s="1"/>
  <c r="AJ148" i="44" s="1"/>
  <c r="AJ149" i="44"/>
  <c r="AJ150" i="44" s="1"/>
  <c r="AJ151" i="44" s="1"/>
  <c r="AI66" i="25" s="1"/>
  <c r="AI83" i="25" s="1"/>
  <c r="AJ144" i="44"/>
  <c r="AJ145" i="44" s="1"/>
  <c r="AI68" i="47" s="1"/>
  <c r="T149" i="44"/>
  <c r="T150" i="44" s="1"/>
  <c r="T151" i="44" s="1"/>
  <c r="S66" i="25" s="1"/>
  <c r="S83" i="25" s="1"/>
  <c r="T144" i="44"/>
  <c r="T145" i="44" s="1"/>
  <c r="S68" i="47" s="1"/>
  <c r="T146" i="44"/>
  <c r="T147" i="44" s="1"/>
  <c r="T148" i="44" s="1"/>
  <c r="R144" i="44"/>
  <c r="R145" i="44" s="1"/>
  <c r="Q68" i="47" s="1"/>
  <c r="R146" i="44"/>
  <c r="R147" i="44" s="1"/>
  <c r="R148" i="44" s="1"/>
  <c r="R149" i="44"/>
  <c r="R150" i="44" s="1"/>
  <c r="R151" i="44" s="1"/>
  <c r="Q66" i="25" s="1"/>
  <c r="Q83" i="25" s="1"/>
  <c r="AC149" i="44"/>
  <c r="AC150" i="44" s="1"/>
  <c r="AC151" i="44" s="1"/>
  <c r="AB66" i="25" s="1"/>
  <c r="AB83" i="25" s="1"/>
  <c r="AC146" i="44"/>
  <c r="AC147" i="44" s="1"/>
  <c r="AC148" i="44" s="1"/>
  <c r="AB67" i="25" s="1"/>
  <c r="AB84" i="25" s="1"/>
  <c r="AC144" i="44"/>
  <c r="AC145" i="44" s="1"/>
  <c r="AB68" i="47" s="1"/>
  <c r="Z146" i="44"/>
  <c r="Z147" i="44" s="1"/>
  <c r="Z148" i="44" s="1"/>
  <c r="Y67" i="25" s="1"/>
  <c r="Y84" i="25" s="1"/>
  <c r="Z149" i="44"/>
  <c r="Z150" i="44" s="1"/>
  <c r="Z151" i="44" s="1"/>
  <c r="Y66" i="25" s="1"/>
  <c r="Y83" i="25" s="1"/>
  <c r="Z144" i="44"/>
  <c r="Z145" i="44" s="1"/>
  <c r="Y68" i="47" s="1"/>
  <c r="N146" i="44"/>
  <c r="N147" i="44" s="1"/>
  <c r="N148" i="44" s="1"/>
  <c r="M67" i="25" s="1"/>
  <c r="M84" i="25" s="1"/>
  <c r="N149" i="44"/>
  <c r="N150" i="44" s="1"/>
  <c r="N151" i="44" s="1"/>
  <c r="M66" i="25" s="1"/>
  <c r="M83" i="25" s="1"/>
  <c r="N144" i="44"/>
  <c r="N145" i="44" s="1"/>
  <c r="M68" i="47" s="1"/>
  <c r="Q146" i="44"/>
  <c r="Q147" i="44" s="1"/>
  <c r="Q148" i="44" s="1"/>
  <c r="Q144" i="44"/>
  <c r="Q145" i="44" s="1"/>
  <c r="P68" i="47" s="1"/>
  <c r="Q149" i="44"/>
  <c r="Q150" i="44" s="1"/>
  <c r="Q151" i="44" s="1"/>
  <c r="P66" i="25" s="1"/>
  <c r="P83" i="25" s="1"/>
  <c r="Y146" i="44"/>
  <c r="Y147" i="44" s="1"/>
  <c r="Y148" i="44" s="1"/>
  <c r="Y149" i="44"/>
  <c r="Y150" i="44" s="1"/>
  <c r="Y151" i="44" s="1"/>
  <c r="X66" i="25" s="1"/>
  <c r="X83" i="25" s="1"/>
  <c r="Y144" i="44"/>
  <c r="Y145" i="44" s="1"/>
  <c r="X68" i="47" s="1"/>
  <c r="M146" i="44"/>
  <c r="M147" i="44" s="1"/>
  <c r="M148" i="44" s="1"/>
  <c r="L67" i="25" s="1"/>
  <c r="L84" i="25" s="1"/>
  <c r="M149" i="44"/>
  <c r="M150" i="44" s="1"/>
  <c r="M151" i="44" s="1"/>
  <c r="L66" i="25" s="1"/>
  <c r="L83" i="25" s="1"/>
  <c r="M144" i="44"/>
  <c r="M145" i="44" s="1"/>
  <c r="L68" i="47" s="1"/>
  <c r="U149" i="44"/>
  <c r="U150" i="44" s="1"/>
  <c r="U151" i="44" s="1"/>
  <c r="T66" i="25" s="1"/>
  <c r="T83" i="25" s="1"/>
  <c r="U144" i="44"/>
  <c r="U145" i="44" s="1"/>
  <c r="T68" i="47" s="1"/>
  <c r="U146" i="44"/>
  <c r="U147" i="44" s="1"/>
  <c r="U148" i="44" s="1"/>
  <c r="I149" i="44"/>
  <c r="I150" i="44" s="1"/>
  <c r="I151" i="44" s="1"/>
  <c r="H66" i="25" s="1"/>
  <c r="H83" i="25" s="1"/>
  <c r="I144" i="44"/>
  <c r="I145" i="44" s="1"/>
  <c r="H68" i="47" s="1"/>
  <c r="I146" i="44"/>
  <c r="I147" i="44" s="1"/>
  <c r="I148" i="44" s="1"/>
  <c r="H149" i="44"/>
  <c r="H150" i="44" s="1"/>
  <c r="H151" i="44" s="1"/>
  <c r="G66" i="25" s="1"/>
  <c r="G83" i="25" s="1"/>
  <c r="H144" i="44"/>
  <c r="H145" i="44" s="1"/>
  <c r="G68" i="47" s="1"/>
  <c r="H146" i="44"/>
  <c r="H147" i="44" s="1"/>
  <c r="H148" i="44" s="1"/>
  <c r="S144" i="44"/>
  <c r="S145" i="44" s="1"/>
  <c r="R68" i="47" s="1"/>
  <c r="S146" i="44"/>
  <c r="S147" i="44" s="1"/>
  <c r="S148" i="44" s="1"/>
  <c r="R67" i="25" s="1"/>
  <c r="R84" i="25" s="1"/>
  <c r="S149" i="44"/>
  <c r="S150" i="44" s="1"/>
  <c r="S151" i="44" s="1"/>
  <c r="R66" i="25" s="1"/>
  <c r="R83" i="25" s="1"/>
  <c r="G144" i="44"/>
  <c r="G145" i="44" s="1"/>
  <c r="F68" i="47" s="1"/>
  <c r="G149" i="44"/>
  <c r="G150" i="44" s="1"/>
  <c r="G151" i="44" s="1"/>
  <c r="F66" i="25" s="1"/>
  <c r="F83" i="25" s="1"/>
  <c r="G146" i="44"/>
  <c r="G147" i="44" s="1"/>
  <c r="G148" i="44" s="1"/>
  <c r="F67" i="25" s="1"/>
  <c r="F84" i="25" s="1"/>
  <c r="AI146" i="44"/>
  <c r="AI147" i="44" s="1"/>
  <c r="AI148" i="44" s="1"/>
  <c r="AH67" i="25" s="1"/>
  <c r="AH84" i="25" s="1"/>
  <c r="AI149" i="44"/>
  <c r="AI150" i="44" s="1"/>
  <c r="AI151" i="44" s="1"/>
  <c r="AH66" i="25" s="1"/>
  <c r="AH83" i="25" s="1"/>
  <c r="AI144" i="44"/>
  <c r="AI145" i="44" s="1"/>
  <c r="AH68" i="47" s="1"/>
  <c r="F144" i="44"/>
  <c r="F145" i="44" s="1"/>
  <c r="E68" i="47" s="1"/>
  <c r="F146" i="44"/>
  <c r="F147" i="44" s="1"/>
  <c r="F148" i="44" s="1"/>
  <c r="E67" i="25" s="1"/>
  <c r="E84" i="25" s="1"/>
  <c r="F149" i="44"/>
  <c r="F150" i="44" s="1"/>
  <c r="F151" i="44" s="1"/>
  <c r="E66" i="25" s="1"/>
  <c r="E83" i="25" s="1"/>
  <c r="AF149" i="44"/>
  <c r="AF150" i="44" s="1"/>
  <c r="AF151" i="44" s="1"/>
  <c r="AE66" i="25" s="1"/>
  <c r="AE83" i="25" s="1"/>
  <c r="AF144" i="44"/>
  <c r="AF145" i="44" s="1"/>
  <c r="AE68" i="47" s="1"/>
  <c r="AF146" i="44"/>
  <c r="AF147" i="44" s="1"/>
  <c r="AF148" i="44" s="1"/>
  <c r="AE67" i="25" s="1"/>
  <c r="L146" i="44"/>
  <c r="L147" i="44" s="1"/>
  <c r="L148" i="44" s="1"/>
  <c r="K67" i="25" s="1"/>
  <c r="K84" i="25" s="1"/>
  <c r="L149" i="44"/>
  <c r="L150" i="44" s="1"/>
  <c r="L151" i="44" s="1"/>
  <c r="K66" i="25" s="1"/>
  <c r="K83" i="25" s="1"/>
  <c r="L144" i="44"/>
  <c r="L145" i="44" s="1"/>
  <c r="K68" i="47" s="1"/>
  <c r="W146" i="44"/>
  <c r="W147" i="44" s="1"/>
  <c r="W148" i="44" s="1"/>
  <c r="W149" i="44"/>
  <c r="W150" i="44" s="1"/>
  <c r="W151" i="44" s="1"/>
  <c r="V66" i="25" s="1"/>
  <c r="V83" i="25" s="1"/>
  <c r="W144" i="44"/>
  <c r="W145" i="44" s="1"/>
  <c r="V68" i="47" s="1"/>
  <c r="K146" i="44"/>
  <c r="K147" i="44" s="1"/>
  <c r="K148" i="44" s="1"/>
  <c r="J67" i="25" s="1"/>
  <c r="J84" i="25" s="1"/>
  <c r="K149" i="44"/>
  <c r="K150" i="44" s="1"/>
  <c r="K151" i="44" s="1"/>
  <c r="J66" i="25" s="1"/>
  <c r="J83" i="25" s="1"/>
  <c r="K144" i="44"/>
  <c r="K145" i="44" s="1"/>
  <c r="J68" i="47" s="1"/>
  <c r="AE144" i="44"/>
  <c r="AE145" i="44" s="1"/>
  <c r="AD68" i="47" s="1"/>
  <c r="AE149" i="44"/>
  <c r="AE150" i="44" s="1"/>
  <c r="AE151" i="44" s="1"/>
  <c r="AD66" i="25" s="1"/>
  <c r="AD83" i="25" s="1"/>
  <c r="AE146" i="44"/>
  <c r="AE147" i="44" s="1"/>
  <c r="AE148" i="44" s="1"/>
  <c r="X146" i="44"/>
  <c r="X147" i="44" s="1"/>
  <c r="X148" i="44" s="1"/>
  <c r="W67" i="25" s="1"/>
  <c r="W84" i="25" s="1"/>
  <c r="X149" i="44"/>
  <c r="X150" i="44" s="1"/>
  <c r="X151" i="44" s="1"/>
  <c r="W66" i="25" s="1"/>
  <c r="W83" i="25" s="1"/>
  <c r="X144" i="44"/>
  <c r="X145" i="44" s="1"/>
  <c r="W68" i="47" s="1"/>
  <c r="AH146" i="44"/>
  <c r="AH147" i="44" s="1"/>
  <c r="AH148" i="44" s="1"/>
  <c r="AH149" i="44"/>
  <c r="AH150" i="44" s="1"/>
  <c r="AH151" i="44" s="1"/>
  <c r="AG66" i="25" s="1"/>
  <c r="AG83" i="25" s="1"/>
  <c r="AH144" i="44"/>
  <c r="AH145" i="44" s="1"/>
  <c r="AG68" i="47" s="1"/>
  <c r="V146" i="44"/>
  <c r="V147" i="44" s="1"/>
  <c r="V148" i="44" s="1"/>
  <c r="U67" i="25" s="1"/>
  <c r="U84" i="25" s="1"/>
  <c r="V149" i="44"/>
  <c r="V150" i="44" s="1"/>
  <c r="V151" i="44" s="1"/>
  <c r="U66" i="25" s="1"/>
  <c r="U83" i="25" s="1"/>
  <c r="V144" i="44"/>
  <c r="V145" i="44" s="1"/>
  <c r="U68" i="47" s="1"/>
  <c r="J146" i="44"/>
  <c r="J147" i="44" s="1"/>
  <c r="J148" i="44" s="1"/>
  <c r="J149" i="44"/>
  <c r="J150" i="44" s="1"/>
  <c r="J151" i="44" s="1"/>
  <c r="I66" i="25" s="1"/>
  <c r="I83" i="25" s="1"/>
  <c r="J144" i="44"/>
  <c r="J145" i="44" s="1"/>
  <c r="I68" i="47" s="1"/>
  <c r="AI88" i="44"/>
  <c r="AI89" i="44" s="1"/>
  <c r="AI90" i="44" s="1"/>
  <c r="AI86" i="44"/>
  <c r="AI87" i="44" s="1"/>
  <c r="AH66" i="47" s="1"/>
  <c r="AI91" i="44"/>
  <c r="AI92" i="44" s="1"/>
  <c r="AI93" i="44" s="1"/>
  <c r="W88" i="44"/>
  <c r="W89" i="44" s="1"/>
  <c r="W90" i="44" s="1"/>
  <c r="W86" i="44"/>
  <c r="W87" i="44" s="1"/>
  <c r="V66" i="47" s="1"/>
  <c r="W91" i="44"/>
  <c r="W92" i="44" s="1"/>
  <c r="W93" i="44" s="1"/>
  <c r="K88" i="44"/>
  <c r="K89" i="44" s="1"/>
  <c r="K90" i="44" s="1"/>
  <c r="K86" i="44"/>
  <c r="K87" i="44" s="1"/>
  <c r="J66" i="47" s="1"/>
  <c r="K91" i="44"/>
  <c r="K92" i="44" s="1"/>
  <c r="K93" i="44" s="1"/>
  <c r="AG91" i="44"/>
  <c r="AG92" i="44" s="1"/>
  <c r="AG93" i="44" s="1"/>
  <c r="AG86" i="44"/>
  <c r="AG87" i="44" s="1"/>
  <c r="AF66" i="47" s="1"/>
  <c r="AG88" i="44"/>
  <c r="AG89" i="44" s="1"/>
  <c r="AG90" i="44" s="1"/>
  <c r="V88" i="44"/>
  <c r="V89" i="44" s="1"/>
  <c r="V90" i="44" s="1"/>
  <c r="V91" i="44"/>
  <c r="V92" i="44" s="1"/>
  <c r="V93" i="44" s="1"/>
  <c r="V86" i="44"/>
  <c r="V87" i="44" s="1"/>
  <c r="U66" i="47" s="1"/>
  <c r="J88" i="44"/>
  <c r="J89" i="44" s="1"/>
  <c r="J90" i="44" s="1"/>
  <c r="J86" i="44"/>
  <c r="J87" i="44" s="1"/>
  <c r="I66" i="47" s="1"/>
  <c r="J91" i="44"/>
  <c r="J92" i="44" s="1"/>
  <c r="J93" i="44" s="1"/>
  <c r="X88" i="44"/>
  <c r="X89" i="44" s="1"/>
  <c r="X90" i="44" s="1"/>
  <c r="X86" i="44"/>
  <c r="X87" i="44" s="1"/>
  <c r="W66" i="47" s="1"/>
  <c r="X91" i="44"/>
  <c r="X92" i="44" s="1"/>
  <c r="X93" i="44" s="1"/>
  <c r="U91" i="44"/>
  <c r="U92" i="44" s="1"/>
  <c r="U93" i="44" s="1"/>
  <c r="U86" i="44"/>
  <c r="U87" i="44" s="1"/>
  <c r="T66" i="47" s="1"/>
  <c r="U88" i="44"/>
  <c r="U89" i="44" s="1"/>
  <c r="U90" i="44" s="1"/>
  <c r="I86" i="44"/>
  <c r="I87" i="44" s="1"/>
  <c r="H66" i="47" s="1"/>
  <c r="I91" i="44"/>
  <c r="I92" i="44" s="1"/>
  <c r="I93" i="44" s="1"/>
  <c r="I88" i="44"/>
  <c r="I89" i="44" s="1"/>
  <c r="I90" i="44" s="1"/>
  <c r="AD91" i="44"/>
  <c r="AD92" i="44" s="1"/>
  <c r="AD93" i="44" s="1"/>
  <c r="AD86" i="44"/>
  <c r="AD87" i="44" s="1"/>
  <c r="AC66" i="47" s="1"/>
  <c r="AD88" i="44"/>
  <c r="AD89" i="44" s="1"/>
  <c r="AD90" i="44" s="1"/>
  <c r="AF91" i="44"/>
  <c r="AF92" i="44" s="1"/>
  <c r="AF93" i="44" s="1"/>
  <c r="AF86" i="44"/>
  <c r="AF87" i="44" s="1"/>
  <c r="AE66" i="47" s="1"/>
  <c r="AF88" i="44"/>
  <c r="AF89" i="44" s="1"/>
  <c r="AF90" i="44" s="1"/>
  <c r="S91" i="44"/>
  <c r="S92" i="44" s="1"/>
  <c r="S93" i="44" s="1"/>
  <c r="S86" i="44"/>
  <c r="S87" i="44" s="1"/>
  <c r="R66" i="47" s="1"/>
  <c r="S88" i="44"/>
  <c r="S89" i="44" s="1"/>
  <c r="S90" i="44" s="1"/>
  <c r="G86" i="44"/>
  <c r="G87" i="44" s="1"/>
  <c r="F66" i="47" s="1"/>
  <c r="G91" i="44"/>
  <c r="G92" i="44" s="1"/>
  <c r="G93" i="44" s="1"/>
  <c r="G88" i="44"/>
  <c r="G89" i="44" s="1"/>
  <c r="G90" i="44" s="1"/>
  <c r="H86" i="44"/>
  <c r="H87" i="44" s="1"/>
  <c r="G66" i="47" s="1"/>
  <c r="H91" i="44"/>
  <c r="H92" i="44" s="1"/>
  <c r="H93" i="44" s="1"/>
  <c r="H88" i="44"/>
  <c r="H89" i="44" s="1"/>
  <c r="H90" i="44" s="1"/>
  <c r="R91" i="44"/>
  <c r="R92" i="44" s="1"/>
  <c r="R93" i="44" s="1"/>
  <c r="R88" i="44"/>
  <c r="R89" i="44" s="1"/>
  <c r="R90" i="44" s="1"/>
  <c r="R86" i="44"/>
  <c r="R87" i="44" s="1"/>
  <c r="Q66" i="47" s="1"/>
  <c r="F91" i="44"/>
  <c r="F92" i="44" s="1"/>
  <c r="F93" i="44" s="1"/>
  <c r="F88" i="44"/>
  <c r="F89" i="44" s="1"/>
  <c r="F90" i="44" s="1"/>
  <c r="F86" i="44"/>
  <c r="F87" i="44" s="1"/>
  <c r="E66" i="47" s="1"/>
  <c r="AJ88" i="44"/>
  <c r="AJ89" i="44" s="1"/>
  <c r="AJ90" i="44" s="1"/>
  <c r="AJ86" i="44"/>
  <c r="AJ87" i="44" s="1"/>
  <c r="AI66" i="47" s="1"/>
  <c r="AJ91" i="44"/>
  <c r="AJ92" i="44" s="1"/>
  <c r="AJ93" i="44" s="1"/>
  <c r="L88" i="44"/>
  <c r="L89" i="44" s="1"/>
  <c r="L90" i="44" s="1"/>
  <c r="L86" i="44"/>
  <c r="L87" i="44" s="1"/>
  <c r="K66" i="47" s="1"/>
  <c r="L91" i="44"/>
  <c r="L92" i="44" s="1"/>
  <c r="L93" i="44" s="1"/>
  <c r="T91" i="44"/>
  <c r="T92" i="44" s="1"/>
  <c r="T93" i="44" s="1"/>
  <c r="T86" i="44"/>
  <c r="T87" i="44" s="1"/>
  <c r="S66" i="47" s="1"/>
  <c r="T88" i="44"/>
  <c r="T89" i="44" s="1"/>
  <c r="T90" i="44" s="1"/>
  <c r="AC88" i="44"/>
  <c r="AC89" i="44" s="1"/>
  <c r="AC90" i="44" s="1"/>
  <c r="AC91" i="44"/>
  <c r="AC92" i="44" s="1"/>
  <c r="AC93" i="44" s="1"/>
  <c r="AC86" i="44"/>
  <c r="AC87" i="44" s="1"/>
  <c r="AB66" i="47" s="1"/>
  <c r="Q88" i="44"/>
  <c r="Q89" i="44" s="1"/>
  <c r="Q90" i="44" s="1"/>
  <c r="Q86" i="44"/>
  <c r="Q87" i="44" s="1"/>
  <c r="P66" i="47" s="1"/>
  <c r="Q91" i="44"/>
  <c r="Q92" i="44" s="1"/>
  <c r="Q93" i="44" s="1"/>
  <c r="E88" i="44"/>
  <c r="E89" i="44" s="1"/>
  <c r="E90" i="44" s="1"/>
  <c r="E91" i="44"/>
  <c r="E92" i="44" s="1"/>
  <c r="E93" i="44" s="1"/>
  <c r="E86" i="44"/>
  <c r="E87" i="44" s="1"/>
  <c r="D66" i="47" s="1"/>
  <c r="AH88" i="44"/>
  <c r="AH89" i="44" s="1"/>
  <c r="AH90" i="44" s="1"/>
  <c r="AH91" i="44"/>
  <c r="AH92" i="44" s="1"/>
  <c r="AH93" i="44" s="1"/>
  <c r="AH86" i="44"/>
  <c r="AH87" i="44" s="1"/>
  <c r="AG66" i="47" s="1"/>
  <c r="Y86" i="44"/>
  <c r="Y87" i="44" s="1"/>
  <c r="X66" i="47" s="1"/>
  <c r="Y88" i="44"/>
  <c r="Y89" i="44" s="1"/>
  <c r="Y90" i="44" s="1"/>
  <c r="Y91" i="44"/>
  <c r="Y92" i="44" s="1"/>
  <c r="Y93" i="44" s="1"/>
  <c r="M91" i="44"/>
  <c r="M92" i="44" s="1"/>
  <c r="M93" i="44" s="1"/>
  <c r="M88" i="44"/>
  <c r="M89" i="44" s="1"/>
  <c r="M90" i="44" s="1"/>
  <c r="M86" i="44"/>
  <c r="M87" i="44" s="1"/>
  <c r="L66" i="47" s="1"/>
  <c r="AB88" i="44"/>
  <c r="AB89" i="44" s="1"/>
  <c r="AB90" i="44" s="1"/>
  <c r="AB91" i="44"/>
  <c r="AB92" i="44" s="1"/>
  <c r="AB93" i="44" s="1"/>
  <c r="AB86" i="44"/>
  <c r="AB87" i="44" s="1"/>
  <c r="AA66" i="47" s="1"/>
  <c r="P88" i="44"/>
  <c r="P89" i="44" s="1"/>
  <c r="P90" i="44" s="1"/>
  <c r="P91" i="44"/>
  <c r="P92" i="44" s="1"/>
  <c r="P93" i="44" s="1"/>
  <c r="P86" i="44"/>
  <c r="P87" i="44" s="1"/>
  <c r="O66" i="47" s="1"/>
  <c r="D88" i="44"/>
  <c r="D89" i="44" s="1"/>
  <c r="D90" i="44" s="1"/>
  <c r="D91" i="44"/>
  <c r="D92" i="44" s="1"/>
  <c r="D93" i="44" s="1"/>
  <c r="D86" i="44"/>
  <c r="D87" i="44" s="1"/>
  <c r="C66" i="47" s="1"/>
  <c r="AE91" i="44"/>
  <c r="AE92" i="44" s="1"/>
  <c r="AE93" i="44" s="1"/>
  <c r="AE86" i="44"/>
  <c r="AE87" i="44" s="1"/>
  <c r="AD66" i="47" s="1"/>
  <c r="AE88" i="44"/>
  <c r="AE89" i="44" s="1"/>
  <c r="AE90" i="44" s="1"/>
  <c r="AA88" i="44"/>
  <c r="AA89" i="44" s="1"/>
  <c r="AA90" i="44" s="1"/>
  <c r="AA86" i="44"/>
  <c r="AA87" i="44" s="1"/>
  <c r="Z66" i="47" s="1"/>
  <c r="AA91" i="44"/>
  <c r="AA92" i="44" s="1"/>
  <c r="AA93" i="44" s="1"/>
  <c r="O86" i="44"/>
  <c r="O87" i="44" s="1"/>
  <c r="N66" i="47" s="1"/>
  <c r="O88" i="44"/>
  <c r="O89" i="44" s="1"/>
  <c r="O90" i="44" s="1"/>
  <c r="O91" i="44"/>
  <c r="O92" i="44" s="1"/>
  <c r="O93" i="44" s="1"/>
  <c r="C91" i="44"/>
  <c r="C92" i="44" s="1"/>
  <c r="C93" i="44" s="1"/>
  <c r="C88" i="44"/>
  <c r="C89" i="44" s="1"/>
  <c r="C90" i="44" s="1"/>
  <c r="C86" i="44"/>
  <c r="C87" i="44" s="1"/>
  <c r="B66" i="47" s="1"/>
  <c r="Z86" i="44"/>
  <c r="Z87" i="44" s="1"/>
  <c r="Y66" i="47" s="1"/>
  <c r="Z91" i="44"/>
  <c r="Z92" i="44" s="1"/>
  <c r="Z93" i="44" s="1"/>
  <c r="Z88" i="44"/>
  <c r="Z89" i="44" s="1"/>
  <c r="Z90" i="44" s="1"/>
  <c r="N86" i="44"/>
  <c r="N87" i="44" s="1"/>
  <c r="M66" i="47" s="1"/>
  <c r="N91" i="44"/>
  <c r="N92" i="44" s="1"/>
  <c r="N93" i="44" s="1"/>
  <c r="N88" i="44"/>
  <c r="N89" i="44" s="1"/>
  <c r="N90" i="44" s="1"/>
  <c r="Z75" i="44"/>
  <c r="Z76" i="44" s="1"/>
  <c r="Y65" i="47" s="1"/>
  <c r="X76" i="47"/>
  <c r="W76" i="47"/>
  <c r="V76" i="47"/>
  <c r="Y76" i="47"/>
  <c r="Y61" i="47"/>
  <c r="M61" i="47"/>
  <c r="S62" i="44"/>
  <c r="R69" i="25" s="1"/>
  <c r="R86" i="25" s="1"/>
  <c r="R149" i="49" s="1"/>
  <c r="M57" i="44"/>
  <c r="M58" i="44" s="1"/>
  <c r="M55" i="44"/>
  <c r="M56" i="44" s="1"/>
  <c r="L77" i="47" s="1"/>
  <c r="L57" i="44"/>
  <c r="L58" i="44" s="1"/>
  <c r="L59" i="44" s="1"/>
  <c r="L55" i="44"/>
  <c r="L56" i="44" s="1"/>
  <c r="K77" i="47" s="1"/>
  <c r="Y69" i="47"/>
  <c r="M69" i="47"/>
  <c r="M65" i="47"/>
  <c r="K72" i="47"/>
  <c r="X72" i="47"/>
  <c r="K75" i="47"/>
  <c r="AF65" i="47"/>
  <c r="AB77" i="47"/>
  <c r="R33" i="32"/>
  <c r="T33" i="32"/>
  <c r="V75" i="47"/>
  <c r="J75" i="47"/>
  <c r="AE73" i="47"/>
  <c r="Z58" i="44"/>
  <c r="AG61" i="47"/>
  <c r="Y33" i="32"/>
  <c r="U33" i="32"/>
  <c r="N76" i="47"/>
  <c r="E65" i="47"/>
  <c r="AI72" i="47"/>
  <c r="E76" i="47"/>
  <c r="N70" i="47"/>
  <c r="O70" i="47"/>
  <c r="P70" i="47"/>
  <c r="Q70" i="47"/>
  <c r="T70" i="47"/>
  <c r="S70" i="47"/>
  <c r="R70" i="47"/>
  <c r="M70" i="47"/>
  <c r="U70" i="47"/>
  <c r="Q65" i="47"/>
  <c r="AF69" i="47"/>
  <c r="AH65" i="47"/>
  <c r="K64" i="47"/>
  <c r="N65" i="47"/>
  <c r="B65" i="47"/>
  <c r="Y49" i="31"/>
  <c r="Y139" i="49" s="1"/>
  <c r="V49" i="31"/>
  <c r="V139" i="49" s="1"/>
  <c r="X49" i="31"/>
  <c r="W49" i="31"/>
  <c r="AB152" i="49"/>
  <c r="AB50" i="31"/>
  <c r="AF25" i="31"/>
  <c r="AF36" i="31" s="1"/>
  <c r="AF52" i="31" s="1"/>
  <c r="AF49" i="31"/>
  <c r="AF51" i="31" s="1"/>
  <c r="AI25" i="31"/>
  <c r="AI36" i="31" s="1"/>
  <c r="AI83" i="47" s="1"/>
  <c r="AI82" i="47" s="1"/>
  <c r="AI49" i="31"/>
  <c r="AI51" i="31" s="1"/>
  <c r="AC152" i="49"/>
  <c r="AC50" i="31"/>
  <c r="AD50" i="31"/>
  <c r="AE50" i="31"/>
  <c r="AG25" i="31"/>
  <c r="AG36" i="31" s="1"/>
  <c r="AG83" i="47" s="1"/>
  <c r="AG82" i="47" s="1"/>
  <c r="AG49" i="31"/>
  <c r="AG51" i="31" s="1"/>
  <c r="Z50" i="31"/>
  <c r="Y50" i="31"/>
  <c r="X50" i="31"/>
  <c r="AD25" i="31"/>
  <c r="AD36" i="31" s="1"/>
  <c r="AD49" i="31"/>
  <c r="V50" i="31"/>
  <c r="AB25" i="31"/>
  <c r="AB36" i="31" s="1"/>
  <c r="AB83" i="47" s="1"/>
  <c r="AB82" i="47" s="1"/>
  <c r="AB49" i="31"/>
  <c r="AA49" i="31"/>
  <c r="W50" i="31"/>
  <c r="AC25" i="31"/>
  <c r="AC36" i="31" s="1"/>
  <c r="AC52" i="31" s="1"/>
  <c r="AC49" i="31"/>
  <c r="AE25" i="31"/>
  <c r="AE36" i="31" s="1"/>
  <c r="AE52" i="31" s="1"/>
  <c r="AE49" i="31"/>
  <c r="Z49" i="31"/>
  <c r="AA50" i="31"/>
  <c r="AH25" i="31"/>
  <c r="AH36" i="31" s="1"/>
  <c r="AH83" i="47" s="1"/>
  <c r="AH82" i="47" s="1"/>
  <c r="AH49" i="31"/>
  <c r="AH51" i="31" s="1"/>
  <c r="AA25" i="31"/>
  <c r="AA36" i="31" s="1"/>
  <c r="AA83" i="47" s="1"/>
  <c r="AA82" i="47" s="1"/>
  <c r="C81" i="54"/>
  <c r="F104" i="31"/>
  <c r="F76" i="31" s="1"/>
  <c r="D81" i="54"/>
  <c r="E81" i="54"/>
  <c r="P81" i="54"/>
  <c r="X338" i="53"/>
  <c r="AA185" i="53"/>
  <c r="AA190" i="53" s="1"/>
  <c r="O185" i="53"/>
  <c r="T201" i="53"/>
  <c r="T205" i="53" s="1"/>
  <c r="H201" i="53"/>
  <c r="H205" i="53" s="1"/>
  <c r="AA219" i="53"/>
  <c r="AA318" i="53"/>
  <c r="AA323" i="53" s="1"/>
  <c r="O318" i="53"/>
  <c r="T334" i="53"/>
  <c r="H334" i="53"/>
  <c r="V201" i="53"/>
  <c r="V205" i="53" s="1"/>
  <c r="J201" i="53"/>
  <c r="J205" i="53" s="1"/>
  <c r="AE336" i="53"/>
  <c r="AE338" i="53" s="1"/>
  <c r="U201" i="53"/>
  <c r="U205" i="53" s="1"/>
  <c r="I201" i="53"/>
  <c r="I205" i="53" s="1"/>
  <c r="AE322" i="53"/>
  <c r="W201" i="53"/>
  <c r="W205" i="53" s="1"/>
  <c r="K201" i="53"/>
  <c r="K205" i="53" s="1"/>
  <c r="AD322" i="53"/>
  <c r="Z203" i="53"/>
  <c r="Z205" i="53" s="1"/>
  <c r="X219" i="53"/>
  <c r="AC322" i="53"/>
  <c r="Z219" i="53"/>
  <c r="Y219" i="53"/>
  <c r="Z336" i="53"/>
  <c r="Z338" i="53" s="1"/>
  <c r="V334" i="53"/>
  <c r="AC189" i="53"/>
  <c r="J334" i="53"/>
  <c r="AB189" i="53"/>
  <c r="U334" i="53"/>
  <c r="I334" i="53"/>
  <c r="K334" i="53"/>
  <c r="AE203" i="53"/>
  <c r="AE205" i="53" s="1"/>
  <c r="W334" i="53"/>
  <c r="AI310" i="53"/>
  <c r="U185" i="53"/>
  <c r="I185" i="53"/>
  <c r="AF187" i="53"/>
  <c r="AJ310" i="53"/>
  <c r="AD189" i="53"/>
  <c r="AB322" i="53"/>
  <c r="AF189" i="53"/>
  <c r="AB218" i="53"/>
  <c r="AF322" i="53"/>
  <c r="U318" i="53"/>
  <c r="I318" i="53"/>
  <c r="AI189" i="53"/>
  <c r="AG189" i="53"/>
  <c r="AE189" i="53"/>
  <c r="AC310" i="53"/>
  <c r="AH189" i="53"/>
  <c r="AF177" i="53"/>
  <c r="AF310" i="53"/>
  <c r="AE310" i="53"/>
  <c r="AI322" i="53"/>
  <c r="AD177" i="53"/>
  <c r="AD310" i="53"/>
  <c r="AG177" i="53"/>
  <c r="AG310" i="53"/>
  <c r="AH322" i="53"/>
  <c r="AH177" i="53"/>
  <c r="AH310" i="53"/>
  <c r="AJ322" i="53"/>
  <c r="AG322" i="53"/>
  <c r="S201" i="53"/>
  <c r="S205" i="53" s="1"/>
  <c r="G201" i="53"/>
  <c r="G205" i="53" s="1"/>
  <c r="Y318" i="53"/>
  <c r="Y323" i="53" s="1"/>
  <c r="M318" i="53"/>
  <c r="AC177" i="53"/>
  <c r="AJ177" i="53"/>
  <c r="AE177" i="53"/>
  <c r="AI177" i="53"/>
  <c r="Y185" i="53"/>
  <c r="Y190" i="53" s="1"/>
  <c r="M185" i="53"/>
  <c r="S334" i="53"/>
  <c r="G334" i="53"/>
  <c r="L201" i="53"/>
  <c r="L205" i="53" s="1"/>
  <c r="AD218" i="53"/>
  <c r="AF320" i="53"/>
  <c r="C334" i="53"/>
  <c r="T185" i="53"/>
  <c r="H185" i="53"/>
  <c r="AD336" i="53"/>
  <c r="AD338" i="53" s="1"/>
  <c r="AC218" i="53"/>
  <c r="X334" i="53"/>
  <c r="AB318" i="53"/>
  <c r="AD203" i="53"/>
  <c r="AD205" i="53" s="1"/>
  <c r="T318" i="53"/>
  <c r="H318" i="53"/>
  <c r="AF319" i="53"/>
  <c r="AE188" i="53"/>
  <c r="C185" i="53"/>
  <c r="AE186" i="53"/>
  <c r="W185" i="53"/>
  <c r="K185" i="53"/>
  <c r="AG203" i="53"/>
  <c r="AG205" i="53" s="1"/>
  <c r="AG336" i="53"/>
  <c r="AG338" i="53" s="1"/>
  <c r="AC186" i="53"/>
  <c r="X318" i="53"/>
  <c r="X323" i="53" s="1"/>
  <c r="L318" i="53"/>
  <c r="Q201" i="53"/>
  <c r="Q205" i="53" s="1"/>
  <c r="AC319" i="53"/>
  <c r="W318" i="53"/>
  <c r="K318" i="53"/>
  <c r="E201" i="53"/>
  <c r="E205" i="53" s="1"/>
  <c r="AD188" i="53"/>
  <c r="Q334" i="53"/>
  <c r="E334" i="53"/>
  <c r="C318" i="53"/>
  <c r="X185" i="53"/>
  <c r="X190" i="53" s="1"/>
  <c r="L185" i="53"/>
  <c r="R185" i="53"/>
  <c r="AE318" i="53"/>
  <c r="S318" i="53"/>
  <c r="G318" i="53"/>
  <c r="AC336" i="53"/>
  <c r="AC338" i="53" s="1"/>
  <c r="AI218" i="53"/>
  <c r="C201" i="53"/>
  <c r="C205" i="53" s="1"/>
  <c r="R334" i="53"/>
  <c r="AC203" i="53"/>
  <c r="AC205" i="53" s="1"/>
  <c r="AE185" i="53"/>
  <c r="S185" i="53"/>
  <c r="G185" i="53"/>
  <c r="AB336" i="53"/>
  <c r="AB338" i="53" s="1"/>
  <c r="M334" i="53"/>
  <c r="AJ188" i="53"/>
  <c r="AC320" i="53"/>
  <c r="AB203" i="53"/>
  <c r="AB205" i="53" s="1"/>
  <c r="AF318" i="53"/>
  <c r="M201" i="53"/>
  <c r="M205" i="53" s="1"/>
  <c r="AJ186" i="53"/>
  <c r="AB334" i="53"/>
  <c r="V318" i="53"/>
  <c r="AB186" i="53"/>
  <c r="V185" i="53"/>
  <c r="J318" i="53"/>
  <c r="J185" i="53"/>
  <c r="F334" i="53"/>
  <c r="AB320" i="53"/>
  <c r="Y201" i="53"/>
  <c r="AG318" i="53"/>
  <c r="AJ319" i="53"/>
  <c r="AI201" i="53"/>
  <c r="AA336" i="53"/>
  <c r="AA338" i="53" s="1"/>
  <c r="R201" i="53"/>
  <c r="R205" i="53" s="1"/>
  <c r="AB321" i="53"/>
  <c r="AG334" i="53"/>
  <c r="AA203" i="53"/>
  <c r="AA205" i="53" s="1"/>
  <c r="F201" i="53"/>
  <c r="F205" i="53" s="1"/>
  <c r="AE319" i="53"/>
  <c r="AG319" i="53"/>
  <c r="AJ185" i="53"/>
  <c r="AA218" i="53"/>
  <c r="AE320" i="53"/>
  <c r="AH201" i="53"/>
  <c r="AB185" i="53"/>
  <c r="P185" i="53"/>
  <c r="AB201" i="53"/>
  <c r="AB187" i="53"/>
  <c r="L334" i="53"/>
  <c r="Z318" i="53"/>
  <c r="Z323" i="53" s="1"/>
  <c r="AJ184" i="53"/>
  <c r="AG320" i="53"/>
  <c r="AC184" i="53"/>
  <c r="AF186" i="53"/>
  <c r="AG185" i="53"/>
  <c r="AC187" i="53"/>
  <c r="AD319" i="53"/>
  <c r="AD187" i="53"/>
  <c r="AF185" i="53"/>
  <c r="AG184" i="53"/>
  <c r="AD185" i="53"/>
  <c r="AH203" i="53"/>
  <c r="AC201" i="53"/>
  <c r="F185" i="53"/>
  <c r="O334" i="53"/>
  <c r="R318" i="53"/>
  <c r="AG186" i="53"/>
  <c r="AI320" i="53"/>
  <c r="E185" i="53"/>
  <c r="N334" i="53"/>
  <c r="D334" i="53"/>
  <c r="Q318" i="53"/>
  <c r="AH320" i="53"/>
  <c r="AJ318" i="53"/>
  <c r="P334" i="53"/>
  <c r="N185" i="53"/>
  <c r="D185" i="53"/>
  <c r="P318" i="53"/>
  <c r="AH319" i="53"/>
  <c r="AD334" i="53"/>
  <c r="AA201" i="53"/>
  <c r="P201" i="53"/>
  <c r="P205" i="53" s="1"/>
  <c r="AC188" i="53"/>
  <c r="AD186" i="53"/>
  <c r="AF184" i="53"/>
  <c r="AB319" i="53"/>
  <c r="AF336" i="53"/>
  <c r="AF338" i="53" s="1"/>
  <c r="AH185" i="53"/>
  <c r="O201" i="53"/>
  <c r="O205" i="53" s="1"/>
  <c r="D201" i="53"/>
  <c r="D205" i="53" s="1"/>
  <c r="N318" i="53"/>
  <c r="F318" i="53"/>
  <c r="AG187" i="53"/>
  <c r="AG188" i="53"/>
  <c r="Y203" i="53"/>
  <c r="Y205" i="53" s="1"/>
  <c r="N201" i="53"/>
  <c r="N205" i="53" s="1"/>
  <c r="N227" i="53" s="1"/>
  <c r="AC185" i="53"/>
  <c r="AD184" i="53"/>
  <c r="AD320" i="53"/>
  <c r="AD318" i="53"/>
  <c r="E318" i="53"/>
  <c r="AE470" i="53"/>
  <c r="AE187" i="53" s="1"/>
  <c r="AF203" i="53"/>
  <c r="AF205" i="53" s="1"/>
  <c r="AI187" i="53"/>
  <c r="X201" i="53"/>
  <c r="AC334" i="53"/>
  <c r="AC318" i="53"/>
  <c r="D318" i="53"/>
  <c r="AG201" i="53"/>
  <c r="AH186" i="53"/>
  <c r="AH336" i="53"/>
  <c r="AH338" i="53" s="1"/>
  <c r="AI336" i="53"/>
  <c r="AI338" i="53" s="1"/>
  <c r="AJ320" i="53"/>
  <c r="AE201" i="53"/>
  <c r="Y336" i="53"/>
  <c r="Y338" i="53" s="1"/>
  <c r="AA334" i="53"/>
  <c r="AI184" i="53"/>
  <c r="Z185" i="53"/>
  <c r="Z190" i="53" s="1"/>
  <c r="Q185" i="53"/>
  <c r="AJ187" i="53"/>
  <c r="AB184" i="53"/>
  <c r="AB188" i="53"/>
  <c r="Z334" i="53"/>
  <c r="Z201" i="53"/>
  <c r="AF334" i="53"/>
  <c r="AF201" i="53"/>
  <c r="AE334" i="53"/>
  <c r="X205" i="53"/>
  <c r="AH318" i="53"/>
  <c r="AH184" i="53"/>
  <c r="AI319" i="53"/>
  <c r="AJ336" i="53"/>
  <c r="AJ338" i="53" s="1"/>
  <c r="AH334" i="53"/>
  <c r="AI188" i="53"/>
  <c r="AI318" i="53"/>
  <c r="AI186" i="53"/>
  <c r="AJ74" i="53"/>
  <c r="AJ201" i="53" s="1"/>
  <c r="AI185" i="53"/>
  <c r="AD201" i="53"/>
  <c r="AF188" i="53"/>
  <c r="AI334" i="53"/>
  <c r="Y334" i="53"/>
  <c r="AH188" i="53"/>
  <c r="AI203" i="53"/>
  <c r="AH187" i="53"/>
  <c r="Y499" i="27"/>
  <c r="Y500" i="27" s="1"/>
  <c r="K499" i="27"/>
  <c r="K500" i="27" s="1"/>
  <c r="L499" i="27"/>
  <c r="L500" i="27" s="1"/>
  <c r="X499" i="27"/>
  <c r="X500" i="27" s="1"/>
  <c r="S499" i="27"/>
  <c r="S500" i="27" s="1"/>
  <c r="G499" i="27"/>
  <c r="G500" i="27" s="1"/>
  <c r="AF499" i="27"/>
  <c r="AF500" i="27" s="1"/>
  <c r="R499" i="27"/>
  <c r="R500" i="27" s="1"/>
  <c r="F499" i="27"/>
  <c r="F500" i="27" s="1"/>
  <c r="C499" i="27"/>
  <c r="C500" i="27" s="1"/>
  <c r="AC499" i="27"/>
  <c r="AC500" i="27" s="1"/>
  <c r="P499" i="27"/>
  <c r="P500" i="27" s="1"/>
  <c r="D499" i="27"/>
  <c r="D500" i="27" s="1"/>
  <c r="AA499" i="27"/>
  <c r="AA500" i="27" s="1"/>
  <c r="N499" i="27"/>
  <c r="N500" i="27" s="1"/>
  <c r="Z499" i="27"/>
  <c r="Z500" i="27" s="1"/>
  <c r="M499" i="27"/>
  <c r="M500" i="27" s="1"/>
  <c r="AH499" i="27"/>
  <c r="AH500" i="27" s="1"/>
  <c r="AI499" i="27"/>
  <c r="AI500" i="27" s="1"/>
  <c r="AE499" i="27"/>
  <c r="AE500" i="27" s="1"/>
  <c r="W499" i="27"/>
  <c r="W500" i="27" s="1"/>
  <c r="J499" i="27"/>
  <c r="J500" i="27" s="1"/>
  <c r="AG499" i="27"/>
  <c r="AG500" i="27" s="1"/>
  <c r="I499" i="27"/>
  <c r="I500" i="27" s="1"/>
  <c r="T499" i="27"/>
  <c r="T500" i="27" s="1"/>
  <c r="H499" i="27"/>
  <c r="H500" i="27" s="1"/>
  <c r="AD499" i="27"/>
  <c r="AD500" i="27" s="1"/>
  <c r="Q499" i="27"/>
  <c r="Q500" i="27" s="1"/>
  <c r="E499" i="27"/>
  <c r="E500" i="27" s="1"/>
  <c r="AJ499" i="27"/>
  <c r="AJ500" i="27" s="1"/>
  <c r="AB499" i="27"/>
  <c r="AB500" i="27" s="1"/>
  <c r="O499" i="27"/>
  <c r="O500" i="27" s="1"/>
  <c r="AB445" i="27"/>
  <c r="P445" i="27"/>
  <c r="D445" i="27"/>
  <c r="AF445" i="27"/>
  <c r="AD445" i="27"/>
  <c r="R445" i="27"/>
  <c r="F445" i="27"/>
  <c r="AC445" i="27"/>
  <c r="Q445" i="27"/>
  <c r="E445" i="27"/>
  <c r="AA445" i="27"/>
  <c r="I445" i="27"/>
  <c r="AI435" i="27"/>
  <c r="J445" i="27"/>
  <c r="O445" i="27"/>
  <c r="Z445" i="27"/>
  <c r="N445" i="27"/>
  <c r="AJ445" i="27"/>
  <c r="Y445" i="27"/>
  <c r="M445" i="27"/>
  <c r="AG445" i="27"/>
  <c r="X445" i="27"/>
  <c r="L445" i="27"/>
  <c r="W445" i="27"/>
  <c r="K445" i="27"/>
  <c r="AH445" i="27"/>
  <c r="C445" i="27"/>
  <c r="T445" i="27"/>
  <c r="H445" i="27"/>
  <c r="AI445" i="27"/>
  <c r="AE445" i="27"/>
  <c r="S445" i="27"/>
  <c r="G445" i="27"/>
  <c r="AE435" i="27"/>
  <c r="AD435" i="27"/>
  <c r="AF435" i="27"/>
  <c r="AG435" i="27"/>
  <c r="AC435" i="27"/>
  <c r="AH435" i="27"/>
  <c r="AB435" i="27"/>
  <c r="AA435" i="27"/>
  <c r="AJ435" i="27"/>
  <c r="C435" i="27"/>
  <c r="AC418" i="27"/>
  <c r="E418" i="27"/>
  <c r="AH418" i="27"/>
  <c r="M418" i="27"/>
  <c r="X418" i="27"/>
  <c r="W418" i="27"/>
  <c r="K418" i="27"/>
  <c r="Q418" i="27"/>
  <c r="Y418" i="27"/>
  <c r="L418" i="27"/>
  <c r="C418" i="27"/>
  <c r="V418" i="27"/>
  <c r="J418" i="27"/>
  <c r="AF418" i="27"/>
  <c r="AD418" i="27"/>
  <c r="R418" i="27"/>
  <c r="F418" i="27"/>
  <c r="AB418" i="27"/>
  <c r="P418" i="27"/>
  <c r="D418" i="27"/>
  <c r="AA418" i="27"/>
  <c r="O418" i="27"/>
  <c r="Z418" i="27"/>
  <c r="N418" i="27"/>
  <c r="AI418" i="27"/>
  <c r="U418" i="27"/>
  <c r="I418" i="27"/>
  <c r="T418" i="27"/>
  <c r="H418" i="27"/>
  <c r="AJ418" i="27"/>
  <c r="AE418" i="27"/>
  <c r="S418" i="27"/>
  <c r="G418" i="27"/>
  <c r="AG418" i="27"/>
  <c r="X315" i="27"/>
  <c r="AJ315" i="27"/>
  <c r="W315" i="27"/>
  <c r="AG315" i="27"/>
  <c r="AD315" i="27"/>
  <c r="AC315" i="27"/>
  <c r="AB315" i="27"/>
  <c r="AA315" i="27"/>
  <c r="Z315" i="27"/>
  <c r="Y315" i="27"/>
  <c r="AH315" i="27"/>
  <c r="AF315" i="27"/>
  <c r="AE315" i="27"/>
  <c r="AI315" i="27"/>
  <c r="T269" i="27"/>
  <c r="V306" i="27"/>
  <c r="AB527" i="27"/>
  <c r="H269" i="27"/>
  <c r="L264" i="27"/>
  <c r="Y269" i="27"/>
  <c r="AI275" i="27"/>
  <c r="Y262" i="27"/>
  <c r="U451" i="27"/>
  <c r="I451" i="27"/>
  <c r="AB261" i="27"/>
  <c r="AB278" i="27"/>
  <c r="K294" i="27"/>
  <c r="AH277" i="27"/>
  <c r="N268" i="27"/>
  <c r="T264" i="27"/>
  <c r="G313" i="27"/>
  <c r="V451" i="27"/>
  <c r="K315" i="27"/>
  <c r="U144" i="27"/>
  <c r="J451" i="27"/>
  <c r="C529" i="27"/>
  <c r="M267" i="27"/>
  <c r="H296" i="27"/>
  <c r="C527" i="27"/>
  <c r="AD266" i="27"/>
  <c r="U263" i="27"/>
  <c r="Z263" i="27"/>
  <c r="W261" i="27"/>
  <c r="AI527" i="27"/>
  <c r="AD267" i="27"/>
  <c r="Q451" i="27"/>
  <c r="AC267" i="27"/>
  <c r="W262" i="27"/>
  <c r="AB264" i="27"/>
  <c r="X261" i="27"/>
  <c r="V261" i="27"/>
  <c r="AH529" i="27"/>
  <c r="AC266" i="27"/>
  <c r="S283" i="27"/>
  <c r="U275" i="27"/>
  <c r="I276" i="27"/>
  <c r="AB262" i="27"/>
  <c r="AF529" i="27"/>
  <c r="U276" i="27"/>
  <c r="I275" i="27"/>
  <c r="J275" i="27"/>
  <c r="H264" i="27"/>
  <c r="M268" i="27"/>
  <c r="Y450" i="27"/>
  <c r="P451" i="27"/>
  <c r="H450" i="27"/>
  <c r="P278" i="27"/>
  <c r="I281" i="27"/>
  <c r="L267" i="27"/>
  <c r="U280" i="27"/>
  <c r="U281" i="27"/>
  <c r="AC452" i="27"/>
  <c r="AE529" i="27"/>
  <c r="I283" i="27"/>
  <c r="U297" i="27"/>
  <c r="U450" i="27"/>
  <c r="I450" i="27"/>
  <c r="AD262" i="27"/>
  <c r="Z266" i="27"/>
  <c r="L266" i="27"/>
  <c r="X277" i="27"/>
  <c r="D277" i="27"/>
  <c r="AG451" i="27"/>
  <c r="P527" i="27"/>
  <c r="D527" i="27"/>
  <c r="G450" i="27"/>
  <c r="M276" i="27"/>
  <c r="AD263" i="27"/>
  <c r="M283" i="27"/>
  <c r="Q277" i="27"/>
  <c r="Y280" i="27"/>
  <c r="R275" i="27"/>
  <c r="AI280" i="27"/>
  <c r="O261" i="27"/>
  <c r="Y278" i="27"/>
  <c r="Y275" i="27"/>
  <c r="O264" i="27"/>
  <c r="AI281" i="27"/>
  <c r="U313" i="27"/>
  <c r="I144" i="27"/>
  <c r="Y281" i="27"/>
  <c r="AF527" i="27"/>
  <c r="I527" i="27"/>
  <c r="AA268" i="27"/>
  <c r="T527" i="27"/>
  <c r="H527" i="27"/>
  <c r="N267" i="27"/>
  <c r="W283" i="27"/>
  <c r="AF264" i="27"/>
  <c r="N263" i="27"/>
  <c r="AI276" i="27"/>
  <c r="H262" i="27"/>
  <c r="P294" i="27"/>
  <c r="AH269" i="27"/>
  <c r="AJ267" i="27"/>
  <c r="U528" i="27"/>
  <c r="Q276" i="27"/>
  <c r="L278" i="27"/>
  <c r="N281" i="27"/>
  <c r="T277" i="27"/>
  <c r="Z280" i="27"/>
  <c r="X292" i="27"/>
  <c r="U307" i="27"/>
  <c r="AA266" i="27"/>
  <c r="H277" i="27"/>
  <c r="V281" i="27"/>
  <c r="Z267" i="27"/>
  <c r="Q275" i="27"/>
  <c r="AC278" i="27"/>
  <c r="E314" i="27"/>
  <c r="P261" i="27"/>
  <c r="V280" i="27"/>
  <c r="C267" i="27"/>
  <c r="Q280" i="27"/>
  <c r="AA276" i="27"/>
  <c r="T262" i="27"/>
  <c r="L527" i="27"/>
  <c r="V276" i="27"/>
  <c r="AG263" i="27"/>
  <c r="Y276" i="27"/>
  <c r="M264" i="27"/>
  <c r="AJ268" i="27"/>
  <c r="AE263" i="27"/>
  <c r="N294" i="27"/>
  <c r="R314" i="27"/>
  <c r="N280" i="27"/>
  <c r="Q283" i="27"/>
  <c r="K308" i="27"/>
  <c r="K527" i="27"/>
  <c r="AF261" i="27"/>
  <c r="V283" i="27"/>
  <c r="L289" i="27"/>
  <c r="S67" i="59"/>
  <c r="AD67" i="59"/>
  <c r="AB67" i="59"/>
  <c r="AA67" i="59"/>
  <c r="O67" i="59"/>
  <c r="AG67" i="59"/>
  <c r="R49" i="59"/>
  <c r="H11" i="49"/>
  <c r="AI67" i="59"/>
  <c r="R41" i="59" s="1"/>
  <c r="I65" i="54"/>
  <c r="I68" i="54" s="1"/>
  <c r="J83" i="47"/>
  <c r="J82" i="47" s="1"/>
  <c r="U81" i="54"/>
  <c r="Q81" i="54"/>
  <c r="B102" i="31"/>
  <c r="B75" i="31" s="1"/>
  <c r="W308" i="27"/>
  <c r="U293" i="27"/>
  <c r="H293" i="27"/>
  <c r="X290" i="27"/>
  <c r="AA283" i="27"/>
  <c r="AA308" i="27"/>
  <c r="D281" i="27"/>
  <c r="O275" i="27"/>
  <c r="AA262" i="27"/>
  <c r="AA280" i="27"/>
  <c r="V294" i="27"/>
  <c r="W268" i="27"/>
  <c r="O280" i="27"/>
  <c r="U277" i="27"/>
  <c r="AI452" i="27"/>
  <c r="AF452" i="27"/>
  <c r="AE527" i="27"/>
  <c r="AB275" i="27"/>
  <c r="F263" i="27"/>
  <c r="AF308" i="27"/>
  <c r="F295" i="27"/>
  <c r="S527" i="27"/>
  <c r="G527" i="27"/>
  <c r="E264" i="27"/>
  <c r="AD269" i="27"/>
  <c r="X452" i="27"/>
  <c r="D451" i="27"/>
  <c r="Z291" i="27"/>
  <c r="AB308" i="27"/>
  <c r="AB299" i="27"/>
  <c r="E452" i="27"/>
  <c r="G266" i="27"/>
  <c r="F261" i="27"/>
  <c r="Y452" i="27"/>
  <c r="E451" i="27"/>
  <c r="Q262" i="27"/>
  <c r="J313" i="27"/>
  <c r="AB451" i="27"/>
  <c r="Q314" i="27"/>
  <c r="AH528" i="27"/>
  <c r="AA261" i="27"/>
  <c r="I294" i="27"/>
  <c r="M315" i="27"/>
  <c r="M313" i="27"/>
  <c r="D308" i="27"/>
  <c r="I528" i="27"/>
  <c r="F262" i="27"/>
  <c r="P262" i="27"/>
  <c r="P275" i="27"/>
  <c r="M293" i="27"/>
  <c r="AH261" i="27"/>
  <c r="O262" i="27"/>
  <c r="Q261" i="27"/>
  <c r="E261" i="27"/>
  <c r="AD308" i="27"/>
  <c r="G264" i="27"/>
  <c r="G428" i="27"/>
  <c r="S276" i="27"/>
  <c r="M278" i="27"/>
  <c r="D289" i="27"/>
  <c r="K291" i="27"/>
  <c r="Y308" i="27"/>
  <c r="J308" i="27"/>
  <c r="AJ264" i="27"/>
  <c r="AG261" i="27"/>
  <c r="W266" i="27"/>
  <c r="I289" i="27"/>
  <c r="U306" i="27"/>
  <c r="AH451" i="27"/>
  <c r="Z434" i="27"/>
  <c r="H452" i="27"/>
  <c r="X451" i="27"/>
  <c r="P450" i="27"/>
  <c r="D450" i="27"/>
  <c r="AG452" i="27"/>
  <c r="E280" i="27"/>
  <c r="F281" i="27"/>
  <c r="AD280" i="27"/>
  <c r="Q267" i="27"/>
  <c r="M262" i="27"/>
  <c r="X289" i="27"/>
  <c r="R295" i="27"/>
  <c r="E268" i="27"/>
  <c r="AH450" i="27"/>
  <c r="AJ261" i="27"/>
  <c r="H313" i="27"/>
  <c r="N433" i="27"/>
  <c r="U430" i="27"/>
  <c r="E281" i="27"/>
  <c r="AC280" i="27"/>
  <c r="F275" i="27"/>
  <c r="AD281" i="27"/>
  <c r="M261" i="27"/>
  <c r="U289" i="27"/>
  <c r="Y295" i="27"/>
  <c r="H289" i="27"/>
  <c r="I313" i="27"/>
  <c r="L315" i="27"/>
  <c r="X528" i="27"/>
  <c r="C278" i="27"/>
  <c r="E275" i="27"/>
  <c r="AC281" i="27"/>
  <c r="AE267" i="27"/>
  <c r="F280" i="27"/>
  <c r="AD275" i="27"/>
  <c r="P263" i="27"/>
  <c r="Q266" i="27"/>
  <c r="M289" i="27"/>
  <c r="H314" i="27"/>
  <c r="D262" i="27"/>
  <c r="D434" i="27"/>
  <c r="Q427" i="27"/>
  <c r="P528" i="27"/>
  <c r="E276" i="27"/>
  <c r="AC275" i="27"/>
  <c r="F276" i="27"/>
  <c r="AD276" i="27"/>
  <c r="J262" i="27"/>
  <c r="R276" i="27"/>
  <c r="Y290" i="27"/>
  <c r="T289" i="27"/>
  <c r="C268" i="27"/>
  <c r="V297" i="27"/>
  <c r="S264" i="27"/>
  <c r="K264" i="27"/>
  <c r="AF269" i="27"/>
  <c r="P452" i="27"/>
  <c r="X450" i="27"/>
  <c r="AC276" i="27"/>
  <c r="AG262" i="27"/>
  <c r="R283" i="27"/>
  <c r="S294" i="27"/>
  <c r="O289" i="27"/>
  <c r="U305" i="27"/>
  <c r="X269" i="27"/>
  <c r="AI263" i="27"/>
  <c r="S314" i="27"/>
  <c r="O452" i="27"/>
  <c r="G451" i="27"/>
  <c r="V263" i="27"/>
  <c r="R280" i="27"/>
  <c r="Z289" i="27"/>
  <c r="AJ281" i="27"/>
  <c r="H315" i="27"/>
  <c r="V307" i="27"/>
  <c r="Q452" i="27"/>
  <c r="N452" i="27"/>
  <c r="J528" i="27"/>
  <c r="R289" i="27"/>
  <c r="D298" i="27"/>
  <c r="Z294" i="27"/>
  <c r="I264" i="27"/>
  <c r="D269" i="27"/>
  <c r="AJ269" i="27"/>
  <c r="K283" i="27"/>
  <c r="X280" i="27"/>
  <c r="AH308" i="27"/>
  <c r="AH264" i="27"/>
  <c r="AH263" i="27"/>
  <c r="I430" i="27"/>
  <c r="M430" i="27"/>
  <c r="K276" i="27"/>
  <c r="X281" i="27"/>
  <c r="D296" i="27"/>
  <c r="P296" i="27"/>
  <c r="J296" i="27"/>
  <c r="T296" i="27"/>
  <c r="E296" i="27"/>
  <c r="K296" i="27"/>
  <c r="L308" i="27"/>
  <c r="AG277" i="27"/>
  <c r="AG278" i="27"/>
  <c r="R268" i="27"/>
  <c r="R267" i="27"/>
  <c r="AG276" i="27"/>
  <c r="AG275" i="27"/>
  <c r="AG280" i="27"/>
  <c r="AG281" i="27"/>
  <c r="AG283" i="27"/>
  <c r="C528" i="27"/>
  <c r="R262" i="27"/>
  <c r="S269" i="27"/>
  <c r="S261" i="27"/>
  <c r="J269" i="27"/>
  <c r="AE268" i="27"/>
  <c r="X267" i="27"/>
  <c r="X266" i="27"/>
  <c r="C315" i="27"/>
  <c r="C314" i="27"/>
  <c r="AD299" i="27"/>
  <c r="AE278" i="27"/>
  <c r="AE277" i="27"/>
  <c r="S278" i="27"/>
  <c r="S277" i="27"/>
  <c r="G278" i="27"/>
  <c r="G277" i="27"/>
  <c r="L275" i="27"/>
  <c r="L281" i="27"/>
  <c r="L276" i="27"/>
  <c r="Z261" i="27"/>
  <c r="Z262" i="27"/>
  <c r="C450" i="27"/>
  <c r="C313" i="27"/>
  <c r="L283" i="27"/>
  <c r="AC299" i="27"/>
  <c r="AD278" i="27"/>
  <c r="AD277" i="27"/>
  <c r="F277" i="27"/>
  <c r="F278" i="27"/>
  <c r="W275" i="27"/>
  <c r="W281" i="27"/>
  <c r="K275" i="27"/>
  <c r="K281" i="27"/>
  <c r="AA264" i="27"/>
  <c r="AA263" i="27"/>
  <c r="T450" i="27"/>
  <c r="T452" i="27"/>
  <c r="R277" i="27"/>
  <c r="X276" i="27"/>
  <c r="C308" i="27"/>
  <c r="AE299" i="27"/>
  <c r="K451" i="27"/>
  <c r="K313" i="27"/>
  <c r="X283" i="27"/>
  <c r="H298" i="27"/>
  <c r="Z308" i="27"/>
  <c r="K450" i="27"/>
  <c r="Y266" i="27"/>
  <c r="Y267" i="27"/>
  <c r="Y268" i="27"/>
  <c r="K266" i="27"/>
  <c r="K267" i="27"/>
  <c r="X293" i="27"/>
  <c r="G293" i="27"/>
  <c r="J293" i="27"/>
  <c r="P293" i="27"/>
  <c r="R293" i="27"/>
  <c r="C283" i="27"/>
  <c r="C281" i="27"/>
  <c r="C276" i="27"/>
  <c r="C280" i="27"/>
  <c r="C275" i="27"/>
  <c r="R308" i="27"/>
  <c r="AF267" i="27"/>
  <c r="AF266" i="27"/>
  <c r="AE451" i="27"/>
  <c r="W276" i="27"/>
  <c r="V293" i="27"/>
  <c r="D263" i="27"/>
  <c r="Z269" i="27"/>
  <c r="R269" i="27"/>
  <c r="AJ275" i="27"/>
  <c r="AJ276" i="27"/>
  <c r="AJ283" i="27"/>
  <c r="F429" i="27"/>
  <c r="H429" i="27"/>
  <c r="K278" i="27"/>
  <c r="G308" i="27"/>
  <c r="Q308" i="27"/>
  <c r="Q295" i="27"/>
  <c r="L295" i="27"/>
  <c r="T295" i="27"/>
  <c r="H281" i="27"/>
  <c r="H283" i="27"/>
  <c r="H276" i="27"/>
  <c r="V443" i="27"/>
  <c r="AA451" i="27"/>
  <c r="AA313" i="27"/>
  <c r="AF451" i="27"/>
  <c r="U434" i="27"/>
  <c r="W452" i="27"/>
  <c r="K452" i="27"/>
  <c r="O451" i="27"/>
  <c r="AG313" i="27"/>
  <c r="E528" i="27"/>
  <c r="AB283" i="27"/>
  <c r="AA281" i="27"/>
  <c r="F289" i="27"/>
  <c r="Y297" i="27"/>
  <c r="I295" i="27"/>
  <c r="F308" i="27"/>
  <c r="P308" i="27"/>
  <c r="I308" i="27"/>
  <c r="F292" i="27"/>
  <c r="Z277" i="27"/>
  <c r="Z278" i="27"/>
  <c r="S275" i="27"/>
  <c r="S281" i="27"/>
  <c r="Y264" i="27"/>
  <c r="Q264" i="27"/>
  <c r="AI277" i="27"/>
  <c r="AI308" i="27"/>
  <c r="R451" i="27"/>
  <c r="Z452" i="27"/>
  <c r="T434" i="27"/>
  <c r="AB280" i="27"/>
  <c r="V278" i="27"/>
  <c r="Z295" i="27"/>
  <c r="G291" i="27"/>
  <c r="O291" i="27"/>
  <c r="N308" i="27"/>
  <c r="G269" i="27"/>
  <c r="G262" i="27"/>
  <c r="G261" i="27"/>
  <c r="AG308" i="27"/>
  <c r="AH267" i="27"/>
  <c r="I434" i="27"/>
  <c r="W427" i="27"/>
  <c r="V444" i="27"/>
  <c r="AB528" i="27"/>
  <c r="Q528" i="27"/>
  <c r="AB281" i="27"/>
  <c r="N295" i="27"/>
  <c r="C269" i="27"/>
  <c r="C261" i="27"/>
  <c r="H308" i="27"/>
  <c r="X264" i="27"/>
  <c r="X263" i="27"/>
  <c r="AE262" i="27"/>
  <c r="AE261" i="27"/>
  <c r="F268" i="27"/>
  <c r="AG268" i="27"/>
  <c r="AG267" i="27"/>
  <c r="AH268" i="27"/>
  <c r="W277" i="27"/>
  <c r="F267" i="27"/>
  <c r="T308" i="27"/>
  <c r="K289" i="27"/>
  <c r="Q289" i="27"/>
  <c r="S289" i="27"/>
  <c r="Y289" i="27"/>
  <c r="I278" i="27"/>
  <c r="I277" i="27"/>
  <c r="Z275" i="27"/>
  <c r="Z283" i="27"/>
  <c r="Z276" i="27"/>
  <c r="N276" i="27"/>
  <c r="N275" i="27"/>
  <c r="AC269" i="27"/>
  <c r="AC261" i="27"/>
  <c r="S266" i="27"/>
  <c r="S267" i="27"/>
  <c r="O144" i="27"/>
  <c r="O450" i="27"/>
  <c r="AG529" i="27"/>
  <c r="Q290" i="27"/>
  <c r="G290" i="27"/>
  <c r="W290" i="27"/>
  <c r="P283" i="27"/>
  <c r="P281" i="27"/>
  <c r="D283" i="27"/>
  <c r="D275" i="27"/>
  <c r="N261" i="27"/>
  <c r="N269" i="27"/>
  <c r="T268" i="27"/>
  <c r="T267" i="27"/>
  <c r="N313" i="27"/>
  <c r="N450" i="27"/>
  <c r="S434" i="27"/>
  <c r="T433" i="27"/>
  <c r="T266" i="27"/>
  <c r="P276" i="27"/>
  <c r="X308" i="27"/>
  <c r="J278" i="27"/>
  <c r="J277" i="27"/>
  <c r="O283" i="27"/>
  <c r="O276" i="27"/>
  <c r="H451" i="27"/>
  <c r="Z450" i="27"/>
  <c r="V144" i="27"/>
  <c r="V450" i="27"/>
  <c r="T432" i="27"/>
  <c r="S432" i="27"/>
  <c r="H432" i="27"/>
  <c r="D144" i="27"/>
  <c r="D452" i="27"/>
  <c r="E267" i="27"/>
  <c r="D280" i="27"/>
  <c r="G267" i="27"/>
  <c r="R263" i="27"/>
  <c r="N289" i="27"/>
  <c r="S308" i="27"/>
  <c r="E308" i="27"/>
  <c r="AF278" i="27"/>
  <c r="AF277" i="27"/>
  <c r="M275" i="27"/>
  <c r="M281" i="27"/>
  <c r="L269" i="27"/>
  <c r="L261" i="27"/>
  <c r="L262" i="27"/>
  <c r="AH313" i="27"/>
  <c r="U496" i="27"/>
  <c r="U527" i="27" s="1"/>
  <c r="Y313" i="27"/>
  <c r="P314" i="27"/>
  <c r="V452" i="27"/>
  <c r="J452" i="27"/>
  <c r="AC528" i="27"/>
  <c r="U442" i="27"/>
  <c r="X313" i="27"/>
  <c r="U452" i="27"/>
  <c r="I452" i="27"/>
  <c r="Y451" i="27"/>
  <c r="M451" i="27"/>
  <c r="Q450" i="27"/>
  <c r="E450" i="27"/>
  <c r="Q527" i="27"/>
  <c r="N297" i="27"/>
  <c r="AE308" i="27"/>
  <c r="O308" i="27"/>
  <c r="AH527" i="27"/>
  <c r="AI450" i="27"/>
  <c r="C452" i="27"/>
  <c r="U431" i="27"/>
  <c r="D528" i="27"/>
  <c r="X294" i="27"/>
  <c r="P289" i="27"/>
  <c r="C451" i="27"/>
  <c r="AG527" i="27"/>
  <c r="E277" i="27"/>
  <c r="AJ528" i="27"/>
  <c r="V426" i="27"/>
  <c r="R426" i="27"/>
  <c r="P426" i="27"/>
  <c r="Z426" i="27"/>
  <c r="X426" i="27"/>
  <c r="K426" i="27"/>
  <c r="I426" i="27"/>
  <c r="S426" i="27"/>
  <c r="Q426" i="27"/>
  <c r="U426" i="27"/>
  <c r="F426" i="27"/>
  <c r="D426" i="27"/>
  <c r="T426" i="27"/>
  <c r="E426" i="27"/>
  <c r="H426" i="27"/>
  <c r="L426" i="27"/>
  <c r="R425" i="27"/>
  <c r="L425" i="27"/>
  <c r="G425" i="27"/>
  <c r="O425" i="27"/>
  <c r="Y425" i="27"/>
  <c r="E425" i="27"/>
  <c r="I425" i="27"/>
  <c r="G315" i="27"/>
  <c r="G314" i="27"/>
  <c r="F315" i="27"/>
  <c r="F314" i="27"/>
  <c r="M428" i="27"/>
  <c r="O432" i="27"/>
  <c r="F431" i="27"/>
  <c r="F428" i="27"/>
  <c r="U428" i="27"/>
  <c r="N428" i="27"/>
  <c r="T428" i="27"/>
  <c r="K428" i="27"/>
  <c r="O428" i="27"/>
  <c r="W428" i="27"/>
  <c r="H428" i="27"/>
  <c r="K425" i="27"/>
  <c r="S528" i="27"/>
  <c r="Z298" i="27"/>
  <c r="N292" i="27"/>
  <c r="I428" i="27"/>
  <c r="G432" i="27"/>
  <c r="M427" i="27"/>
  <c r="R528" i="27"/>
  <c r="Q298" i="27"/>
  <c r="J264" i="27"/>
  <c r="J263" i="27"/>
  <c r="AH275" i="27"/>
  <c r="AH283" i="27"/>
  <c r="AH281" i="27"/>
  <c r="AH276" i="27"/>
  <c r="AI299" i="27"/>
  <c r="AI266" i="27"/>
  <c r="Q431" i="27"/>
  <c r="G431" i="27"/>
  <c r="O431" i="27"/>
  <c r="W431" i="27"/>
  <c r="H431" i="27"/>
  <c r="K431" i="27"/>
  <c r="O426" i="27"/>
  <c r="D431" i="27"/>
  <c r="J430" i="27"/>
  <c r="Z430" i="27"/>
  <c r="O430" i="27"/>
  <c r="S430" i="27"/>
  <c r="L430" i="27"/>
  <c r="C263" i="27"/>
  <c r="C264" i="27"/>
  <c r="W292" i="27"/>
  <c r="P292" i="27"/>
  <c r="I292" i="27"/>
  <c r="Q292" i="27"/>
  <c r="AB452" i="27"/>
  <c r="F452" i="27"/>
  <c r="F313" i="27"/>
  <c r="AE313" i="27"/>
  <c r="AE450" i="27"/>
  <c r="R428" i="27"/>
  <c r="J431" i="27"/>
  <c r="I298" i="27"/>
  <c r="G292" i="27"/>
  <c r="T290" i="27"/>
  <c r="O290" i="27"/>
  <c r="E290" i="27"/>
  <c r="I290" i="27"/>
  <c r="M290" i="27"/>
  <c r="J290" i="27"/>
  <c r="U290" i="27"/>
  <c r="R290" i="27"/>
  <c r="H290" i="27"/>
  <c r="Z290" i="27"/>
  <c r="K290" i="27"/>
  <c r="L290" i="27"/>
  <c r="S290" i="27"/>
  <c r="P290" i="27"/>
  <c r="F290" i="27"/>
  <c r="N290" i="27"/>
  <c r="V290" i="27"/>
  <c r="J428" i="27"/>
  <c r="V431" i="27"/>
  <c r="T528" i="27"/>
  <c r="D290" i="27"/>
  <c r="X298" i="27"/>
  <c r="V292" i="27"/>
  <c r="M297" i="27"/>
  <c r="G297" i="27"/>
  <c r="R297" i="27"/>
  <c r="O297" i="27"/>
  <c r="H297" i="27"/>
  <c r="J297" i="27"/>
  <c r="P297" i="27"/>
  <c r="Z297" i="27"/>
  <c r="X297" i="27"/>
  <c r="L297" i="27"/>
  <c r="F297" i="27"/>
  <c r="D297" i="27"/>
  <c r="I297" i="27"/>
  <c r="K297" i="27"/>
  <c r="Q297" i="27"/>
  <c r="S297" i="27"/>
  <c r="T297" i="27"/>
  <c r="W297" i="27"/>
  <c r="E297" i="27"/>
  <c r="R452" i="27"/>
  <c r="M434" i="27"/>
  <c r="G434" i="27"/>
  <c r="Y434" i="27"/>
  <c r="J434" i="27"/>
  <c r="F434" i="27"/>
  <c r="R434" i="27"/>
  <c r="N434" i="27"/>
  <c r="S450" i="27"/>
  <c r="Z313" i="27"/>
  <c r="N144" i="27"/>
  <c r="S428" i="27"/>
  <c r="Q434" i="27"/>
  <c r="S427" i="27"/>
  <c r="T431" i="27"/>
  <c r="H433" i="27"/>
  <c r="C299" i="27"/>
  <c r="T292" i="27"/>
  <c r="W264" i="27"/>
  <c r="W263" i="27"/>
  <c r="AH299" i="27"/>
  <c r="AI267" i="27"/>
  <c r="T144" i="27"/>
  <c r="P428" i="27"/>
  <c r="X434" i="27"/>
  <c r="L431" i="27"/>
  <c r="L452" i="27"/>
  <c r="Z429" i="27"/>
  <c r="V429" i="27"/>
  <c r="Y292" i="27"/>
  <c r="AA278" i="27"/>
  <c r="AA277" i="27"/>
  <c r="O277" i="27"/>
  <c r="O278" i="27"/>
  <c r="AF280" i="27"/>
  <c r="AF283" i="27"/>
  <c r="AF276" i="27"/>
  <c r="AF281" i="27"/>
  <c r="T275" i="27"/>
  <c r="T280" i="27"/>
  <c r="T283" i="27"/>
  <c r="T276" i="27"/>
  <c r="T281" i="27"/>
  <c r="H280" i="27"/>
  <c r="H275" i="27"/>
  <c r="AC263" i="27"/>
  <c r="D268" i="27"/>
  <c r="D267" i="27"/>
  <c r="D266" i="27"/>
  <c r="N277" i="27"/>
  <c r="N278" i="27"/>
  <c r="AE280" i="27"/>
  <c r="AE283" i="27"/>
  <c r="AE276" i="27"/>
  <c r="AE275" i="27"/>
  <c r="AE281" i="27"/>
  <c r="G280" i="27"/>
  <c r="G283" i="27"/>
  <c r="G276" i="27"/>
  <c r="G275" i="27"/>
  <c r="G281" i="27"/>
  <c r="J268" i="27"/>
  <c r="J267" i="27"/>
  <c r="J266" i="27"/>
  <c r="AG299" i="27"/>
  <c r="L313" i="27"/>
  <c r="L450" i="27"/>
  <c r="S431" i="27"/>
  <c r="L451" i="27"/>
  <c r="AB450" i="27"/>
  <c r="V496" i="27"/>
  <c r="V527" i="27" s="1"/>
  <c r="Y430" i="27"/>
  <c r="Z431" i="27"/>
  <c r="F298" i="27"/>
  <c r="L298" i="27"/>
  <c r="G298" i="27"/>
  <c r="T298" i="27"/>
  <c r="O298" i="27"/>
  <c r="N298" i="27"/>
  <c r="W298" i="27"/>
  <c r="P298" i="27"/>
  <c r="J298" i="27"/>
  <c r="Y298" i="27"/>
  <c r="R298" i="27"/>
  <c r="K298" i="27"/>
  <c r="S298" i="27"/>
  <c r="E298" i="27"/>
  <c r="M298" i="27"/>
  <c r="U298" i="27"/>
  <c r="V298" i="27"/>
  <c r="R315" i="27"/>
  <c r="AD451" i="27"/>
  <c r="AD452" i="27"/>
  <c r="N430" i="27"/>
  <c r="T451" i="27"/>
  <c r="S313" i="27"/>
  <c r="U444" i="27"/>
  <c r="AC450" i="27"/>
  <c r="AC451" i="27"/>
  <c r="M450" i="27"/>
  <c r="M452" i="27"/>
  <c r="F430" i="27"/>
  <c r="O434" i="27"/>
  <c r="P429" i="27"/>
  <c r="Z451" i="27"/>
  <c r="N451" i="27"/>
  <c r="AD450" i="27"/>
  <c r="R450" i="27"/>
  <c r="F450" i="27"/>
  <c r="Y528" i="27"/>
  <c r="S291" i="27"/>
  <c r="H291" i="27"/>
  <c r="T291" i="27"/>
  <c r="D291" i="27"/>
  <c r="M291" i="27"/>
  <c r="U291" i="27"/>
  <c r="AF299" i="27"/>
  <c r="P268" i="27"/>
  <c r="P266" i="27"/>
  <c r="P267" i="27"/>
  <c r="O427" i="27"/>
  <c r="M433" i="27"/>
  <c r="AE452" i="27"/>
  <c r="S452" i="27"/>
  <c r="G452" i="27"/>
  <c r="W451" i="27"/>
  <c r="AA450" i="27"/>
  <c r="AA528" i="27"/>
  <c r="F528" i="27"/>
  <c r="S315" i="27"/>
  <c r="AF313" i="27"/>
  <c r="T313" i="27"/>
  <c r="U269" i="27"/>
  <c r="U262" i="27"/>
  <c r="V268" i="27"/>
  <c r="V266" i="27"/>
  <c r="I267" i="27"/>
  <c r="I266" i="27"/>
  <c r="G427" i="27"/>
  <c r="Z433" i="27"/>
  <c r="K434" i="27"/>
  <c r="Z528" i="27"/>
  <c r="L294" i="27"/>
  <c r="G294" i="27"/>
  <c r="T294" i="27"/>
  <c r="O294" i="27"/>
  <c r="E294" i="27"/>
  <c r="W294" i="27"/>
  <c r="M294" i="27"/>
  <c r="Y294" i="27"/>
  <c r="U294" i="27"/>
  <c r="J294" i="27"/>
  <c r="D294" i="27"/>
  <c r="R294" i="27"/>
  <c r="AB268" i="27"/>
  <c r="AB267" i="27"/>
  <c r="AB266" i="27"/>
  <c r="O267" i="27"/>
  <c r="O266" i="27"/>
  <c r="V313" i="27"/>
  <c r="J144" i="27"/>
  <c r="I427" i="27"/>
  <c r="R433" i="27"/>
  <c r="AF450" i="27"/>
  <c r="E262" i="27"/>
  <c r="F294" i="27"/>
  <c r="E293" i="27"/>
  <c r="Z293" i="27"/>
  <c r="N293" i="27"/>
  <c r="O293" i="27"/>
  <c r="I293" i="27"/>
  <c r="K293" i="27"/>
  <c r="Q293" i="27"/>
  <c r="S293" i="27"/>
  <c r="Y293" i="27"/>
  <c r="W293" i="27"/>
  <c r="F293" i="27"/>
  <c r="L293" i="27"/>
  <c r="T293" i="27"/>
  <c r="Q315" i="27"/>
  <c r="E315" i="27"/>
  <c r="AC308" i="27"/>
  <c r="U267" i="27"/>
  <c r="U266" i="27"/>
  <c r="H267" i="27"/>
  <c r="H266" i="27"/>
  <c r="AJ527" i="27"/>
  <c r="J433" i="27"/>
  <c r="N527" i="27"/>
  <c r="H294" i="27"/>
  <c r="Z292" i="27"/>
  <c r="D292" i="27"/>
  <c r="H292" i="27"/>
  <c r="K292" i="27"/>
  <c r="J292" i="27"/>
  <c r="E292" i="27"/>
  <c r="R292" i="27"/>
  <c r="L292" i="27"/>
  <c r="U292" i="27"/>
  <c r="S292" i="27"/>
  <c r="M292" i="27"/>
  <c r="P315" i="27"/>
  <c r="L314" i="27"/>
  <c r="AC313" i="27"/>
  <c r="Q313" i="27"/>
  <c r="E313" i="27"/>
  <c r="M308" i="27"/>
  <c r="O295" i="27"/>
  <c r="M295" i="27"/>
  <c r="H295" i="27"/>
  <c r="J295" i="27"/>
  <c r="P295" i="27"/>
  <c r="D295" i="27"/>
  <c r="S295" i="27"/>
  <c r="X527" i="27"/>
  <c r="M527" i="27"/>
  <c r="K314" i="27"/>
  <c r="AB313" i="27"/>
  <c r="P313" i="27"/>
  <c r="D313" i="27"/>
  <c r="M296" i="27"/>
  <c r="N296" i="27"/>
  <c r="Z296" i="27"/>
  <c r="W296" i="27"/>
  <c r="AA299" i="27"/>
  <c r="AJ308" i="27"/>
  <c r="AA452" i="27"/>
  <c r="S451" i="27"/>
  <c r="W450" i="27"/>
  <c r="U443" i="27"/>
  <c r="F451" i="27"/>
  <c r="J450" i="27"/>
  <c r="AG528" i="27"/>
  <c r="U261" i="27"/>
  <c r="Q294" i="27"/>
  <c r="D293" i="27"/>
  <c r="O292" i="27"/>
  <c r="S296" i="27"/>
  <c r="V295" i="27"/>
  <c r="W291" i="27"/>
  <c r="E291" i="27"/>
  <c r="P291" i="27"/>
  <c r="J291" i="27"/>
  <c r="X291" i="27"/>
  <c r="I291" i="27"/>
  <c r="Q291" i="27"/>
  <c r="F291" i="27"/>
  <c r="Y291" i="27"/>
  <c r="N291" i="27"/>
  <c r="R291" i="27"/>
  <c r="V291" i="27"/>
  <c r="L291" i="27"/>
  <c r="O313" i="27"/>
  <c r="AJ299" i="27"/>
  <c r="AF528" i="27"/>
  <c r="O528" i="27"/>
  <c r="AA527" i="27"/>
  <c r="I262" i="27"/>
  <c r="J276" i="27"/>
  <c r="L296" i="27"/>
  <c r="G296" i="27"/>
  <c r="R296" i="27"/>
  <c r="AE528" i="27"/>
  <c r="N528" i="27"/>
  <c r="J283" i="27"/>
  <c r="O296" i="27"/>
  <c r="Y296" i="27"/>
  <c r="J289" i="27"/>
  <c r="G289" i="27"/>
  <c r="AD528" i="27"/>
  <c r="W528" i="27"/>
  <c r="I261" i="27"/>
  <c r="K262" i="27"/>
  <c r="J280" i="27"/>
  <c r="V289" i="27"/>
  <c r="U296" i="27"/>
  <c r="Q296" i="27"/>
  <c r="W295" i="27"/>
  <c r="K295" i="27"/>
  <c r="X295" i="27"/>
  <c r="U295" i="27"/>
  <c r="AF268" i="27"/>
  <c r="V528" i="27"/>
  <c r="Y527" i="27"/>
  <c r="V296" i="27"/>
  <c r="I296" i="27"/>
  <c r="V269" i="27"/>
  <c r="AI262" i="27"/>
  <c r="AI269" i="27"/>
  <c r="AG450" i="27"/>
  <c r="K528" i="27"/>
  <c r="O527" i="27"/>
  <c r="K261" i="27"/>
  <c r="W289" i="27"/>
  <c r="E289" i="27"/>
  <c r="F296" i="27"/>
  <c r="X296" i="27"/>
  <c r="E295" i="27"/>
  <c r="G295" i="27"/>
  <c r="AI528" i="27"/>
  <c r="W313" i="27"/>
  <c r="AH452" i="27"/>
  <c r="AI313" i="27"/>
  <c r="AJ278" i="27"/>
  <c r="M314" i="27"/>
  <c r="AD313" i="27"/>
  <c r="AD316" i="27" s="1"/>
  <c r="R313" i="27"/>
  <c r="AI451" i="27"/>
  <c r="AJ529" i="27"/>
  <c r="H65" i="54"/>
  <c r="H68" i="54" s="1"/>
  <c r="AF65" i="54"/>
  <c r="AF68" i="54" s="1"/>
  <c r="AG65" i="54"/>
  <c r="AG68" i="54" s="1"/>
  <c r="L65" i="54"/>
  <c r="L68" i="54" s="1"/>
  <c r="X65" i="54"/>
  <c r="X68" i="54" s="1"/>
  <c r="E65" i="54"/>
  <c r="E68" i="54" s="1"/>
  <c r="F65" i="54"/>
  <c r="F68" i="54" s="1"/>
  <c r="S65" i="54"/>
  <c r="S68" i="54" s="1"/>
  <c r="S97" i="25"/>
  <c r="T97" i="25"/>
  <c r="V172" i="24"/>
  <c r="V119" i="49" s="1"/>
  <c r="AA172" i="24"/>
  <c r="AA119" i="49" s="1"/>
  <c r="O172" i="24"/>
  <c r="O119" i="49" s="1"/>
  <c r="K172" i="24"/>
  <c r="K119" i="49" s="1"/>
  <c r="AA99" i="25"/>
  <c r="AA97" i="25" s="1"/>
  <c r="AE186" i="24"/>
  <c r="AE49" i="54" s="1"/>
  <c r="AE185" i="24"/>
  <c r="X172" i="24"/>
  <c r="X119" i="49" s="1"/>
  <c r="AC172" i="24"/>
  <c r="AC119" i="49" s="1"/>
  <c r="P172" i="24"/>
  <c r="P119" i="49" s="1"/>
  <c r="F172" i="24"/>
  <c r="F119" i="49" s="1"/>
  <c r="Q172" i="24"/>
  <c r="Q119" i="49" s="1"/>
  <c r="AH172" i="24"/>
  <c r="AH119" i="49" s="1"/>
  <c r="S172" i="24"/>
  <c r="S119" i="49" s="1"/>
  <c r="AE172" i="24"/>
  <c r="AE119" i="49" s="1"/>
  <c r="AG172" i="24"/>
  <c r="AG119" i="49" s="1"/>
  <c r="AI184" i="24"/>
  <c r="AI186" i="24" s="1"/>
  <c r="M184" i="24"/>
  <c r="Y184" i="24"/>
  <c r="N184" i="24"/>
  <c r="O184" i="24"/>
  <c r="AB184" i="24"/>
  <c r="B184" i="24"/>
  <c r="C184" i="24"/>
  <c r="D184" i="24"/>
  <c r="E184" i="24"/>
  <c r="Q184" i="24"/>
  <c r="AC184" i="24"/>
  <c r="G184" i="24"/>
  <c r="U184" i="24"/>
  <c r="V184" i="24"/>
  <c r="K184" i="24"/>
  <c r="F184" i="24"/>
  <c r="R184" i="24"/>
  <c r="S184" i="24"/>
  <c r="H184" i="24"/>
  <c r="L184" i="24"/>
  <c r="X184" i="24"/>
  <c r="Z184" i="24"/>
  <c r="AA184" i="24"/>
  <c r="P184" i="24"/>
  <c r="T184" i="24"/>
  <c r="I184" i="24"/>
  <c r="J184" i="24"/>
  <c r="W184" i="24"/>
  <c r="T172" i="24"/>
  <c r="T119" i="49" s="1"/>
  <c r="W172" i="24"/>
  <c r="W119" i="49" s="1"/>
  <c r="L81" i="47"/>
  <c r="L79" i="47" s="1"/>
  <c r="AF75" i="47"/>
  <c r="AG65" i="47"/>
  <c r="K81" i="47"/>
  <c r="K79" i="47" s="1"/>
  <c r="F72" i="47"/>
  <c r="AD65" i="47"/>
  <c r="B81" i="47"/>
  <c r="B79" i="47" s="1"/>
  <c r="P64" i="47"/>
  <c r="Z75" i="47"/>
  <c r="J77" i="47"/>
  <c r="C77" i="47"/>
  <c r="V77" i="47"/>
  <c r="O77" i="47"/>
  <c r="D75" i="47"/>
  <c r="F77" i="47"/>
  <c r="S77" i="47"/>
  <c r="Y75" i="47"/>
  <c r="P77" i="47"/>
  <c r="M77" i="47"/>
  <c r="D77" i="47"/>
  <c r="AC77" i="47"/>
  <c r="T77" i="47"/>
  <c r="E77" i="47"/>
  <c r="AE77" i="47"/>
  <c r="F61" i="44"/>
  <c r="B75" i="47"/>
  <c r="AD77" i="47"/>
  <c r="AG75" i="47"/>
  <c r="AD75" i="47"/>
  <c r="V64" i="47"/>
  <c r="V34" i="32"/>
  <c r="P61" i="44"/>
  <c r="N75" i="47"/>
  <c r="AD33" i="32"/>
  <c r="X61" i="44"/>
  <c r="M73" i="47"/>
  <c r="E64" i="47"/>
  <c r="I64" i="47"/>
  <c r="M64" i="47"/>
  <c r="S64" i="47"/>
  <c r="AF61" i="44"/>
  <c r="L73" i="47"/>
  <c r="R34" i="32"/>
  <c r="Q61" i="44"/>
  <c r="AI61" i="44"/>
  <c r="S33" i="32"/>
  <c r="C64" i="47"/>
  <c r="AE61" i="44"/>
  <c r="Y64" i="47"/>
  <c r="W64" i="47"/>
  <c r="C213" i="44"/>
  <c r="C214" i="44" s="1"/>
  <c r="Q64" i="47"/>
  <c r="U64" i="47"/>
  <c r="O64" i="47"/>
  <c r="J64" i="47"/>
  <c r="AE64" i="47"/>
  <c r="D64" i="47"/>
  <c r="H64" i="47"/>
  <c r="AC64" i="47"/>
  <c r="L64" i="47"/>
  <c r="G64" i="47"/>
  <c r="V33" i="32"/>
  <c r="AC33" i="32"/>
  <c r="AA64" i="47"/>
  <c r="AF64" i="47"/>
  <c r="AG64" i="47"/>
  <c r="T64" i="47"/>
  <c r="B64" i="47"/>
  <c r="N64" i="47"/>
  <c r="X64" i="47"/>
  <c r="R64" i="47"/>
  <c r="F64" i="47"/>
  <c r="Q33" i="32"/>
  <c r="AE33" i="32"/>
  <c r="AI64" i="47"/>
  <c r="AH33" i="32"/>
  <c r="V61" i="47"/>
  <c r="J61" i="47"/>
  <c r="AH64" i="47"/>
  <c r="AB64" i="47"/>
  <c r="AD64" i="47"/>
  <c r="Z33" i="32"/>
  <c r="W33" i="32"/>
  <c r="I61" i="47"/>
  <c r="Q34" i="32"/>
  <c r="X34" i="32"/>
  <c r="Z65" i="47"/>
  <c r="C216" i="44"/>
  <c r="C217" i="44" s="1"/>
  <c r="Z61" i="47"/>
  <c r="X65" i="47"/>
  <c r="L65" i="47"/>
  <c r="U34" i="32"/>
  <c r="S34" i="32"/>
  <c r="Q61" i="47"/>
  <c r="W65" i="47"/>
  <c r="AB34" i="32"/>
  <c r="AG34" i="32"/>
  <c r="AC34" i="32"/>
  <c r="H77" i="47"/>
  <c r="V58" i="44"/>
  <c r="AB58" i="44"/>
  <c r="AC81" i="47"/>
  <c r="AC79" i="47" s="1"/>
  <c r="H81" i="47"/>
  <c r="H79" i="47" s="1"/>
  <c r="N77" i="47"/>
  <c r="AB33" i="32"/>
  <c r="AA81" i="47"/>
  <c r="AA79" i="47" s="1"/>
  <c r="AH77" i="47"/>
  <c r="AH61" i="47"/>
  <c r="U61" i="47"/>
  <c r="R75" i="47"/>
  <c r="AH75" i="47"/>
  <c r="Q75" i="47"/>
  <c r="F75" i="47"/>
  <c r="AC61" i="47"/>
  <c r="AG81" i="47"/>
  <c r="AG79" i="47" s="1"/>
  <c r="AA75" i="47"/>
  <c r="P75" i="47"/>
  <c r="E75" i="47"/>
  <c r="U81" i="47"/>
  <c r="U79" i="47" s="1"/>
  <c r="AD81" i="47"/>
  <c r="AD79" i="47" s="1"/>
  <c r="X77" i="47"/>
  <c r="J58" i="44"/>
  <c r="P58" i="44"/>
  <c r="P59" i="44" s="1"/>
  <c r="Q81" i="47"/>
  <c r="Q79" i="47" s="1"/>
  <c r="Z77" i="47"/>
  <c r="I75" i="47"/>
  <c r="L61" i="47"/>
  <c r="AH81" i="47"/>
  <c r="AH79" i="47" s="1"/>
  <c r="AB65" i="47"/>
  <c r="P65" i="47"/>
  <c r="D65" i="47"/>
  <c r="T58" i="44"/>
  <c r="H58" i="44"/>
  <c r="G81" i="47"/>
  <c r="G79" i="47" s="1"/>
  <c r="AI81" i="47"/>
  <c r="AI79" i="47" s="1"/>
  <c r="W69" i="47"/>
  <c r="O75" i="47"/>
  <c r="C75" i="47"/>
  <c r="N58" i="44"/>
  <c r="F58" i="44"/>
  <c r="F59" i="44" s="1"/>
  <c r="Z81" i="47"/>
  <c r="Z79" i="47" s="1"/>
  <c r="M81" i="47"/>
  <c r="M79" i="47" s="1"/>
  <c r="AC58" i="44"/>
  <c r="D58" i="44"/>
  <c r="AF58" i="44"/>
  <c r="D61" i="47"/>
  <c r="Y81" i="47"/>
  <c r="Y79" i="47" s="1"/>
  <c r="D81" i="47"/>
  <c r="D79" i="47" s="1"/>
  <c r="V81" i="47"/>
  <c r="V79" i="47" s="1"/>
  <c r="I81" i="47"/>
  <c r="I79" i="47" s="1"/>
  <c r="G77" i="47"/>
  <c r="AC75" i="47"/>
  <c r="Y58" i="44"/>
  <c r="AE58" i="44"/>
  <c r="K58" i="44"/>
  <c r="R81" i="47"/>
  <c r="R79" i="47" s="1"/>
  <c r="E81" i="47"/>
  <c r="E79" i="47" s="1"/>
  <c r="U77" i="47"/>
  <c r="C81" i="47"/>
  <c r="C79" i="47" s="1"/>
  <c r="AG58" i="44"/>
  <c r="W81" i="47"/>
  <c r="W79" i="47" s="1"/>
  <c r="U58" i="44"/>
  <c r="S58" i="44"/>
  <c r="AH58" i="44"/>
  <c r="AE75" i="47"/>
  <c r="C73" i="47"/>
  <c r="R58" i="44"/>
  <c r="X58" i="44"/>
  <c r="W58" i="44"/>
  <c r="O58" i="44"/>
  <c r="S81" i="47"/>
  <c r="S79" i="47" s="1"/>
  <c r="AI58" i="44"/>
  <c r="AA58" i="44"/>
  <c r="N81" i="47"/>
  <c r="N79" i="47" s="1"/>
  <c r="X81" i="47"/>
  <c r="X79" i="47" s="1"/>
  <c r="O81" i="47"/>
  <c r="O79" i="47" s="1"/>
  <c r="W77" i="47"/>
  <c r="I58" i="44"/>
  <c r="J81" i="47"/>
  <c r="J79" i="47" s="1"/>
  <c r="T81" i="47"/>
  <c r="T79" i="47" s="1"/>
  <c r="G58" i="44"/>
  <c r="M75" i="47"/>
  <c r="C58" i="44"/>
  <c r="AF77" i="47"/>
  <c r="AI33" i="32"/>
  <c r="AB81" i="47"/>
  <c r="AB79" i="47" s="1"/>
  <c r="Q58" i="44"/>
  <c r="AA77" i="47"/>
  <c r="AD58" i="44"/>
  <c r="E58" i="44"/>
  <c r="F81" i="47"/>
  <c r="F79" i="47" s="1"/>
  <c r="P81" i="47"/>
  <c r="P79" i="47" s="1"/>
  <c r="Y77" i="47"/>
  <c r="AG77" i="47"/>
  <c r="T75" i="47"/>
  <c r="AG33" i="32"/>
  <c r="AF61" i="47"/>
  <c r="R77" i="47"/>
  <c r="X75" i="47"/>
  <c r="X61" i="47"/>
  <c r="V65" i="47"/>
  <c r="J65" i="47"/>
  <c r="Q77" i="47"/>
  <c r="T65" i="47"/>
  <c r="H65" i="47"/>
  <c r="U75" i="47"/>
  <c r="AD72" i="47"/>
  <c r="C72" i="47"/>
  <c r="G65" i="47"/>
  <c r="T61" i="47"/>
  <c r="H61" i="47"/>
  <c r="B69" i="47"/>
  <c r="R65" i="47"/>
  <c r="F65" i="47"/>
  <c r="AF33" i="32"/>
  <c r="AC72" i="47"/>
  <c r="AB72" i="47"/>
  <c r="Z34" i="32"/>
  <c r="AE34" i="32"/>
  <c r="AH34" i="32"/>
  <c r="R73" i="47"/>
  <c r="J73" i="47"/>
  <c r="AF72" i="47"/>
  <c r="Y73" i="47"/>
  <c r="T72" i="47"/>
  <c r="Q69" i="47"/>
  <c r="I77" i="47"/>
  <c r="W73" i="47"/>
  <c r="E72" i="47"/>
  <c r="D72" i="47"/>
  <c r="K73" i="47"/>
  <c r="AF73" i="47"/>
  <c r="P72" i="47"/>
  <c r="AA72" i="47"/>
  <c r="O72" i="47"/>
  <c r="B72" i="47"/>
  <c r="L72" i="47"/>
  <c r="AB73" i="47"/>
  <c r="I72" i="47"/>
  <c r="Q72" i="47"/>
  <c r="R72" i="47"/>
  <c r="AD34" i="32"/>
  <c r="R61" i="47"/>
  <c r="F61" i="47"/>
  <c r="P73" i="47"/>
  <c r="X33" i="32"/>
  <c r="AA34" i="32"/>
  <c r="W34" i="32"/>
  <c r="J72" i="47"/>
  <c r="AB61" i="47"/>
  <c r="P61" i="47"/>
  <c r="AB75" i="47"/>
  <c r="W72" i="47"/>
  <c r="Y34" i="32"/>
  <c r="T34" i="32"/>
  <c r="L76" i="47"/>
  <c r="S76" i="47"/>
  <c r="V72" i="47"/>
  <c r="O61" i="47"/>
  <c r="X69" i="47"/>
  <c r="L69" i="47"/>
  <c r="B77" i="47"/>
  <c r="W75" i="47"/>
  <c r="L75" i="47"/>
  <c r="AH72" i="47"/>
  <c r="U72" i="47"/>
  <c r="H72" i="47"/>
  <c r="N61" i="47"/>
  <c r="B61" i="47"/>
  <c r="O76" i="47"/>
  <c r="V69" i="47"/>
  <c r="K76" i="47"/>
  <c r="J69" i="47"/>
  <c r="H69" i="47"/>
  <c r="G72" i="47"/>
  <c r="AA65" i="47"/>
  <c r="O65" i="47"/>
  <c r="S72" i="47"/>
  <c r="J76" i="47"/>
  <c r="G76" i="47"/>
  <c r="D76" i="47"/>
  <c r="T76" i="47"/>
  <c r="AE65" i="47"/>
  <c r="S75" i="47"/>
  <c r="H75" i="47"/>
  <c r="AD73" i="47"/>
  <c r="F73" i="47"/>
  <c r="AG69" i="47"/>
  <c r="AH69" i="47"/>
  <c r="B76" i="47"/>
  <c r="C76" i="47"/>
  <c r="M76" i="47"/>
  <c r="G75" i="47"/>
  <c r="AC69" i="47"/>
  <c r="AE61" i="47"/>
  <c r="AC73" i="47"/>
  <c r="Q73" i="47"/>
  <c r="E73" i="47"/>
  <c r="AI73" i="47"/>
  <c r="I76" i="47"/>
  <c r="R76" i="47"/>
  <c r="U76" i="47"/>
  <c r="H76" i="47"/>
  <c r="Q76" i="47"/>
  <c r="Z72" i="47"/>
  <c r="N72" i="47"/>
  <c r="S61" i="47"/>
  <c r="G61" i="47"/>
  <c r="AB69" i="47"/>
  <c r="P69" i="47"/>
  <c r="D69" i="47"/>
  <c r="Y72" i="47"/>
  <c r="M72" i="47"/>
  <c r="F76" i="47"/>
  <c r="P76" i="47"/>
  <c r="L61" i="44"/>
  <c r="L70" i="47"/>
  <c r="Y61" i="44"/>
  <c r="Z61" i="44"/>
  <c r="AH61" i="44"/>
  <c r="AH62" i="44" s="1"/>
  <c r="U61" i="44"/>
  <c r="T61" i="44"/>
  <c r="AD61" i="44"/>
  <c r="AG61" i="44"/>
  <c r="AG62" i="44" s="1"/>
  <c r="I61" i="44"/>
  <c r="V61" i="44"/>
  <c r="K61" i="44"/>
  <c r="E61" i="44"/>
  <c r="E62" i="44" s="1"/>
  <c r="AA61" i="44"/>
  <c r="G61" i="44"/>
  <c r="W61" i="44"/>
  <c r="D61" i="44"/>
  <c r="O61" i="44"/>
  <c r="O62" i="44" s="1"/>
  <c r="M61" i="44"/>
  <c r="AC61" i="44"/>
  <c r="AB61" i="44"/>
  <c r="AB62" i="44" s="1"/>
  <c r="J61" i="44"/>
  <c r="B70" i="47"/>
  <c r="N61" i="44"/>
  <c r="I70" i="47"/>
  <c r="H70" i="47"/>
  <c r="C70" i="47"/>
  <c r="D70" i="47"/>
  <c r="J70" i="47"/>
  <c r="G70" i="47"/>
  <c r="F70" i="47"/>
  <c r="C61" i="44"/>
  <c r="K70" i="47"/>
  <c r="H61" i="44"/>
  <c r="AI61" i="47"/>
  <c r="N73" i="47"/>
  <c r="G73" i="47"/>
  <c r="H73" i="47"/>
  <c r="AE69" i="47"/>
  <c r="D73" i="47"/>
  <c r="AG73" i="47"/>
  <c r="E70" i="47"/>
  <c r="AH73" i="47"/>
  <c r="Z64" i="47"/>
  <c r="AE81" i="47"/>
  <c r="AE79" i="47" s="1"/>
  <c r="AF81" i="47"/>
  <c r="AF79" i="47" s="1"/>
  <c r="AI34" i="32"/>
  <c r="AA73" i="47"/>
  <c r="X73" i="47"/>
  <c r="AG72" i="47"/>
  <c r="K65" i="47"/>
  <c r="B73" i="47"/>
  <c r="U73" i="47"/>
  <c r="I73" i="47"/>
  <c r="Z73" i="47"/>
  <c r="S73" i="47"/>
  <c r="T73" i="47"/>
  <c r="AE72" i="47"/>
  <c r="W61" i="47"/>
  <c r="U65" i="47"/>
  <c r="V73" i="47"/>
  <c r="O73" i="47"/>
  <c r="AJ58" i="44"/>
  <c r="AJ59" i="44" s="1"/>
  <c r="E61" i="47"/>
  <c r="K69" i="47"/>
  <c r="AD69" i="47"/>
  <c r="AI65" i="47"/>
  <c r="AD61" i="47"/>
  <c r="AA61" i="47"/>
  <c r="C61" i="47"/>
  <c r="U69" i="47"/>
  <c r="I69" i="47"/>
  <c r="R61" i="44"/>
  <c r="R62" i="44" s="1"/>
  <c r="T69" i="47"/>
  <c r="C65" i="47"/>
  <c r="AI69" i="47"/>
  <c r="S69" i="47"/>
  <c r="G69" i="47"/>
  <c r="AJ61" i="44"/>
  <c r="R69" i="47"/>
  <c r="F69" i="47"/>
  <c r="K61" i="47"/>
  <c r="E69" i="47"/>
  <c r="AC65" i="47"/>
  <c r="AA69" i="47"/>
  <c r="O69" i="47"/>
  <c r="C69" i="47"/>
  <c r="Z69" i="47"/>
  <c r="N69" i="47"/>
  <c r="S65" i="47"/>
  <c r="I65" i="47"/>
  <c r="AI77" i="47"/>
  <c r="AI74" i="47" s="1"/>
  <c r="I27" i="45"/>
  <c r="K106" i="31"/>
  <c r="K52" i="31"/>
  <c r="K39" i="45" s="1"/>
  <c r="H83" i="47"/>
  <c r="H82" i="47" s="1"/>
  <c r="K81" i="54"/>
  <c r="Q83" i="47"/>
  <c r="Q82" i="47" s="1"/>
  <c r="P83" i="47"/>
  <c r="P82" i="47" s="1"/>
  <c r="AA152" i="49"/>
  <c r="AE152" i="49"/>
  <c r="W152" i="49"/>
  <c r="M81" i="54"/>
  <c r="X152" i="49"/>
  <c r="D106" i="31"/>
  <c r="Z152" i="49"/>
  <c r="D83" i="47"/>
  <c r="D82" i="47" s="1"/>
  <c r="T27" i="45"/>
  <c r="J106" i="31"/>
  <c r="Y52" i="31"/>
  <c r="AD152" i="49"/>
  <c r="V152" i="49"/>
  <c r="L106" i="31"/>
  <c r="B81" i="54"/>
  <c r="I83" i="47"/>
  <c r="I82" i="47" s="1"/>
  <c r="U83" i="47"/>
  <c r="U82" i="47" s="1"/>
  <c r="B52" i="31"/>
  <c r="B39" i="45" s="1"/>
  <c r="G83" i="47"/>
  <c r="G82" i="47" s="1"/>
  <c r="C83" i="47"/>
  <c r="C82" i="47" s="1"/>
  <c r="X52" i="31"/>
  <c r="R27" i="45"/>
  <c r="O52" i="31"/>
  <c r="O39" i="45" s="1"/>
  <c r="S81" i="54"/>
  <c r="W52" i="31"/>
  <c r="G81" i="54"/>
  <c r="R83" i="47"/>
  <c r="R82" i="47" s="1"/>
  <c r="H106" i="31"/>
  <c r="Z27" i="45"/>
  <c r="Z81" i="54"/>
  <c r="X81" i="54"/>
  <c r="X27" i="45"/>
  <c r="F81" i="54"/>
  <c r="N81" i="54"/>
  <c r="L81" i="54"/>
  <c r="C106" i="31"/>
  <c r="Y83" i="47"/>
  <c r="Y82" i="47" s="1"/>
  <c r="V52" i="31"/>
  <c r="Z53" i="54"/>
  <c r="Z19" i="45"/>
  <c r="AD53" i="54"/>
  <c r="AD19" i="45"/>
  <c r="Y27" i="45"/>
  <c r="Y81" i="54"/>
  <c r="AH27" i="45"/>
  <c r="AH81" i="54"/>
  <c r="V81" i="54"/>
  <c r="V27" i="45"/>
  <c r="AG27" i="45"/>
  <c r="AG81" i="54"/>
  <c r="AA19" i="45"/>
  <c r="AA53" i="54"/>
  <c r="E83" i="47"/>
  <c r="E82" i="47" s="1"/>
  <c r="L52" i="31"/>
  <c r="L39" i="45" s="1"/>
  <c r="H81" i="54"/>
  <c r="AB19" i="45"/>
  <c r="M83" i="47"/>
  <c r="M82" i="47" s="1"/>
  <c r="Y152" i="49"/>
  <c r="T83" i="47"/>
  <c r="T82" i="47" s="1"/>
  <c r="N83" i="47"/>
  <c r="N82" i="47" s="1"/>
  <c r="S52" i="31"/>
  <c r="S39" i="45" s="1"/>
  <c r="W81" i="54"/>
  <c r="W27" i="45"/>
  <c r="AF19" i="45"/>
  <c r="AF53" i="54"/>
  <c r="Y53" i="54"/>
  <c r="Y19" i="45"/>
  <c r="AB81" i="54"/>
  <c r="AB27" i="45"/>
  <c r="W53" i="54"/>
  <c r="W19" i="45"/>
  <c r="V53" i="54"/>
  <c r="V19" i="45"/>
  <c r="AD81" i="54"/>
  <c r="AD27" i="45"/>
  <c r="AI81" i="54"/>
  <c r="AI27" i="45"/>
  <c r="AC53" i="54"/>
  <c r="AC19" i="45"/>
  <c r="G106" i="31"/>
  <c r="AA27" i="45"/>
  <c r="I104" i="31"/>
  <c r="AE81" i="54"/>
  <c r="X19" i="45"/>
  <c r="J81" i="54"/>
  <c r="W83" i="47"/>
  <c r="W82" i="47" s="1"/>
  <c r="AE19" i="45"/>
  <c r="AF81" i="54"/>
  <c r="AG53" i="54"/>
  <c r="AC81" i="54"/>
  <c r="O81" i="54"/>
  <c r="E106" i="31"/>
  <c r="Z52" i="31"/>
  <c r="Z65" i="54"/>
  <c r="Z68" i="54" s="1"/>
  <c r="AE21" i="45"/>
  <c r="AE69" i="50" s="1"/>
  <c r="AI98" i="25"/>
  <c r="AG184" i="24"/>
  <c r="AD172" i="24"/>
  <c r="AD119" i="49" s="1"/>
  <c r="R172" i="24"/>
  <c r="R119" i="49" s="1"/>
  <c r="G172" i="24"/>
  <c r="G119" i="49" s="1"/>
  <c r="AE99" i="25"/>
  <c r="AE98" i="25" s="1"/>
  <c r="AF184" i="24"/>
  <c r="AB172" i="24"/>
  <c r="AB119" i="49" s="1"/>
  <c r="AI172" i="24"/>
  <c r="AI119" i="49" s="1"/>
  <c r="P99" i="25"/>
  <c r="P98" i="25" s="1"/>
  <c r="N172" i="24"/>
  <c r="N119" i="49" s="1"/>
  <c r="J172" i="24"/>
  <c r="J119" i="49" s="1"/>
  <c r="AD184" i="24"/>
  <c r="H172" i="24"/>
  <c r="H119" i="49" s="1"/>
  <c r="AF172" i="24"/>
  <c r="AF119" i="49" s="1"/>
  <c r="Y172" i="24"/>
  <c r="Y119" i="49" s="1"/>
  <c r="B172" i="24"/>
  <c r="B119" i="49" s="1"/>
  <c r="Y21" i="45"/>
  <c r="Y52" i="50" s="1"/>
  <c r="U172" i="24"/>
  <c r="U119" i="49" s="1"/>
  <c r="L172" i="24"/>
  <c r="L119" i="49" s="1"/>
  <c r="C172" i="24"/>
  <c r="C119" i="49" s="1"/>
  <c r="E172" i="24"/>
  <c r="E119" i="49" s="1"/>
  <c r="M172" i="24"/>
  <c r="M119" i="49" s="1"/>
  <c r="Z172" i="24"/>
  <c r="Z119" i="49" s="1"/>
  <c r="AH184" i="24"/>
  <c r="AD21" i="45"/>
  <c r="AD52" i="50" s="1"/>
  <c r="AG21" i="45"/>
  <c r="AG69" i="50" s="1"/>
  <c r="AA65" i="54"/>
  <c r="AA68" i="54" s="1"/>
  <c r="P21" i="45"/>
  <c r="P52" i="50" s="1"/>
  <c r="P65" i="54"/>
  <c r="P68" i="54" s="1"/>
  <c r="AA21" i="45"/>
  <c r="AA69" i="50" s="1"/>
  <c r="Q65" i="54"/>
  <c r="Q68" i="54" s="1"/>
  <c r="AD97" i="25"/>
  <c r="X97" i="25"/>
  <c r="L97" i="25"/>
  <c r="B98" i="25"/>
  <c r="W98" i="25"/>
  <c r="AG97" i="25"/>
  <c r="U97" i="25"/>
  <c r="J97" i="25"/>
  <c r="B97" i="25"/>
  <c r="AH97" i="25"/>
  <c r="Q97" i="25"/>
  <c r="E98" i="25"/>
  <c r="D98" i="25"/>
  <c r="S98" i="25"/>
  <c r="Y97" i="25"/>
  <c r="M97" i="25"/>
  <c r="T98" i="25"/>
  <c r="J98" i="25"/>
  <c r="M98" i="25"/>
  <c r="N98" i="25"/>
  <c r="Q98" i="25"/>
  <c r="D97" i="25"/>
  <c r="AI97" i="25"/>
  <c r="R97" i="25"/>
  <c r="H98" i="25"/>
  <c r="R98" i="25"/>
  <c r="U98" i="25"/>
  <c r="C97" i="25"/>
  <c r="AC97" i="25"/>
  <c r="G97" i="25"/>
  <c r="C98" i="25"/>
  <c r="Y98" i="25"/>
  <c r="AB98" i="25"/>
  <c r="F98" i="25"/>
  <c r="O98" i="25"/>
  <c r="H97" i="25"/>
  <c r="O97" i="25"/>
  <c r="E97" i="25"/>
  <c r="AF97" i="25"/>
  <c r="AC98" i="25"/>
  <c r="Z97" i="25"/>
  <c r="N97" i="25"/>
  <c r="W97" i="25"/>
  <c r="G98" i="25"/>
  <c r="V97" i="25"/>
  <c r="F97" i="25"/>
  <c r="AF98" i="25"/>
  <c r="AH98" i="25"/>
  <c r="AD98" i="25"/>
  <c r="X98" i="25"/>
  <c r="L98" i="25"/>
  <c r="K98" i="25"/>
  <c r="AB97" i="25"/>
  <c r="AG98" i="25"/>
  <c r="V98" i="25"/>
  <c r="K97" i="25"/>
  <c r="Z98" i="25"/>
  <c r="R138" i="49"/>
  <c r="R50" i="29"/>
  <c r="R36" i="45" s="1"/>
  <c r="R75" i="50" s="1"/>
  <c r="F138" i="49"/>
  <c r="F50" i="29"/>
  <c r="F36" i="45" s="1"/>
  <c r="AB138" i="49"/>
  <c r="AB50" i="29"/>
  <c r="AB36" i="45" s="1"/>
  <c r="P138" i="49"/>
  <c r="P50" i="29"/>
  <c r="P36" i="45" s="1"/>
  <c r="P55" i="50" s="1"/>
  <c r="D138" i="49"/>
  <c r="D50" i="29"/>
  <c r="D36" i="45" s="1"/>
  <c r="AA138" i="49"/>
  <c r="AA50" i="29"/>
  <c r="O138" i="49"/>
  <c r="O50" i="29"/>
  <c r="O36" i="45" s="1"/>
  <c r="C138" i="49"/>
  <c r="C50" i="29"/>
  <c r="C36" i="45" s="1"/>
  <c r="AF138" i="49"/>
  <c r="AF50" i="29"/>
  <c r="AF36" i="45" s="1"/>
  <c r="AF75" i="50" s="1"/>
  <c r="Z138" i="49"/>
  <c r="Z50" i="29"/>
  <c r="Z36" i="45" s="1"/>
  <c r="Z75" i="50" s="1"/>
  <c r="N138" i="49"/>
  <c r="N50" i="29"/>
  <c r="N36" i="45" s="1"/>
  <c r="N75" i="50" s="1"/>
  <c r="Y138" i="49"/>
  <c r="Y50" i="29"/>
  <c r="Y36" i="45" s="1"/>
  <c r="M138" i="49"/>
  <c r="M50" i="29"/>
  <c r="M36" i="45" s="1"/>
  <c r="M55" i="50" s="1"/>
  <c r="AC138" i="49"/>
  <c r="AC50" i="29"/>
  <c r="AC36" i="45" s="1"/>
  <c r="X138" i="49"/>
  <c r="X50" i="29"/>
  <c r="X36" i="45" s="1"/>
  <c r="L138" i="49"/>
  <c r="L50" i="29"/>
  <c r="AG138" i="49"/>
  <c r="AG50" i="29"/>
  <c r="AG36" i="45" s="1"/>
  <c r="AG75" i="50" s="1"/>
  <c r="W138" i="49"/>
  <c r="W50" i="29"/>
  <c r="W36" i="45" s="1"/>
  <c r="W75" i="50" s="1"/>
  <c r="K138" i="49"/>
  <c r="K50" i="29"/>
  <c r="K36" i="45" s="1"/>
  <c r="B138" i="49"/>
  <c r="B50" i="29"/>
  <c r="B36" i="45" s="1"/>
  <c r="B55" i="50" s="1"/>
  <c r="AN39" i="50" s="1"/>
  <c r="V138" i="49"/>
  <c r="V50" i="29"/>
  <c r="V36" i="45" s="1"/>
  <c r="J138" i="49"/>
  <c r="J50" i="29"/>
  <c r="J36" i="45" s="1"/>
  <c r="U138" i="49"/>
  <c r="U50" i="29"/>
  <c r="U36" i="45" s="1"/>
  <c r="I138" i="49"/>
  <c r="I50" i="29"/>
  <c r="I36" i="45" s="1"/>
  <c r="I75" i="50" s="1"/>
  <c r="AH138" i="49"/>
  <c r="AH50" i="29"/>
  <c r="AH36" i="45" s="1"/>
  <c r="AH75" i="50" s="1"/>
  <c r="T138" i="49"/>
  <c r="T50" i="29"/>
  <c r="T36" i="45" s="1"/>
  <c r="T75" i="50" s="1"/>
  <c r="H138" i="49"/>
  <c r="H50" i="29"/>
  <c r="H36" i="45" s="1"/>
  <c r="AE138" i="49"/>
  <c r="AE50" i="29"/>
  <c r="AE36" i="45" s="1"/>
  <c r="S138" i="49"/>
  <c r="S50" i="29"/>
  <c r="S36" i="45" s="1"/>
  <c r="S55" i="50" s="1"/>
  <c r="G138" i="49"/>
  <c r="G50" i="29"/>
  <c r="G36" i="45" s="1"/>
  <c r="AD138" i="49"/>
  <c r="AD50" i="29"/>
  <c r="AD36" i="45" s="1"/>
  <c r="AD75" i="50" s="1"/>
  <c r="Q138" i="49"/>
  <c r="Q50" i="29"/>
  <c r="Q36" i="45" s="1"/>
  <c r="Q55" i="50" s="1"/>
  <c r="E138" i="49"/>
  <c r="E50" i="29"/>
  <c r="E36" i="45" s="1"/>
  <c r="V21" i="45"/>
  <c r="V69" i="50" s="1"/>
  <c r="I21" i="45"/>
  <c r="I69" i="50" s="1"/>
  <c r="X21" i="45"/>
  <c r="X52" i="50" s="1"/>
  <c r="K21" i="45"/>
  <c r="K69" i="50" s="1"/>
  <c r="Q21" i="45"/>
  <c r="Q69" i="50" s="1"/>
  <c r="C21" i="45"/>
  <c r="C69" i="50" s="1"/>
  <c r="AC21" i="45"/>
  <c r="AC52" i="50" s="1"/>
  <c r="S21" i="45"/>
  <c r="S69" i="50" s="1"/>
  <c r="M45" i="32"/>
  <c r="M29" i="32" s="1"/>
  <c r="AH62" i="32"/>
  <c r="AH47" i="32" s="1"/>
  <c r="AH48" i="32" s="1"/>
  <c r="AH32" i="32" s="1"/>
  <c r="P45" i="32"/>
  <c r="P29" i="32" s="1"/>
  <c r="AE45" i="32"/>
  <c r="AE29" i="32" s="1"/>
  <c r="AD62" i="32"/>
  <c r="AD47" i="32" s="1"/>
  <c r="V45" i="32"/>
  <c r="V29" i="32" s="1"/>
  <c r="AC62" i="32"/>
  <c r="AC47" i="32" s="1"/>
  <c r="AC31" i="32" s="1"/>
  <c r="H37" i="32"/>
  <c r="H38" i="45" s="1"/>
  <c r="C38" i="45"/>
  <c r="AI62" i="32"/>
  <c r="AI47" i="32" s="1"/>
  <c r="AI31" i="32" s="1"/>
  <c r="AB62" i="32"/>
  <c r="AB46" i="32" s="1"/>
  <c r="AB30" i="32" s="1"/>
  <c r="AH45" i="32"/>
  <c r="AH29" i="32" s="1"/>
  <c r="V31" i="32"/>
  <c r="V48" i="32"/>
  <c r="V32" i="32" s="1"/>
  <c r="O45" i="32"/>
  <c r="O29" i="32" s="1"/>
  <c r="AF62" i="32"/>
  <c r="AF46" i="32" s="1"/>
  <c r="AF30" i="32" s="1"/>
  <c r="N45" i="32"/>
  <c r="N29" i="32" s="1"/>
  <c r="AA45" i="32"/>
  <c r="AA29" i="32" s="1"/>
  <c r="Z45" i="32"/>
  <c r="Z29" i="32" s="1"/>
  <c r="X45" i="32"/>
  <c r="X29" i="32" s="1"/>
  <c r="AE62" i="32"/>
  <c r="AE46" i="32" s="1"/>
  <c r="AE30" i="32" s="1"/>
  <c r="AI45" i="32"/>
  <c r="AI29" i="32" s="1"/>
  <c r="L45" i="32"/>
  <c r="L29" i="32" s="1"/>
  <c r="U46" i="32"/>
  <c r="U30" i="32" s="1"/>
  <c r="AD45" i="32"/>
  <c r="AD29" i="32" s="1"/>
  <c r="B37" i="32"/>
  <c r="B38" i="45" s="1"/>
  <c r="AG62" i="32"/>
  <c r="AG47" i="32" s="1"/>
  <c r="S45" i="32"/>
  <c r="S29" i="32" s="1"/>
  <c r="O46" i="32"/>
  <c r="O30" i="32" s="1"/>
  <c r="Z62" i="32"/>
  <c r="Z46" i="32" s="1"/>
  <c r="Z30" i="32" s="1"/>
  <c r="AA62" i="32"/>
  <c r="AA47" i="32" s="1"/>
  <c r="R46" i="32"/>
  <c r="R30" i="32" s="1"/>
  <c r="Y46" i="32"/>
  <c r="Y30" i="32" s="1"/>
  <c r="V46" i="32"/>
  <c r="V30" i="32" s="1"/>
  <c r="P46" i="32"/>
  <c r="P30" i="32" s="1"/>
  <c r="O31" i="32"/>
  <c r="O48" i="32"/>
  <c r="O32" i="32" s="1"/>
  <c r="Y48" i="32"/>
  <c r="Y32" i="32" s="1"/>
  <c r="Y31" i="32"/>
  <c r="M46" i="32"/>
  <c r="M30" i="32" s="1"/>
  <c r="M47" i="32"/>
  <c r="T47" i="32"/>
  <c r="T46" i="32"/>
  <c r="T30" i="32" s="1"/>
  <c r="L46" i="32"/>
  <c r="L30" i="32" s="1"/>
  <c r="L47" i="32"/>
  <c r="X46" i="32"/>
  <c r="X30" i="32" s="1"/>
  <c r="X47" i="32"/>
  <c r="S48" i="32"/>
  <c r="S32" i="32" s="1"/>
  <c r="S31" i="32"/>
  <c r="W46" i="32"/>
  <c r="W30" i="32" s="1"/>
  <c r="W47" i="32"/>
  <c r="Q47" i="32"/>
  <c r="Q46" i="32"/>
  <c r="Q30" i="32" s="1"/>
  <c r="N62" i="32"/>
  <c r="U31" i="32"/>
  <c r="K38" i="45"/>
  <c r="Y45" i="32"/>
  <c r="Y29" i="32" s="1"/>
  <c r="AB45" i="32"/>
  <c r="AB29" i="32" s="1"/>
  <c r="AF45" i="32"/>
  <c r="AF29" i="32" s="1"/>
  <c r="S46" i="32"/>
  <c r="S30" i="32" s="1"/>
  <c r="R47" i="32"/>
  <c r="P47" i="32"/>
  <c r="R45" i="32"/>
  <c r="R29" i="32" s="1"/>
  <c r="W45" i="32"/>
  <c r="W29" i="32" s="1"/>
  <c r="AC45" i="32"/>
  <c r="AC29" i="32" s="1"/>
  <c r="Q45" i="32"/>
  <c r="Q29" i="32" s="1"/>
  <c r="E37" i="32"/>
  <c r="E38" i="45" s="1"/>
  <c r="T45" i="32"/>
  <c r="T29" i="32" s="1"/>
  <c r="AG45" i="32"/>
  <c r="AG29" i="32" s="1"/>
  <c r="U45" i="32"/>
  <c r="U29" i="32" s="1"/>
  <c r="B21" i="45"/>
  <c r="B69" i="50" s="1"/>
  <c r="AV23" i="50" s="1"/>
  <c r="AF21" i="45"/>
  <c r="AF69" i="50" s="1"/>
  <c r="U21" i="45"/>
  <c r="U52" i="50" s="1"/>
  <c r="B120" i="54"/>
  <c r="AH21" i="45"/>
  <c r="AH52" i="50" s="1"/>
  <c r="H21" i="45"/>
  <c r="H69" i="50" s="1"/>
  <c r="W21" i="45"/>
  <c r="W52" i="50" s="1"/>
  <c r="O21" i="45"/>
  <c r="O69" i="50" s="1"/>
  <c r="G21" i="45"/>
  <c r="G52" i="50" s="1"/>
  <c r="B65" i="54"/>
  <c r="B68" i="54" s="1"/>
  <c r="B73" i="54" s="1"/>
  <c r="J65" i="54"/>
  <c r="J68" i="54" s="1"/>
  <c r="R65" i="54"/>
  <c r="R68" i="54" s="1"/>
  <c r="C65" i="54"/>
  <c r="C68" i="54" s="1"/>
  <c r="K65" i="54"/>
  <c r="K68" i="54" s="1"/>
  <c r="AI65" i="54"/>
  <c r="AI68" i="54" s="1"/>
  <c r="M65" i="54"/>
  <c r="M68" i="54" s="1"/>
  <c r="N65" i="54"/>
  <c r="N68" i="54" s="1"/>
  <c r="AD65" i="54"/>
  <c r="AD68" i="54" s="1"/>
  <c r="AE65" i="54"/>
  <c r="AE68" i="54" s="1"/>
  <c r="AA32" i="45"/>
  <c r="AA54" i="50" s="1"/>
  <c r="K107" i="54"/>
  <c r="K115" i="54" s="1"/>
  <c r="K117" i="54" s="1"/>
  <c r="K32" i="45"/>
  <c r="Z107" i="54"/>
  <c r="Z115" i="54" s="1"/>
  <c r="Z117" i="54" s="1"/>
  <c r="Z32" i="45"/>
  <c r="Z72" i="50" s="1"/>
  <c r="B32" i="45"/>
  <c r="B72" i="50" s="1"/>
  <c r="AV26" i="50" s="1"/>
  <c r="Z33" i="45"/>
  <c r="AE33" i="45"/>
  <c r="AE108" i="54"/>
  <c r="Z108" i="54"/>
  <c r="AE123" i="49"/>
  <c r="Z123" i="49"/>
  <c r="I33" i="45"/>
  <c r="I108" i="54"/>
  <c r="W123" i="49"/>
  <c r="F33" i="45"/>
  <c r="K108" i="54"/>
  <c r="H10" i="49"/>
  <c r="F123" i="49"/>
  <c r="Y32" i="45"/>
  <c r="Y72" i="50" s="1"/>
  <c r="L107" i="54"/>
  <c r="L115" i="54" s="1"/>
  <c r="L117" i="54" s="1"/>
  <c r="L32" i="45"/>
  <c r="Q33" i="45"/>
  <c r="Q107" i="54"/>
  <c r="Q115" i="54" s="1"/>
  <c r="Q117" i="54" s="1"/>
  <c r="AF107" i="54"/>
  <c r="AF115" i="54" s="1"/>
  <c r="AF117" i="54" s="1"/>
  <c r="AF32" i="45"/>
  <c r="AF72" i="50" s="1"/>
  <c r="L123" i="49"/>
  <c r="AA33" i="45"/>
  <c r="AC108" i="54"/>
  <c r="AC33" i="45"/>
  <c r="J123" i="49"/>
  <c r="J32" i="45"/>
  <c r="J54" i="50" s="1"/>
  <c r="AC123" i="49"/>
  <c r="L33" i="45"/>
  <c r="AF108" i="54"/>
  <c r="H108" i="54"/>
  <c r="L108" i="54"/>
  <c r="S33" i="45"/>
  <c r="S108" i="54"/>
  <c r="S123" i="49"/>
  <c r="R32" i="45"/>
  <c r="R54" i="50" s="1"/>
  <c r="R123" i="49"/>
  <c r="R33" i="45"/>
  <c r="R108" i="54"/>
  <c r="AH32" i="45"/>
  <c r="AH72" i="50" s="1"/>
  <c r="AH107" i="54"/>
  <c r="AH115" i="54" s="1"/>
  <c r="AH117" i="54" s="1"/>
  <c r="O123" i="49"/>
  <c r="O33" i="45"/>
  <c r="O108" i="54"/>
  <c r="M108" i="54"/>
  <c r="M123" i="49"/>
  <c r="N33" i="45"/>
  <c r="N108" i="54"/>
  <c r="N123" i="49"/>
  <c r="AA117" i="54"/>
  <c r="W108" i="54"/>
  <c r="U33" i="45"/>
  <c r="AI107" i="54"/>
  <c r="AI115" i="54" s="1"/>
  <c r="AE32" i="45"/>
  <c r="AE54" i="50" s="1"/>
  <c r="H117" i="54"/>
  <c r="AH123" i="49"/>
  <c r="J107" i="54"/>
  <c r="J115" i="54" s="1"/>
  <c r="J117" i="54" s="1"/>
  <c r="AD123" i="49"/>
  <c r="F107" i="54"/>
  <c r="F115" i="54" s="1"/>
  <c r="F117" i="54" s="1"/>
  <c r="AH108" i="54"/>
  <c r="U108" i="54"/>
  <c r="X123" i="49"/>
  <c r="U107" i="54"/>
  <c r="U115" i="54" s="1"/>
  <c r="AC107" i="54"/>
  <c r="AC115" i="54" s="1"/>
  <c r="AC117" i="54" s="1"/>
  <c r="X107" i="54"/>
  <c r="X115" i="54" s="1"/>
  <c r="X117" i="54" s="1"/>
  <c r="T33" i="45"/>
  <c r="T123" i="49"/>
  <c r="T108" i="54"/>
  <c r="AB32" i="45"/>
  <c r="AB72" i="50" s="1"/>
  <c r="AB107" i="54"/>
  <c r="AB115" i="54" s="1"/>
  <c r="AB117" i="54" s="1"/>
  <c r="C123" i="49"/>
  <c r="C33" i="45"/>
  <c r="C108" i="54"/>
  <c r="E108" i="54"/>
  <c r="E33" i="45"/>
  <c r="E123" i="49"/>
  <c r="D33" i="45"/>
  <c r="D108" i="54"/>
  <c r="D123" i="49"/>
  <c r="V54" i="50"/>
  <c r="V72" i="50"/>
  <c r="P108" i="54"/>
  <c r="P123" i="49"/>
  <c r="P33" i="45"/>
  <c r="I32" i="45"/>
  <c r="I107" i="54"/>
  <c r="I115" i="54" s="1"/>
  <c r="I117" i="54" s="1"/>
  <c r="I123" i="49"/>
  <c r="X108" i="54"/>
  <c r="AB123" i="49"/>
  <c r="V33" i="45"/>
  <c r="AB33" i="45"/>
  <c r="AI33" i="45"/>
  <c r="AB108" i="54"/>
  <c r="AG33" i="45"/>
  <c r="M33" i="45"/>
  <c r="Q123" i="49"/>
  <c r="Q108" i="54"/>
  <c r="H32" i="45"/>
  <c r="V107" i="54"/>
  <c r="V115" i="54" s="1"/>
  <c r="V117" i="54" s="1"/>
  <c r="G108" i="54"/>
  <c r="G123" i="49"/>
  <c r="AG108" i="54"/>
  <c r="AH53" i="54"/>
  <c r="F140" i="49"/>
  <c r="F37" i="32"/>
  <c r="F38" i="45" s="1"/>
  <c r="J37" i="32"/>
  <c r="J38" i="45" s="1"/>
  <c r="I37" i="32"/>
  <c r="I38" i="45" s="1"/>
  <c r="G37" i="32"/>
  <c r="G38" i="45" s="1"/>
  <c r="D37" i="32"/>
  <c r="D38" i="45" s="1"/>
  <c r="N21" i="45"/>
  <c r="N69" i="50" s="1"/>
  <c r="F21" i="45"/>
  <c r="F69" i="50" s="1"/>
  <c r="D65" i="54"/>
  <c r="D68" i="54" s="1"/>
  <c r="Y65" i="54"/>
  <c r="Y68" i="54" s="1"/>
  <c r="AH65" i="54"/>
  <c r="AH68" i="54" s="1"/>
  <c r="M21" i="45"/>
  <c r="E21" i="45"/>
  <c r="E52" i="50" s="1"/>
  <c r="T65" i="54"/>
  <c r="T68" i="54" s="1"/>
  <c r="AB21" i="45"/>
  <c r="AB69" i="50" s="1"/>
  <c r="T21" i="45"/>
  <c r="L21" i="45"/>
  <c r="L69" i="50" s="1"/>
  <c r="D21" i="45"/>
  <c r="D52" i="50" s="1"/>
  <c r="U65" i="54"/>
  <c r="U68" i="54" s="1"/>
  <c r="G65" i="54"/>
  <c r="G68" i="54" s="1"/>
  <c r="AB65" i="54"/>
  <c r="AB68" i="54" s="1"/>
  <c r="Z21" i="45"/>
  <c r="Z52" i="50" s="1"/>
  <c r="R21" i="45"/>
  <c r="R69" i="50" s="1"/>
  <c r="J21" i="45"/>
  <c r="O65" i="54"/>
  <c r="O68" i="54" s="1"/>
  <c r="AC65" i="54"/>
  <c r="AC68" i="54" s="1"/>
  <c r="W65" i="54"/>
  <c r="W68" i="54" s="1"/>
  <c r="U429" i="27"/>
  <c r="W432" i="27"/>
  <c r="R432" i="27"/>
  <c r="E432" i="27"/>
  <c r="L432" i="27"/>
  <c r="F432" i="27"/>
  <c r="X432" i="27"/>
  <c r="Z432" i="27"/>
  <c r="D432" i="27"/>
  <c r="N425" i="27"/>
  <c r="X425" i="27"/>
  <c r="S429" i="27"/>
  <c r="Y433" i="27"/>
  <c r="U427" i="27"/>
  <c r="P427" i="27"/>
  <c r="Y427" i="27"/>
  <c r="F427" i="27"/>
  <c r="J427" i="27"/>
  <c r="D427" i="27"/>
  <c r="K427" i="27"/>
  <c r="J432" i="27"/>
  <c r="U432" i="27"/>
  <c r="U425" i="27"/>
  <c r="P425" i="27"/>
  <c r="V427" i="27"/>
  <c r="K429" i="27"/>
  <c r="G433" i="27"/>
  <c r="I433" i="27"/>
  <c r="W430" i="27"/>
  <c r="H430" i="27"/>
  <c r="T430" i="27"/>
  <c r="X430" i="27"/>
  <c r="R430" i="27"/>
  <c r="E430" i="27"/>
  <c r="Z428" i="27"/>
  <c r="G430" i="27"/>
  <c r="M432" i="27"/>
  <c r="V432" i="27"/>
  <c r="T425" i="27"/>
  <c r="H425" i="27"/>
  <c r="N427" i="27"/>
  <c r="V433" i="27"/>
  <c r="E433" i="27"/>
  <c r="G429" i="27"/>
  <c r="L429" i="27"/>
  <c r="I429" i="27"/>
  <c r="T429" i="27"/>
  <c r="Q429" i="27"/>
  <c r="D429" i="27"/>
  <c r="O429" i="27"/>
  <c r="N429" i="27"/>
  <c r="E429" i="27"/>
  <c r="N432" i="27"/>
  <c r="Y432" i="27"/>
  <c r="M425" i="27"/>
  <c r="Z427" i="27"/>
  <c r="E427" i="27"/>
  <c r="J429" i="27"/>
  <c r="F433" i="27"/>
  <c r="K430" i="27"/>
  <c r="Q432" i="27"/>
  <c r="S425" i="27"/>
  <c r="R427" i="27"/>
  <c r="T427" i="27"/>
  <c r="M429" i="27"/>
  <c r="U433" i="27"/>
  <c r="X428" i="27"/>
  <c r="L428" i="27"/>
  <c r="E428" i="27"/>
  <c r="V428" i="27"/>
  <c r="Y428" i="27"/>
  <c r="D428" i="27"/>
  <c r="P430" i="27"/>
  <c r="Q430" i="27"/>
  <c r="I432" i="27"/>
  <c r="H434" i="27"/>
  <c r="X427" i="27"/>
  <c r="L427" i="27"/>
  <c r="Y429" i="27"/>
  <c r="Y431" i="27"/>
  <c r="P431" i="27"/>
  <c r="E431" i="27"/>
  <c r="X431" i="27"/>
  <c r="M431" i="27"/>
  <c r="I431" i="27"/>
  <c r="N431" i="27"/>
  <c r="R431" i="27"/>
  <c r="K432" i="27"/>
  <c r="R429" i="27"/>
  <c r="P433" i="27"/>
  <c r="K433" i="27"/>
  <c r="X433" i="27"/>
  <c r="S433" i="27"/>
  <c r="D433" i="27"/>
  <c r="L433" i="27"/>
  <c r="Q433" i="27"/>
  <c r="W433" i="27"/>
  <c r="Q425" i="27"/>
  <c r="F425" i="27"/>
  <c r="J425" i="27"/>
  <c r="V425" i="27"/>
  <c r="D425" i="27"/>
  <c r="W425" i="27"/>
  <c r="Q428" i="27"/>
  <c r="V430" i="27"/>
  <c r="D430" i="27"/>
  <c r="P432" i="27"/>
  <c r="Z425" i="27"/>
  <c r="H427" i="27"/>
  <c r="W429" i="27"/>
  <c r="X429" i="27"/>
  <c r="O433" i="27"/>
  <c r="W434" i="27"/>
  <c r="V434" i="27"/>
  <c r="L434" i="27"/>
  <c r="P434" i="27"/>
  <c r="E434" i="27"/>
  <c r="G426" i="27"/>
  <c r="Y426" i="27"/>
  <c r="J426" i="27"/>
  <c r="M426" i="27"/>
  <c r="W426" i="27"/>
  <c r="N426" i="27"/>
  <c r="AJ452" i="27"/>
  <c r="Z527" i="27"/>
  <c r="AI529" i="27"/>
  <c r="E527" i="27"/>
  <c r="AD527" i="27"/>
  <c r="AC527" i="27"/>
  <c r="W527" i="27"/>
  <c r="F527" i="27"/>
  <c r="R527" i="27"/>
  <c r="J527" i="27"/>
  <c r="AI21" i="45"/>
  <c r="AI52" i="50" s="1"/>
  <c r="AN24" i="50" s="1"/>
  <c r="AH176" i="49"/>
  <c r="AH82" i="54"/>
  <c r="AJ451" i="27"/>
  <c r="AJ313" i="27"/>
  <c r="AJ450" i="27"/>
  <c r="AE117" i="54"/>
  <c r="Y117" i="54"/>
  <c r="AI72" i="50"/>
  <c r="AR26" i="50" s="1"/>
  <c r="AC54" i="50"/>
  <c r="Y316" i="27" l="1"/>
  <c r="M227" i="53"/>
  <c r="M69" i="27" s="1"/>
  <c r="X363" i="53"/>
  <c r="X364" i="53" s="1"/>
  <c r="U227" i="53"/>
  <c r="U228" i="53" s="1"/>
  <c r="AE316" i="27"/>
  <c r="AJ316" i="27"/>
  <c r="AF316" i="27"/>
  <c r="AB453" i="27"/>
  <c r="AB458" i="27" s="1"/>
  <c r="X316" i="27"/>
  <c r="AG453" i="27"/>
  <c r="AG458" i="27" s="1"/>
  <c r="W316" i="27"/>
  <c r="Z363" i="53"/>
  <c r="Z364" i="53" s="1"/>
  <c r="T227" i="53"/>
  <c r="T228" i="53" s="1"/>
  <c r="J453" i="27"/>
  <c r="AB316" i="27"/>
  <c r="W453" i="27"/>
  <c r="M453" i="27"/>
  <c r="N453" i="27"/>
  <c r="E453" i="27"/>
  <c r="Z453" i="27"/>
  <c r="AC316" i="27"/>
  <c r="AD323" i="53"/>
  <c r="AD363" i="53" s="1"/>
  <c r="AD364" i="53" s="1"/>
  <c r="AA363" i="53"/>
  <c r="AA77" i="27" s="1"/>
  <c r="AF323" i="53"/>
  <c r="AF363" i="53" s="1"/>
  <c r="AF364" i="53" s="1"/>
  <c r="Y363" i="53"/>
  <c r="Y77" i="27" s="1"/>
  <c r="AG323" i="53"/>
  <c r="AG363" i="53" s="1"/>
  <c r="AG364" i="53" s="1"/>
  <c r="AI323" i="53"/>
  <c r="AI363" i="53" s="1"/>
  <c r="AI77" i="27" s="1"/>
  <c r="K227" i="53"/>
  <c r="K69" i="27" s="1"/>
  <c r="AJ323" i="53"/>
  <c r="AJ363" i="53" s="1"/>
  <c r="AE323" i="53"/>
  <c r="AE363" i="53" s="1"/>
  <c r="AE77" i="27" s="1"/>
  <c r="L227" i="53"/>
  <c r="L228" i="53" s="1"/>
  <c r="S227" i="53"/>
  <c r="S69" i="27" s="1"/>
  <c r="W227" i="53"/>
  <c r="W228" i="53" s="1"/>
  <c r="H227" i="53"/>
  <c r="H228" i="53" s="1"/>
  <c r="AH323" i="53"/>
  <c r="AH363" i="53" s="1"/>
  <c r="AH77" i="27" s="1"/>
  <c r="AC323" i="53"/>
  <c r="AC363" i="53" s="1"/>
  <c r="AC364" i="53" s="1"/>
  <c r="AB323" i="53"/>
  <c r="AB363" i="53" s="1"/>
  <c r="AB364" i="53" s="1"/>
  <c r="V227" i="53"/>
  <c r="V228" i="53" s="1"/>
  <c r="O227" i="53"/>
  <c r="O228" i="53" s="1"/>
  <c r="J227" i="53"/>
  <c r="J69" i="27" s="1"/>
  <c r="Q227" i="53"/>
  <c r="Q228" i="53" s="1"/>
  <c r="Y227" i="53"/>
  <c r="Y69" i="27" s="1"/>
  <c r="R227" i="53"/>
  <c r="R69" i="27" s="1"/>
  <c r="C227" i="53"/>
  <c r="C228" i="53" s="1"/>
  <c r="E227" i="53"/>
  <c r="E69" i="27" s="1"/>
  <c r="D227" i="53"/>
  <c r="D228" i="53" s="1"/>
  <c r="P227" i="53"/>
  <c r="P69" i="27" s="1"/>
  <c r="I227" i="53"/>
  <c r="I228" i="53" s="1"/>
  <c r="F227" i="53"/>
  <c r="F69" i="27" s="1"/>
  <c r="X227" i="53"/>
  <c r="X69" i="27" s="1"/>
  <c r="AA227" i="53"/>
  <c r="AA228" i="53" s="1"/>
  <c r="G227" i="53"/>
  <c r="G69" i="27" s="1"/>
  <c r="Z227" i="53"/>
  <c r="Z69" i="27" s="1"/>
  <c r="AH190" i="53"/>
  <c r="AJ190" i="53"/>
  <c r="AJ227" i="53" s="1"/>
  <c r="AJ69" i="27" s="1"/>
  <c r="AC190" i="53"/>
  <c r="AC227" i="53" s="1"/>
  <c r="AC228" i="53" s="1"/>
  <c r="AD190" i="53"/>
  <c r="AD227" i="53" s="1"/>
  <c r="AE190" i="53"/>
  <c r="AE227" i="53" s="1"/>
  <c r="AG190" i="53"/>
  <c r="AG227" i="53" s="1"/>
  <c r="AG69" i="27" s="1"/>
  <c r="AF190" i="53"/>
  <c r="AF227" i="53" s="1"/>
  <c r="AF69" i="27" s="1"/>
  <c r="AB190" i="53"/>
  <c r="AB227" i="53" s="1"/>
  <c r="AB69" i="27" s="1"/>
  <c r="AI190" i="53"/>
  <c r="AD453" i="27"/>
  <c r="AD458" i="27" s="1"/>
  <c r="C453" i="27"/>
  <c r="C458" i="27" s="1"/>
  <c r="AH453" i="27"/>
  <c r="AH458" i="27" s="1"/>
  <c r="H453" i="27"/>
  <c r="I453" i="27"/>
  <c r="AJ453" i="27"/>
  <c r="AJ458" i="27" s="1"/>
  <c r="AI453" i="27"/>
  <c r="AI458" i="27" s="1"/>
  <c r="Y453" i="27"/>
  <c r="AF453" i="27"/>
  <c r="AF458" i="27" s="1"/>
  <c r="AA453" i="27"/>
  <c r="AA458" i="27" s="1"/>
  <c r="L453" i="27"/>
  <c r="G453" i="27"/>
  <c r="AC453" i="27"/>
  <c r="AC458" i="27" s="1"/>
  <c r="AE453" i="27"/>
  <c r="AE458" i="27" s="1"/>
  <c r="Q453" i="27"/>
  <c r="O453" i="27"/>
  <c r="F453" i="27"/>
  <c r="X453" i="27"/>
  <c r="R453" i="27"/>
  <c r="S453" i="27"/>
  <c r="U453" i="27"/>
  <c r="T453" i="27"/>
  <c r="D453" i="27"/>
  <c r="V453" i="27"/>
  <c r="K453" i="27"/>
  <c r="P453" i="27"/>
  <c r="S316" i="27"/>
  <c r="Q316" i="27"/>
  <c r="F316" i="27"/>
  <c r="P316" i="27"/>
  <c r="E316" i="27"/>
  <c r="AH316" i="27"/>
  <c r="L316" i="27"/>
  <c r="M316" i="27"/>
  <c r="R316" i="27"/>
  <c r="Z316" i="27"/>
  <c r="AA316" i="27"/>
  <c r="K316" i="27"/>
  <c r="G316" i="27"/>
  <c r="H316" i="27"/>
  <c r="AI316" i="27"/>
  <c r="C316" i="27"/>
  <c r="AG316" i="27"/>
  <c r="S530" i="27"/>
  <c r="S531" i="27" s="1"/>
  <c r="S60" i="27" s="1"/>
  <c r="R95" i="54" s="1"/>
  <c r="R530" i="27"/>
  <c r="R531" i="27" s="1"/>
  <c r="R60" i="27" s="1"/>
  <c r="Q95" i="54" s="1"/>
  <c r="I69" i="54"/>
  <c r="I97" i="25"/>
  <c r="I96" i="25" s="1"/>
  <c r="I54" i="54" s="1"/>
  <c r="B74" i="47"/>
  <c r="D74" i="47"/>
  <c r="H74" i="47"/>
  <c r="E74" i="47"/>
  <c r="K74" i="47"/>
  <c r="J74" i="47"/>
  <c r="L74" i="47"/>
  <c r="C74" i="47"/>
  <c r="I74" i="47"/>
  <c r="G74" i="47"/>
  <c r="F74" i="47"/>
  <c r="J69" i="54"/>
  <c r="C177" i="44"/>
  <c r="B60" i="25" s="1"/>
  <c r="B77" i="25" s="1"/>
  <c r="B146" i="49" s="1"/>
  <c r="C174" i="44"/>
  <c r="B61" i="25" s="1"/>
  <c r="AE152" i="44"/>
  <c r="AD174" i="25" s="1"/>
  <c r="AD173" i="25" s="1"/>
  <c r="E152" i="44"/>
  <c r="D174" i="25" s="1"/>
  <c r="D173" i="25" s="1"/>
  <c r="D67" i="25"/>
  <c r="D84" i="25" s="1"/>
  <c r="D133" i="49" s="1"/>
  <c r="AD152" i="44"/>
  <c r="AC174" i="25" s="1"/>
  <c r="AC173" i="25" s="1"/>
  <c r="AF152" i="44"/>
  <c r="AE174" i="25" s="1"/>
  <c r="AE173" i="25" s="1"/>
  <c r="U152" i="44"/>
  <c r="T174" i="25" s="1"/>
  <c r="T173" i="25" s="1"/>
  <c r="T152" i="44"/>
  <c r="S174" i="25" s="1"/>
  <c r="S173" i="25" s="1"/>
  <c r="I152" i="44"/>
  <c r="H174" i="25" s="1"/>
  <c r="H173" i="25" s="1"/>
  <c r="H152" i="44"/>
  <c r="G174" i="25" s="1"/>
  <c r="G173" i="25" s="1"/>
  <c r="AG152" i="44"/>
  <c r="AF174" i="25" s="1"/>
  <c r="AF173" i="25" s="1"/>
  <c r="AB152" i="44"/>
  <c r="AA174" i="25" s="1"/>
  <c r="AA173" i="25" s="1"/>
  <c r="G152" i="44"/>
  <c r="F174" i="25" s="1"/>
  <c r="F173" i="25" s="1"/>
  <c r="D152" i="44"/>
  <c r="C174" i="25" s="1"/>
  <c r="C173" i="25" s="1"/>
  <c r="K178" i="44"/>
  <c r="J169" i="25" s="1"/>
  <c r="J168" i="25" s="1"/>
  <c r="C152" i="44"/>
  <c r="B174" i="25" s="1"/>
  <c r="B173" i="25" s="1"/>
  <c r="V152" i="44"/>
  <c r="U174" i="25" s="1"/>
  <c r="U173" i="25" s="1"/>
  <c r="K152" i="44"/>
  <c r="J174" i="25" s="1"/>
  <c r="J173" i="25" s="1"/>
  <c r="Y152" i="44"/>
  <c r="X174" i="25" s="1"/>
  <c r="X173" i="25" s="1"/>
  <c r="R152" i="44"/>
  <c r="Q174" i="25" s="1"/>
  <c r="Q173" i="25" s="1"/>
  <c r="Y60" i="47"/>
  <c r="O152" i="44"/>
  <c r="T67" i="25"/>
  <c r="T84" i="25" s="1"/>
  <c r="T133" i="49" s="1"/>
  <c r="X152" i="44"/>
  <c r="W174" i="25" s="1"/>
  <c r="W173" i="25" s="1"/>
  <c r="AA152" i="44"/>
  <c r="Z174" i="25" s="1"/>
  <c r="Z173" i="25" s="1"/>
  <c r="S152" i="44"/>
  <c r="R174" i="25" s="1"/>
  <c r="R173" i="25" s="1"/>
  <c r="Q152" i="44"/>
  <c r="P174" i="25" s="1"/>
  <c r="P173" i="25" s="1"/>
  <c r="L152" i="44"/>
  <c r="K174" i="25" s="1"/>
  <c r="K173" i="25" s="1"/>
  <c r="N152" i="44"/>
  <c r="M174" i="25" s="1"/>
  <c r="M173" i="25" s="1"/>
  <c r="J152" i="44"/>
  <c r="I174" i="25" s="1"/>
  <c r="I173" i="25" s="1"/>
  <c r="M152" i="44"/>
  <c r="L174" i="25" s="1"/>
  <c r="L173" i="25" s="1"/>
  <c r="Z152" i="44"/>
  <c r="Y174" i="25" s="1"/>
  <c r="Y173" i="25" s="1"/>
  <c r="AJ152" i="44"/>
  <c r="AI174" i="25" s="1"/>
  <c r="AI173" i="25" s="1"/>
  <c r="P152" i="44"/>
  <c r="AH152" i="44"/>
  <c r="AG174" i="25" s="1"/>
  <c r="AG173" i="25" s="1"/>
  <c r="W152" i="44"/>
  <c r="V174" i="25" s="1"/>
  <c r="V173" i="25" s="1"/>
  <c r="AI152" i="44"/>
  <c r="AH174" i="25" s="1"/>
  <c r="AH173" i="25" s="1"/>
  <c r="C67" i="25"/>
  <c r="C84" i="25" s="1"/>
  <c r="C133" i="49" s="1"/>
  <c r="AC67" i="25"/>
  <c r="AC84" i="25" s="1"/>
  <c r="AC133" i="49" s="1"/>
  <c r="AA67" i="25"/>
  <c r="AA84" i="25" s="1"/>
  <c r="F152" i="44"/>
  <c r="E174" i="25" s="1"/>
  <c r="E173" i="25" s="1"/>
  <c r="AC152" i="44"/>
  <c r="AB174" i="25" s="1"/>
  <c r="AB173" i="25" s="1"/>
  <c r="Q67" i="25"/>
  <c r="Q84" i="25" s="1"/>
  <c r="Q133" i="49" s="1"/>
  <c r="G67" i="25"/>
  <c r="G84" i="25" s="1"/>
  <c r="G133" i="49" s="1"/>
  <c r="M60" i="47"/>
  <c r="M94" i="44"/>
  <c r="L172" i="25" s="1"/>
  <c r="L170" i="25" s="1"/>
  <c r="L64" i="25"/>
  <c r="L81" i="25" s="1"/>
  <c r="L132" i="49" s="1"/>
  <c r="D60" i="47"/>
  <c r="D62" i="44"/>
  <c r="C69" i="25" s="1"/>
  <c r="C86" i="25" s="1"/>
  <c r="C149" i="49" s="1"/>
  <c r="N62" i="44"/>
  <c r="M69" i="25" s="1"/>
  <c r="M86" i="25" s="1"/>
  <c r="M149" i="49" s="1"/>
  <c r="Q62" i="44"/>
  <c r="P69" i="25" s="1"/>
  <c r="P86" i="25" s="1"/>
  <c r="P149" i="49" s="1"/>
  <c r="M62" i="44"/>
  <c r="L69" i="25" s="1"/>
  <c r="L86" i="25" s="1"/>
  <c r="L149" i="49" s="1"/>
  <c r="P62" i="44"/>
  <c r="O69" i="25" s="1"/>
  <c r="O86" i="25" s="1"/>
  <c r="O149" i="49" s="1"/>
  <c r="X62" i="44"/>
  <c r="W69" i="25" s="1"/>
  <c r="W86" i="25" s="1"/>
  <c r="W149" i="49" s="1"/>
  <c r="K62" i="44"/>
  <c r="J69" i="25" s="1"/>
  <c r="J86" i="25" s="1"/>
  <c r="J149" i="49" s="1"/>
  <c r="L62" i="44"/>
  <c r="L63" i="44" s="1"/>
  <c r="K176" i="25" s="1"/>
  <c r="K175" i="25" s="1"/>
  <c r="Z62" i="44"/>
  <c r="Y69" i="25" s="1"/>
  <c r="Y86" i="25" s="1"/>
  <c r="Y149" i="49" s="1"/>
  <c r="C62" i="44"/>
  <c r="B69" i="25" s="1"/>
  <c r="B86" i="25" s="1"/>
  <c r="B149" i="49" s="1"/>
  <c r="AA62" i="44"/>
  <c r="Z69" i="25" s="1"/>
  <c r="Z86" i="25" s="1"/>
  <c r="Z149" i="49" s="1"/>
  <c r="AI62" i="44"/>
  <c r="AH69" i="25" s="1"/>
  <c r="AH86" i="25" s="1"/>
  <c r="AH149" i="49" s="1"/>
  <c r="V62" i="44"/>
  <c r="U69" i="25" s="1"/>
  <c r="U86" i="25" s="1"/>
  <c r="U149" i="49" s="1"/>
  <c r="U62" i="44"/>
  <c r="T69" i="25" s="1"/>
  <c r="T86" i="25" s="1"/>
  <c r="T149" i="49" s="1"/>
  <c r="AE62" i="44"/>
  <c r="AD69" i="25" s="1"/>
  <c r="AD86" i="25" s="1"/>
  <c r="AD149" i="49" s="1"/>
  <c r="W62" i="44"/>
  <c r="V69" i="25" s="1"/>
  <c r="V86" i="25" s="1"/>
  <c r="V149" i="49" s="1"/>
  <c r="Y62" i="44"/>
  <c r="X69" i="25" s="1"/>
  <c r="X86" i="25" s="1"/>
  <c r="X149" i="49" s="1"/>
  <c r="I62" i="44"/>
  <c r="H69" i="25" s="1"/>
  <c r="AF62" i="44"/>
  <c r="AE69" i="25" s="1"/>
  <c r="AE86" i="25" s="1"/>
  <c r="AE149" i="49" s="1"/>
  <c r="T62" i="44"/>
  <c r="S69" i="25" s="1"/>
  <c r="S86" i="25" s="1"/>
  <c r="S149" i="49" s="1"/>
  <c r="G62" i="44"/>
  <c r="F69" i="25" s="1"/>
  <c r="F86" i="25" s="1"/>
  <c r="F149" i="49" s="1"/>
  <c r="AJ62" i="44"/>
  <c r="AI69" i="25" s="1"/>
  <c r="AI86" i="25" s="1"/>
  <c r="AI149" i="49" s="1"/>
  <c r="H62" i="44"/>
  <c r="G69" i="25" s="1"/>
  <c r="G86" i="25" s="1"/>
  <c r="G149" i="49" s="1"/>
  <c r="J62" i="44"/>
  <c r="I69" i="25" s="1"/>
  <c r="I86" i="25" s="1"/>
  <c r="I149" i="49" s="1"/>
  <c r="AC62" i="44"/>
  <c r="AB69" i="25" s="1"/>
  <c r="AB86" i="25" s="1"/>
  <c r="AB149" i="49" s="1"/>
  <c r="AD62" i="44"/>
  <c r="AC69" i="25" s="1"/>
  <c r="AC86" i="25" s="1"/>
  <c r="AC149" i="49" s="1"/>
  <c r="F62" i="44"/>
  <c r="E69" i="25" s="1"/>
  <c r="E86" i="25" s="1"/>
  <c r="E149" i="49" s="1"/>
  <c r="X59" i="44"/>
  <c r="W70" i="25" s="1"/>
  <c r="AG59" i="44"/>
  <c r="AG63" i="44" s="1"/>
  <c r="AF176" i="25" s="1"/>
  <c r="AF175" i="25" s="1"/>
  <c r="R59" i="44"/>
  <c r="Q70" i="25" s="1"/>
  <c r="Q87" i="25" s="1"/>
  <c r="Q134" i="49" s="1"/>
  <c r="D59" i="44"/>
  <c r="C70" i="25" s="1"/>
  <c r="J59" i="44"/>
  <c r="I70" i="25" s="1"/>
  <c r="E59" i="44"/>
  <c r="D70" i="25" s="1"/>
  <c r="D87" i="25" s="1"/>
  <c r="D134" i="49" s="1"/>
  <c r="G59" i="44"/>
  <c r="F70" i="25" s="1"/>
  <c r="AC59" i="44"/>
  <c r="AA59" i="44"/>
  <c r="Z70" i="25" s="1"/>
  <c r="AD59" i="44"/>
  <c r="AC70" i="25" s="1"/>
  <c r="M59" i="44"/>
  <c r="L70" i="25" s="1"/>
  <c r="W59" i="44"/>
  <c r="Q59" i="44"/>
  <c r="P70" i="25" s="1"/>
  <c r="I59" i="44"/>
  <c r="Z59" i="44"/>
  <c r="Y70" i="25" s="1"/>
  <c r="AI59" i="44"/>
  <c r="AH70" i="25" s="1"/>
  <c r="K59" i="44"/>
  <c r="J70" i="25" s="1"/>
  <c r="H59" i="44"/>
  <c r="T59" i="44"/>
  <c r="S70" i="25" s="1"/>
  <c r="AB59" i="44"/>
  <c r="AA70" i="25" s="1"/>
  <c r="AA87" i="25" s="1"/>
  <c r="AA134" i="49" s="1"/>
  <c r="AH59" i="44"/>
  <c r="AG70" i="25" s="1"/>
  <c r="AG87" i="25" s="1"/>
  <c r="AG134" i="49" s="1"/>
  <c r="AE59" i="44"/>
  <c r="AD70" i="25" s="1"/>
  <c r="N59" i="44"/>
  <c r="M70" i="25" s="1"/>
  <c r="S59" i="44"/>
  <c r="R70" i="25" s="1"/>
  <c r="Y59" i="44"/>
  <c r="X70" i="25" s="1"/>
  <c r="AF59" i="44"/>
  <c r="AE70" i="25" s="1"/>
  <c r="C59" i="44"/>
  <c r="B70" i="25" s="1"/>
  <c r="O59" i="44"/>
  <c r="N70" i="25" s="1"/>
  <c r="N87" i="25" s="1"/>
  <c r="N134" i="49" s="1"/>
  <c r="U59" i="44"/>
  <c r="T70" i="25" s="1"/>
  <c r="V59" i="44"/>
  <c r="Y67" i="47"/>
  <c r="X71" i="47"/>
  <c r="K71" i="47"/>
  <c r="AB74" i="47"/>
  <c r="J60" i="47"/>
  <c r="Y94" i="44"/>
  <c r="X172" i="25" s="1"/>
  <c r="AE65" i="25"/>
  <c r="AE82" i="25" s="1"/>
  <c r="AE18" i="45" s="1"/>
  <c r="O218" i="44"/>
  <c r="Q218" i="44"/>
  <c r="AA178" i="44"/>
  <c r="Z169" i="25" s="1"/>
  <c r="Z168" i="25" s="1"/>
  <c r="L218" i="44"/>
  <c r="H178" i="44"/>
  <c r="G169" i="25" s="1"/>
  <c r="G168" i="25" s="1"/>
  <c r="P218" i="44"/>
  <c r="AE94" i="44"/>
  <c r="AD172" i="25" s="1"/>
  <c r="AG60" i="47"/>
  <c r="C60" i="47"/>
  <c r="G60" i="25"/>
  <c r="G77" i="25" s="1"/>
  <c r="G146" i="49" s="1"/>
  <c r="AF63" i="25"/>
  <c r="AF80" i="25" s="1"/>
  <c r="AF147" i="49" s="1"/>
  <c r="M218" i="44"/>
  <c r="K133" i="49"/>
  <c r="O178" i="44"/>
  <c r="AB60" i="47"/>
  <c r="Y63" i="47"/>
  <c r="K63" i="47"/>
  <c r="AA171" i="25"/>
  <c r="Z61" i="25"/>
  <c r="Z78" i="25" s="1"/>
  <c r="Z131" i="49" s="1"/>
  <c r="S178" i="44"/>
  <c r="R169" i="25" s="1"/>
  <c r="R168" i="25" s="1"/>
  <c r="V94" i="44"/>
  <c r="U172" i="25" s="1"/>
  <c r="AI178" i="44"/>
  <c r="AH169" i="25" s="1"/>
  <c r="AH168" i="25" s="1"/>
  <c r="N63" i="47"/>
  <c r="M63" i="25"/>
  <c r="M80" i="25" s="1"/>
  <c r="M147" i="49" s="1"/>
  <c r="Y64" i="25"/>
  <c r="Y81" i="25" s="1"/>
  <c r="Y132" i="49" s="1"/>
  <c r="AC178" i="44"/>
  <c r="AB169" i="25" s="1"/>
  <c r="AB168" i="25" s="1"/>
  <c r="AH60" i="47"/>
  <c r="F218" i="44"/>
  <c r="V74" i="47"/>
  <c r="P60" i="47"/>
  <c r="H77" i="31"/>
  <c r="K75" i="31"/>
  <c r="K125" i="49" s="1"/>
  <c r="T75" i="31"/>
  <c r="T125" i="49" s="1"/>
  <c r="T76" i="31"/>
  <c r="P135" i="49"/>
  <c r="Q75" i="31"/>
  <c r="Q125" i="49" s="1"/>
  <c r="H135" i="49"/>
  <c r="Q77" i="31"/>
  <c r="F75" i="31"/>
  <c r="F125" i="49" s="1"/>
  <c r="C77" i="31"/>
  <c r="C151" i="49" s="1"/>
  <c r="H75" i="31"/>
  <c r="H125" i="49" s="1"/>
  <c r="J77" i="31"/>
  <c r="I151" i="49"/>
  <c r="O76" i="31"/>
  <c r="O75" i="31"/>
  <c r="O125" i="49" s="1"/>
  <c r="U76" i="31"/>
  <c r="L75" i="31"/>
  <c r="L125" i="49" s="1"/>
  <c r="M77" i="31"/>
  <c r="E75" i="31"/>
  <c r="E125" i="49" s="1"/>
  <c r="R77" i="31"/>
  <c r="R151" i="49" s="1"/>
  <c r="P75" i="31"/>
  <c r="P125" i="49" s="1"/>
  <c r="M76" i="31"/>
  <c r="U75" i="31"/>
  <c r="U125" i="49" s="1"/>
  <c r="I76" i="31"/>
  <c r="S77" i="31"/>
  <c r="N76" i="31"/>
  <c r="P77" i="31"/>
  <c r="P151" i="49" s="1"/>
  <c r="N75" i="31"/>
  <c r="N125" i="49" s="1"/>
  <c r="J75" i="31"/>
  <c r="J125" i="49" s="1"/>
  <c r="U151" i="49"/>
  <c r="N77" i="31"/>
  <c r="N151" i="49" s="1"/>
  <c r="Q76" i="31"/>
  <c r="T77" i="31"/>
  <c r="D75" i="31"/>
  <c r="D125" i="49" s="1"/>
  <c r="R76" i="31"/>
  <c r="M75" i="31"/>
  <c r="M125" i="49" s="1"/>
  <c r="L77" i="31"/>
  <c r="K135" i="49"/>
  <c r="J135" i="49"/>
  <c r="E77" i="31"/>
  <c r="E151" i="49" s="1"/>
  <c r="R75" i="31"/>
  <c r="R125" i="49" s="1"/>
  <c r="S76" i="31"/>
  <c r="S135" i="49" s="1"/>
  <c r="I75" i="31"/>
  <c r="I125" i="49" s="1"/>
  <c r="G75" i="31"/>
  <c r="G125" i="49" s="1"/>
  <c r="B78" i="31"/>
  <c r="B79" i="31" s="1"/>
  <c r="B19" i="45" s="1"/>
  <c r="K77" i="31"/>
  <c r="G77" i="31"/>
  <c r="G151" i="49" s="1"/>
  <c r="O77" i="31"/>
  <c r="O151" i="49" s="1"/>
  <c r="S75" i="31"/>
  <c r="S125" i="49" s="1"/>
  <c r="D77" i="31"/>
  <c r="L135" i="49"/>
  <c r="F151" i="49"/>
  <c r="B125" i="49"/>
  <c r="C125" i="49"/>
  <c r="AF178" i="44"/>
  <c r="AE169" i="25" s="1"/>
  <c r="AE168" i="25" s="1"/>
  <c r="O70" i="25"/>
  <c r="O87" i="25" s="1"/>
  <c r="O134" i="49" s="1"/>
  <c r="Z94" i="44"/>
  <c r="Y172" i="25" s="1"/>
  <c r="AI71" i="47"/>
  <c r="AE178" i="44"/>
  <c r="AD169" i="25" s="1"/>
  <c r="AD168" i="25" s="1"/>
  <c r="AH148" i="49"/>
  <c r="J61" i="25"/>
  <c r="J59" i="25" s="1"/>
  <c r="J76" i="25" s="1"/>
  <c r="J11" i="45" s="1"/>
  <c r="J9" i="45" s="1"/>
  <c r="J71" i="50" s="1"/>
  <c r="AE71" i="47"/>
  <c r="H94" i="44"/>
  <c r="G172" i="25" s="1"/>
  <c r="G170" i="25" s="1"/>
  <c r="Z63" i="25"/>
  <c r="Z80" i="25" s="1"/>
  <c r="Z147" i="49" s="1"/>
  <c r="G148" i="49"/>
  <c r="AC67" i="47"/>
  <c r="C148" i="49"/>
  <c r="AD67" i="47"/>
  <c r="G60" i="47"/>
  <c r="T63" i="25"/>
  <c r="T80" i="25" s="1"/>
  <c r="T147" i="49" s="1"/>
  <c r="N218" i="44"/>
  <c r="AH61" i="25"/>
  <c r="AH78" i="25" s="1"/>
  <c r="AH131" i="49" s="1"/>
  <c r="AH178" i="44"/>
  <c r="AG169" i="25" s="1"/>
  <c r="AG168" i="25" s="1"/>
  <c r="U94" i="44"/>
  <c r="T172" i="25" s="1"/>
  <c r="AJ178" i="44"/>
  <c r="AI169" i="25" s="1"/>
  <c r="AI168" i="25" s="1"/>
  <c r="C63" i="25"/>
  <c r="C80" i="25" s="1"/>
  <c r="C147" i="49" s="1"/>
  <c r="N63" i="25"/>
  <c r="N80" i="25" s="1"/>
  <c r="N147" i="49" s="1"/>
  <c r="AB61" i="25"/>
  <c r="AB78" i="25" s="1"/>
  <c r="AB131" i="49" s="1"/>
  <c r="AD60" i="47"/>
  <c r="T178" i="44"/>
  <c r="S169" i="25" s="1"/>
  <c r="S168" i="25" s="1"/>
  <c r="R63" i="25"/>
  <c r="R80" i="25" s="1"/>
  <c r="R147" i="49" s="1"/>
  <c r="Z60" i="47"/>
  <c r="AE63" i="25"/>
  <c r="AE80" i="25" s="1"/>
  <c r="AE147" i="49" s="1"/>
  <c r="G178" i="44"/>
  <c r="F169" i="25" s="1"/>
  <c r="F168" i="25" s="1"/>
  <c r="R61" i="25"/>
  <c r="R78" i="25" s="1"/>
  <c r="R131" i="49" s="1"/>
  <c r="E178" i="44"/>
  <c r="D169" i="25" s="1"/>
  <c r="D168" i="25" s="1"/>
  <c r="Y171" i="25"/>
  <c r="AF67" i="47"/>
  <c r="D218" i="44"/>
  <c r="F63" i="25"/>
  <c r="F80" i="25" s="1"/>
  <c r="F147" i="49" s="1"/>
  <c r="R178" i="44"/>
  <c r="Q169" i="25" s="1"/>
  <c r="Q168" i="25" s="1"/>
  <c r="Q178" i="44"/>
  <c r="P169" i="25" s="1"/>
  <c r="P168" i="25" s="1"/>
  <c r="AD61" i="25"/>
  <c r="AD78" i="25" s="1"/>
  <c r="AD131" i="49" s="1"/>
  <c r="E63" i="25"/>
  <c r="E80" i="25" s="1"/>
  <c r="E147" i="49" s="1"/>
  <c r="U63" i="25"/>
  <c r="U80" i="25" s="1"/>
  <c r="U147" i="49" s="1"/>
  <c r="P74" i="47"/>
  <c r="V67" i="47"/>
  <c r="R60" i="47"/>
  <c r="Y51" i="31"/>
  <c r="Y39" i="45" s="1"/>
  <c r="AA52" i="31"/>
  <c r="AB52" i="31"/>
  <c r="AA51" i="31"/>
  <c r="AA39" i="45" s="1"/>
  <c r="V51" i="31"/>
  <c r="V39" i="45" s="1"/>
  <c r="X51" i="31"/>
  <c r="X39" i="45" s="1"/>
  <c r="AB51" i="31"/>
  <c r="AB39" i="45" s="1"/>
  <c r="W51" i="31"/>
  <c r="W39" i="45" s="1"/>
  <c r="AC51" i="31"/>
  <c r="AC39" i="45" s="1"/>
  <c r="Z51" i="31"/>
  <c r="Z39" i="45" s="1"/>
  <c r="AD51" i="31"/>
  <c r="AE51" i="31"/>
  <c r="AE39" i="45" s="1"/>
  <c r="AE83" i="47"/>
  <c r="AE82" i="47" s="1"/>
  <c r="AI52" i="31"/>
  <c r="AI39" i="45" s="1"/>
  <c r="AH52" i="31"/>
  <c r="AF83" i="47"/>
  <c r="AF82" i="47" s="1"/>
  <c r="AH139" i="49"/>
  <c r="AF139" i="49"/>
  <c r="Z139" i="49"/>
  <c r="AE139" i="49"/>
  <c r="AI139" i="49"/>
  <c r="AD139" i="49"/>
  <c r="AF39" i="45"/>
  <c r="AG52" i="31"/>
  <c r="AG39" i="45" s="1"/>
  <c r="AC139" i="49"/>
  <c r="AG139" i="49"/>
  <c r="W139" i="49"/>
  <c r="AA139" i="49"/>
  <c r="X139" i="49"/>
  <c r="AB139" i="49"/>
  <c r="AH39" i="45"/>
  <c r="AC83" i="47"/>
  <c r="AC82" i="47" s="1"/>
  <c r="AA72" i="50"/>
  <c r="R338" i="53"/>
  <c r="Q338" i="53"/>
  <c r="W338" i="53"/>
  <c r="W363" i="53" s="1"/>
  <c r="H338" i="53"/>
  <c r="T338" i="53"/>
  <c r="O338" i="53"/>
  <c r="O363" i="53" s="1"/>
  <c r="C338" i="53"/>
  <c r="K338" i="53"/>
  <c r="I338" i="53"/>
  <c r="P338" i="53"/>
  <c r="F338" i="53"/>
  <c r="U338" i="53"/>
  <c r="M338" i="53"/>
  <c r="M363" i="53" s="1"/>
  <c r="L338" i="53"/>
  <c r="G338" i="53"/>
  <c r="J338" i="53"/>
  <c r="S338" i="53"/>
  <c r="D338" i="53"/>
  <c r="V338" i="53"/>
  <c r="V363" i="53" s="1"/>
  <c r="N338" i="53"/>
  <c r="E338" i="53"/>
  <c r="N228" i="53"/>
  <c r="AJ334" i="53"/>
  <c r="AE184" i="53"/>
  <c r="AH205" i="53"/>
  <c r="AI205" i="53"/>
  <c r="F530" i="27"/>
  <c r="F531" i="27" s="1"/>
  <c r="F60" i="27" s="1"/>
  <c r="E95" i="54" s="1"/>
  <c r="J530" i="27"/>
  <c r="J531" i="27" s="1"/>
  <c r="J60" i="27" s="1"/>
  <c r="I95" i="54" s="1"/>
  <c r="Q530" i="27"/>
  <c r="AC530" i="27"/>
  <c r="U530" i="27"/>
  <c r="E530" i="27"/>
  <c r="Z530" i="27"/>
  <c r="X530" i="27"/>
  <c r="W530" i="27"/>
  <c r="AD530" i="27"/>
  <c r="D530" i="27"/>
  <c r="V530" i="27"/>
  <c r="P530" i="27"/>
  <c r="Y530" i="27"/>
  <c r="N530" i="27"/>
  <c r="T530" i="27"/>
  <c r="AB530" i="27"/>
  <c r="AJ530" i="27"/>
  <c r="AE530" i="27"/>
  <c r="I530" i="27"/>
  <c r="AI530" i="27"/>
  <c r="AH530" i="27"/>
  <c r="O530" i="27"/>
  <c r="AF530" i="27"/>
  <c r="AA530" i="27"/>
  <c r="AG530" i="27"/>
  <c r="K530" i="27"/>
  <c r="U499" i="27"/>
  <c r="U500" i="27" s="1"/>
  <c r="V499" i="27"/>
  <c r="V500" i="27" s="1"/>
  <c r="W63" i="47"/>
  <c r="AD171" i="25"/>
  <c r="AC63" i="47"/>
  <c r="AE171" i="25"/>
  <c r="V445" i="27"/>
  <c r="U445" i="27"/>
  <c r="U435" i="27"/>
  <c r="Z435" i="27"/>
  <c r="P435" i="27"/>
  <c r="O435" i="27"/>
  <c r="V435" i="27"/>
  <c r="G435" i="27"/>
  <c r="D435" i="27"/>
  <c r="J435" i="27"/>
  <c r="H435" i="27"/>
  <c r="L435" i="27"/>
  <c r="X435" i="27"/>
  <c r="N435" i="27"/>
  <c r="I435" i="27"/>
  <c r="E435" i="27"/>
  <c r="M435" i="27"/>
  <c r="Y435" i="27"/>
  <c r="F435" i="27"/>
  <c r="T435" i="27"/>
  <c r="R435" i="27"/>
  <c r="Q435" i="27"/>
  <c r="S435" i="27"/>
  <c r="W435" i="27"/>
  <c r="K435" i="27"/>
  <c r="H68" i="27"/>
  <c r="L68" i="27"/>
  <c r="M68" i="27"/>
  <c r="G68" i="27"/>
  <c r="N314" i="27"/>
  <c r="O315" i="27"/>
  <c r="D314" i="27"/>
  <c r="U315" i="27"/>
  <c r="J315" i="27"/>
  <c r="V314" i="27"/>
  <c r="I315" i="27"/>
  <c r="V308" i="27"/>
  <c r="AI284" i="27"/>
  <c r="Q284" i="27"/>
  <c r="U314" i="27"/>
  <c r="C530" i="27"/>
  <c r="V284" i="27"/>
  <c r="H528" i="27"/>
  <c r="H530" i="27" s="1"/>
  <c r="C284" i="27"/>
  <c r="Y270" i="27"/>
  <c r="AD270" i="27"/>
  <c r="AD284" i="27"/>
  <c r="I314" i="27"/>
  <c r="M284" i="27"/>
  <c r="S284" i="27"/>
  <c r="U284" i="27"/>
  <c r="AA270" i="27"/>
  <c r="P270" i="27"/>
  <c r="O314" i="27"/>
  <c r="Y284" i="27"/>
  <c r="I284" i="27"/>
  <c r="AA284" i="27"/>
  <c r="AJ270" i="27"/>
  <c r="M270" i="27"/>
  <c r="U308" i="27"/>
  <c r="AH67" i="59"/>
  <c r="S96" i="25"/>
  <c r="S20" i="45" s="1"/>
  <c r="O148" i="49"/>
  <c r="AF69" i="54"/>
  <c r="AD74" i="47"/>
  <c r="Z74" i="47"/>
  <c r="C71" i="47"/>
  <c r="F71" i="47"/>
  <c r="AH67" i="47"/>
  <c r="Z63" i="47"/>
  <c r="Q60" i="47"/>
  <c r="M63" i="47"/>
  <c r="T71" i="47"/>
  <c r="I71" i="47"/>
  <c r="B63" i="47"/>
  <c r="R63" i="47"/>
  <c r="G67" i="47"/>
  <c r="AF74" i="47"/>
  <c r="L63" i="47"/>
  <c r="N60" i="47"/>
  <c r="S63" i="47"/>
  <c r="AH63" i="47"/>
  <c r="AE74" i="47"/>
  <c r="AA60" i="47"/>
  <c r="AG63" i="47"/>
  <c r="AE67" i="47"/>
  <c r="AE60" i="47"/>
  <c r="AG74" i="47"/>
  <c r="O270" i="27"/>
  <c r="AC284" i="27"/>
  <c r="Q270" i="27"/>
  <c r="X284" i="27"/>
  <c r="S270" i="27"/>
  <c r="AG270" i="27"/>
  <c r="R284" i="27"/>
  <c r="E270" i="27"/>
  <c r="J270" i="27"/>
  <c r="C270" i="27"/>
  <c r="L528" i="27"/>
  <c r="L530" i="27" s="1"/>
  <c r="D284" i="27"/>
  <c r="D315" i="27"/>
  <c r="X270" i="27"/>
  <c r="AB284" i="27"/>
  <c r="AG284" i="27"/>
  <c r="N270" i="27"/>
  <c r="J314" i="27"/>
  <c r="L270" i="27"/>
  <c r="E284" i="27"/>
  <c r="H270" i="27"/>
  <c r="F270" i="27"/>
  <c r="W284" i="27"/>
  <c r="AC270" i="27"/>
  <c r="T270" i="27"/>
  <c r="P284" i="27"/>
  <c r="L284" i="27"/>
  <c r="F284" i="27"/>
  <c r="W270" i="27"/>
  <c r="R270" i="27"/>
  <c r="T284" i="27"/>
  <c r="N284" i="27"/>
  <c r="AF284" i="27"/>
  <c r="AE270" i="27"/>
  <c r="V315" i="27"/>
  <c r="D270" i="27"/>
  <c r="AH270" i="27"/>
  <c r="AI270" i="27"/>
  <c r="AF270" i="27"/>
  <c r="Z284" i="27"/>
  <c r="G528" i="27"/>
  <c r="G530" i="27" s="1"/>
  <c r="AJ284" i="27"/>
  <c r="K270" i="27"/>
  <c r="J284" i="27"/>
  <c r="AH284" i="27"/>
  <c r="G270" i="27"/>
  <c r="K284" i="27"/>
  <c r="Z270" i="27"/>
  <c r="V270" i="27"/>
  <c r="H284" i="27"/>
  <c r="O284" i="27"/>
  <c r="G284" i="27"/>
  <c r="U270" i="27"/>
  <c r="V299" i="27"/>
  <c r="S299" i="27"/>
  <c r="G299" i="27"/>
  <c r="T299" i="27"/>
  <c r="O299" i="27"/>
  <c r="D299" i="27"/>
  <c r="W299" i="27"/>
  <c r="E299" i="27"/>
  <c r="X299" i="27"/>
  <c r="M299" i="27"/>
  <c r="H299" i="27"/>
  <c r="J299" i="27"/>
  <c r="I299" i="27"/>
  <c r="Q299" i="27"/>
  <c r="Y299" i="27"/>
  <c r="Z299" i="27"/>
  <c r="R299" i="27"/>
  <c r="F299" i="27"/>
  <c r="L299" i="27"/>
  <c r="U299" i="27"/>
  <c r="K299" i="27"/>
  <c r="N299" i="27"/>
  <c r="P299" i="27"/>
  <c r="M528" i="27"/>
  <c r="M530" i="27" s="1"/>
  <c r="AB270" i="27"/>
  <c r="T315" i="27"/>
  <c r="T314" i="27"/>
  <c r="N315" i="27"/>
  <c r="AE284" i="27"/>
  <c r="I270" i="27"/>
  <c r="U36" i="32"/>
  <c r="U155" i="49" s="1"/>
  <c r="AI185" i="24"/>
  <c r="T148" i="49"/>
  <c r="AG69" i="54"/>
  <c r="M69" i="54"/>
  <c r="F69" i="54"/>
  <c r="G69" i="54"/>
  <c r="S69" i="54"/>
  <c r="F133" i="49"/>
  <c r="AA98" i="25"/>
  <c r="AA96" i="25" s="1"/>
  <c r="AA54" i="54" s="1"/>
  <c r="AE59" i="25"/>
  <c r="AE76" i="25" s="1"/>
  <c r="AE11" i="45" s="1"/>
  <c r="AE9" i="45" s="1"/>
  <c r="AE71" i="50" s="1"/>
  <c r="S148" i="49"/>
  <c r="AA148" i="49"/>
  <c r="Y148" i="49"/>
  <c r="W133" i="49"/>
  <c r="AG148" i="49"/>
  <c r="V148" i="49"/>
  <c r="J148" i="49"/>
  <c r="E133" i="49"/>
  <c r="AE15" i="45"/>
  <c r="P97" i="25"/>
  <c r="P148" i="49" s="1"/>
  <c r="P69" i="50"/>
  <c r="AE52" i="50"/>
  <c r="Z69" i="54"/>
  <c r="AG96" i="25"/>
  <c r="AG54" i="54" s="1"/>
  <c r="AC70" i="54"/>
  <c r="T70" i="54"/>
  <c r="AE118" i="49"/>
  <c r="Q69" i="54"/>
  <c r="AG52" i="50"/>
  <c r="M96" i="25"/>
  <c r="M20" i="45" s="1"/>
  <c r="AA70" i="54"/>
  <c r="F70" i="54"/>
  <c r="AE97" i="25"/>
  <c r="AE148" i="49" s="1"/>
  <c r="AA69" i="54"/>
  <c r="AG70" i="54"/>
  <c r="L70" i="54"/>
  <c r="P70" i="54"/>
  <c r="R70" i="54"/>
  <c r="S70" i="54"/>
  <c r="O70" i="54"/>
  <c r="I70" i="54"/>
  <c r="W70" i="54"/>
  <c r="AI148" i="49"/>
  <c r="X185" i="24"/>
  <c r="X186" i="24"/>
  <c r="L185" i="24"/>
  <c r="L186" i="24"/>
  <c r="D185" i="24"/>
  <c r="D186" i="24"/>
  <c r="Z186" i="24"/>
  <c r="Z185" i="24"/>
  <c r="E148" i="49"/>
  <c r="M148" i="49"/>
  <c r="H186" i="24"/>
  <c r="H185" i="24"/>
  <c r="C185" i="24"/>
  <c r="C186" i="24"/>
  <c r="S185" i="24"/>
  <c r="S186" i="24"/>
  <c r="B185" i="24"/>
  <c r="B186" i="24"/>
  <c r="B118" i="49" s="1"/>
  <c r="AB133" i="49"/>
  <c r="R185" i="24"/>
  <c r="R186" i="24"/>
  <c r="AB185" i="24"/>
  <c r="AB186" i="24"/>
  <c r="H148" i="49"/>
  <c r="W186" i="24"/>
  <c r="W185" i="24"/>
  <c r="F186" i="24"/>
  <c r="F185" i="24"/>
  <c r="O185" i="24"/>
  <c r="O186" i="24"/>
  <c r="E185" i="24"/>
  <c r="E186" i="24"/>
  <c r="R69" i="54"/>
  <c r="J185" i="24"/>
  <c r="J186" i="24"/>
  <c r="K186" i="24"/>
  <c r="K185" i="24"/>
  <c r="N186" i="24"/>
  <c r="N185" i="24"/>
  <c r="I185" i="24"/>
  <c r="I186" i="24"/>
  <c r="V186" i="24"/>
  <c r="V185" i="24"/>
  <c r="Y185" i="24"/>
  <c r="Y186" i="24"/>
  <c r="T185" i="24"/>
  <c r="T186" i="24"/>
  <c r="U185" i="24"/>
  <c r="U186" i="24"/>
  <c r="M185" i="24"/>
  <c r="M186" i="24"/>
  <c r="Q185" i="24"/>
  <c r="Q186" i="24"/>
  <c r="P185" i="24"/>
  <c r="P186" i="24"/>
  <c r="G185" i="24"/>
  <c r="G186" i="24"/>
  <c r="AA185" i="24"/>
  <c r="AA186" i="24"/>
  <c r="AC185" i="24"/>
  <c r="AC186" i="24"/>
  <c r="F63" i="47"/>
  <c r="AC74" i="47"/>
  <c r="AA74" i="47"/>
  <c r="R71" i="47"/>
  <c r="N74" i="47"/>
  <c r="D63" i="47"/>
  <c r="AD71" i="47"/>
  <c r="E63" i="47"/>
  <c r="U148" i="49"/>
  <c r="Y74" i="47"/>
  <c r="R133" i="49"/>
  <c r="X63" i="47"/>
  <c r="AG63" i="25"/>
  <c r="AG80" i="25" s="1"/>
  <c r="AG147" i="49" s="1"/>
  <c r="V63" i="25"/>
  <c r="V80" i="25" s="1"/>
  <c r="V147" i="49" s="1"/>
  <c r="T63" i="47"/>
  <c r="L65" i="25"/>
  <c r="L82" i="25" s="1"/>
  <c r="L18" i="45" s="1"/>
  <c r="L148" i="49"/>
  <c r="I63" i="47"/>
  <c r="R171" i="25"/>
  <c r="AA67" i="47"/>
  <c r="L60" i="47"/>
  <c r="I60" i="47"/>
  <c r="X74" i="47"/>
  <c r="R67" i="47"/>
  <c r="AE63" i="47"/>
  <c r="W178" i="44"/>
  <c r="V169" i="25" s="1"/>
  <c r="V168" i="25" s="1"/>
  <c r="V60" i="47"/>
  <c r="D63" i="25"/>
  <c r="D80" i="25" s="1"/>
  <c r="D147" i="49" s="1"/>
  <c r="AI63" i="25"/>
  <c r="AI80" i="25" s="1"/>
  <c r="AI147" i="49" s="1"/>
  <c r="F67" i="47"/>
  <c r="K67" i="47"/>
  <c r="W94" i="44"/>
  <c r="V172" i="25" s="1"/>
  <c r="AH74" i="47"/>
  <c r="J218" i="44"/>
  <c r="W67" i="47"/>
  <c r="K63" i="25"/>
  <c r="K80" i="25" s="1"/>
  <c r="K147" i="49" s="1"/>
  <c r="G63" i="47"/>
  <c r="V63" i="47"/>
  <c r="AG178" i="44"/>
  <c r="AF169" i="25" s="1"/>
  <c r="AF168" i="25" s="1"/>
  <c r="J71" i="47"/>
  <c r="AH94" i="44"/>
  <c r="AG172" i="25" s="1"/>
  <c r="F60" i="47"/>
  <c r="H63" i="47"/>
  <c r="AD94" i="44"/>
  <c r="AC172" i="25" s="1"/>
  <c r="AE84" i="25"/>
  <c r="AE133" i="49" s="1"/>
  <c r="AI94" i="44"/>
  <c r="AH172" i="25" s="1"/>
  <c r="T94" i="44"/>
  <c r="S172" i="25" s="1"/>
  <c r="T74" i="47"/>
  <c r="O63" i="47"/>
  <c r="O60" i="47"/>
  <c r="K218" i="44"/>
  <c r="AB63" i="47"/>
  <c r="L67" i="47"/>
  <c r="P63" i="47"/>
  <c r="AD63" i="47"/>
  <c r="B67" i="47"/>
  <c r="C218" i="44"/>
  <c r="P64" i="25"/>
  <c r="P81" i="25" s="1"/>
  <c r="P132" i="49" s="1"/>
  <c r="Q71" i="47"/>
  <c r="Q171" i="25"/>
  <c r="G218" i="44"/>
  <c r="W148" i="49"/>
  <c r="W65" i="25"/>
  <c r="W82" i="25" s="1"/>
  <c r="W18" i="45" s="1"/>
  <c r="F65" i="25"/>
  <c r="F82" i="25" s="1"/>
  <c r="F18" i="45" s="1"/>
  <c r="S63" i="25"/>
  <c r="S80" i="25" s="1"/>
  <c r="S147" i="49" s="1"/>
  <c r="Z171" i="25"/>
  <c r="X60" i="47"/>
  <c r="N94" i="44"/>
  <c r="M172" i="25" s="1"/>
  <c r="M170" i="25" s="1"/>
  <c r="AC71" i="47"/>
  <c r="L94" i="44"/>
  <c r="K172" i="25" s="1"/>
  <c r="K170" i="25" s="1"/>
  <c r="F178" i="44"/>
  <c r="E169" i="25" s="1"/>
  <c r="E168" i="25" s="1"/>
  <c r="J67" i="47"/>
  <c r="U74" i="47"/>
  <c r="U60" i="47"/>
  <c r="AA64" i="25"/>
  <c r="AA81" i="25" s="1"/>
  <c r="AA132" i="49" s="1"/>
  <c r="AI60" i="47"/>
  <c r="S74" i="47"/>
  <c r="G94" i="44"/>
  <c r="F172" i="25" s="1"/>
  <c r="F170" i="25" s="1"/>
  <c r="O74" i="47"/>
  <c r="U63" i="47"/>
  <c r="H71" i="47"/>
  <c r="R74" i="47"/>
  <c r="Q63" i="47"/>
  <c r="O67" i="47"/>
  <c r="E60" i="47"/>
  <c r="R218" i="44"/>
  <c r="U71" i="47"/>
  <c r="G71" i="47"/>
  <c r="H67" i="47"/>
  <c r="P171" i="25"/>
  <c r="E71" i="47"/>
  <c r="X148" i="49"/>
  <c r="E70" i="25"/>
  <c r="AC63" i="25"/>
  <c r="AC80" i="25" s="1"/>
  <c r="AC147" i="49" s="1"/>
  <c r="AA71" i="47"/>
  <c r="AB63" i="25"/>
  <c r="AB80" i="25" s="1"/>
  <c r="AB147" i="49" s="1"/>
  <c r="AB171" i="25"/>
  <c r="AF63" i="47"/>
  <c r="AG67" i="25"/>
  <c r="AG84" i="25" s="1"/>
  <c r="AG133" i="49" s="1"/>
  <c r="M71" i="47"/>
  <c r="L71" i="47"/>
  <c r="AF71" i="47"/>
  <c r="P178" i="44"/>
  <c r="P63" i="25"/>
  <c r="P80" i="25" s="1"/>
  <c r="P147" i="49" s="1"/>
  <c r="E218" i="44"/>
  <c r="Q67" i="47"/>
  <c r="O59" i="25"/>
  <c r="O76" i="25" s="1"/>
  <c r="O11" i="45" s="1"/>
  <c r="O9" i="45" s="1"/>
  <c r="O71" i="50" s="1"/>
  <c r="AI171" i="25"/>
  <c r="J94" i="44"/>
  <c r="I172" i="25" s="1"/>
  <c r="I170" i="25" s="1"/>
  <c r="J178" i="44"/>
  <c r="I169" i="25" s="1"/>
  <c r="I168" i="25" s="1"/>
  <c r="I218" i="44"/>
  <c r="J63" i="47"/>
  <c r="C64" i="25"/>
  <c r="C81" i="25" s="1"/>
  <c r="C132" i="49" s="1"/>
  <c r="H218" i="44"/>
  <c r="X63" i="25"/>
  <c r="X80" i="25" s="1"/>
  <c r="X147" i="49" s="1"/>
  <c r="Z178" i="44"/>
  <c r="Y169" i="25" s="1"/>
  <c r="Y168" i="25" s="1"/>
  <c r="M67" i="47"/>
  <c r="AG67" i="47"/>
  <c r="U67" i="47"/>
  <c r="AB71" i="47"/>
  <c r="H60" i="47"/>
  <c r="AH65" i="25"/>
  <c r="AH82" i="25" s="1"/>
  <c r="AH52" i="54" s="1"/>
  <c r="D67" i="47"/>
  <c r="AA63" i="47"/>
  <c r="I94" i="44"/>
  <c r="H172" i="25" s="1"/>
  <c r="H170" i="25" s="1"/>
  <c r="AC59" i="25"/>
  <c r="AC76" i="25" s="1"/>
  <c r="AC11" i="45" s="1"/>
  <c r="AC9" i="45" s="1"/>
  <c r="AC71" i="50" s="1"/>
  <c r="AG64" i="25"/>
  <c r="AG81" i="25" s="1"/>
  <c r="AG132" i="49" s="1"/>
  <c r="W71" i="47"/>
  <c r="Z67" i="47"/>
  <c r="C63" i="47"/>
  <c r="N71" i="47"/>
  <c r="P94" i="44"/>
  <c r="O172" i="25" s="1"/>
  <c r="O170" i="25" s="1"/>
  <c r="S171" i="25"/>
  <c r="AB94" i="44"/>
  <c r="AA172" i="25" s="1"/>
  <c r="R94" i="44"/>
  <c r="Q172" i="25" s="1"/>
  <c r="M74" i="47"/>
  <c r="D71" i="47"/>
  <c r="U171" i="25"/>
  <c r="AI59" i="25"/>
  <c r="AI76" i="25" s="1"/>
  <c r="M59" i="25"/>
  <c r="M76" i="25" s="1"/>
  <c r="AG171" i="25"/>
  <c r="S60" i="47"/>
  <c r="AC60" i="47"/>
  <c r="I61" i="25"/>
  <c r="I78" i="25" s="1"/>
  <c r="I131" i="49" s="1"/>
  <c r="C94" i="44"/>
  <c r="B172" i="25" s="1"/>
  <c r="B170" i="25" s="1"/>
  <c r="N178" i="44"/>
  <c r="AD178" i="44"/>
  <c r="AC169" i="25" s="1"/>
  <c r="AC168" i="25" s="1"/>
  <c r="AD63" i="25"/>
  <c r="AD80" i="25" s="1"/>
  <c r="AD147" i="49" s="1"/>
  <c r="N65" i="25"/>
  <c r="N82" i="25" s="1"/>
  <c r="N52" i="54" s="1"/>
  <c r="C67" i="47"/>
  <c r="P67" i="47"/>
  <c r="Q74" i="47"/>
  <c r="W74" i="47"/>
  <c r="T60" i="47"/>
  <c r="F94" i="44"/>
  <c r="E172" i="25" s="1"/>
  <c r="E170" i="25" s="1"/>
  <c r="M64" i="25"/>
  <c r="V171" i="25"/>
  <c r="I63" i="25"/>
  <c r="I80" i="25" s="1"/>
  <c r="I147" i="49" s="1"/>
  <c r="O64" i="25"/>
  <c r="O81" i="25" s="1"/>
  <c r="O132" i="49" s="1"/>
  <c r="Z133" i="49"/>
  <c r="AD64" i="25"/>
  <c r="AD81" i="25" s="1"/>
  <c r="AD132" i="49" s="1"/>
  <c r="E65" i="25"/>
  <c r="E82" i="25" s="1"/>
  <c r="E18" i="45" s="1"/>
  <c r="AH63" i="25"/>
  <c r="AH80" i="25" s="1"/>
  <c r="AH147" i="49" s="1"/>
  <c r="Y63" i="25"/>
  <c r="B71" i="47"/>
  <c r="K94" i="44"/>
  <c r="J172" i="25" s="1"/>
  <c r="J170" i="25" s="1"/>
  <c r="AF60" i="47"/>
  <c r="U178" i="44"/>
  <c r="T169" i="25" s="1"/>
  <c r="T168" i="25" s="1"/>
  <c r="AI67" i="47"/>
  <c r="V71" i="47"/>
  <c r="B60" i="47"/>
  <c r="I67" i="47"/>
  <c r="J63" i="25"/>
  <c r="J80" i="25" s="1"/>
  <c r="J147" i="49" s="1"/>
  <c r="AG71" i="47"/>
  <c r="G63" i="25"/>
  <c r="G80" i="25" s="1"/>
  <c r="G147" i="49" s="1"/>
  <c r="Q64" i="25"/>
  <c r="Q81" i="25" s="1"/>
  <c r="Q132" i="49" s="1"/>
  <c r="Y71" i="47"/>
  <c r="P71" i="47"/>
  <c r="F64" i="25"/>
  <c r="F81" i="25" s="1"/>
  <c r="F132" i="49" s="1"/>
  <c r="O94" i="44"/>
  <c r="N172" i="25" s="1"/>
  <c r="N170" i="25" s="1"/>
  <c r="R64" i="25"/>
  <c r="R81" i="25" s="1"/>
  <c r="R132" i="49" s="1"/>
  <c r="U65" i="25"/>
  <c r="U82" i="25" s="1"/>
  <c r="U52" i="54" s="1"/>
  <c r="AH71" i="47"/>
  <c r="L63" i="25"/>
  <c r="L80" i="25" s="1"/>
  <c r="L147" i="49" s="1"/>
  <c r="Z64" i="25"/>
  <c r="Z81" i="25" s="1"/>
  <c r="Z132" i="49" s="1"/>
  <c r="AA33" i="32"/>
  <c r="E64" i="25"/>
  <c r="E81" i="25" s="1"/>
  <c r="E132" i="49" s="1"/>
  <c r="Q94" i="44"/>
  <c r="P172" i="25" s="1"/>
  <c r="T67" i="47"/>
  <c r="Z71" i="47"/>
  <c r="S59" i="25"/>
  <c r="S76" i="25" s="1"/>
  <c r="S11" i="45" s="1"/>
  <c r="S9" i="45" s="1"/>
  <c r="S71" i="50" s="1"/>
  <c r="U64" i="25"/>
  <c r="U81" i="25" s="1"/>
  <c r="U132" i="49" s="1"/>
  <c r="S67" i="47"/>
  <c r="J65" i="25"/>
  <c r="J82" i="25" s="1"/>
  <c r="J18" i="45" s="1"/>
  <c r="O71" i="47"/>
  <c r="AG59" i="25"/>
  <c r="AG76" i="25" s="1"/>
  <c r="AG11" i="45" s="1"/>
  <c r="AG9" i="45" s="1"/>
  <c r="AG71" i="50" s="1"/>
  <c r="Q148" i="49"/>
  <c r="E67" i="47"/>
  <c r="M178" i="44"/>
  <c r="L169" i="25" s="1"/>
  <c r="L168" i="25" s="1"/>
  <c r="S71" i="47"/>
  <c r="AB67" i="47"/>
  <c r="E59" i="25"/>
  <c r="E76" i="25" s="1"/>
  <c r="V59" i="25"/>
  <c r="V76" i="25" s="1"/>
  <c r="V11" i="45" s="1"/>
  <c r="V9" i="45" s="1"/>
  <c r="V71" i="50" s="1"/>
  <c r="T59" i="25"/>
  <c r="T76" i="25" s="1"/>
  <c r="N64" i="25"/>
  <c r="H59" i="25"/>
  <c r="H76" i="25" s="1"/>
  <c r="H11" i="45" s="1"/>
  <c r="H9" i="45" s="1"/>
  <c r="H71" i="50" s="1"/>
  <c r="R148" i="49"/>
  <c r="AE64" i="25"/>
  <c r="AE81" i="25" s="1"/>
  <c r="AE132" i="49" s="1"/>
  <c r="AC171" i="25"/>
  <c r="F59" i="25"/>
  <c r="F76" i="25" s="1"/>
  <c r="X64" i="25"/>
  <c r="X81" i="25" s="1"/>
  <c r="X132" i="49" s="1"/>
  <c r="AB65" i="25"/>
  <c r="AB82" i="25" s="1"/>
  <c r="AB52" i="54" s="1"/>
  <c r="N59" i="25"/>
  <c r="N76" i="25" s="1"/>
  <c r="N11" i="45" s="1"/>
  <c r="N9" i="45" s="1"/>
  <c r="N71" i="50" s="1"/>
  <c r="M65" i="25"/>
  <c r="M82" i="25" s="1"/>
  <c r="M52" i="54" s="1"/>
  <c r="B148" i="49"/>
  <c r="N67" i="47"/>
  <c r="X67" i="47"/>
  <c r="X94" i="44"/>
  <c r="W172" i="25" s="1"/>
  <c r="S94" i="44"/>
  <c r="R172" i="25" s="1"/>
  <c r="Z148" i="49"/>
  <c r="B64" i="25"/>
  <c r="B81" i="25" s="1"/>
  <c r="B132" i="49" s="1"/>
  <c r="K65" i="25"/>
  <c r="K82" i="25" s="1"/>
  <c r="O63" i="25"/>
  <c r="U77" i="25"/>
  <c r="U146" i="49" s="1"/>
  <c r="U59" i="25"/>
  <c r="U76" i="25" s="1"/>
  <c r="W60" i="47"/>
  <c r="I64" i="25"/>
  <c r="T64" i="25"/>
  <c r="T171" i="25"/>
  <c r="N69" i="25"/>
  <c r="AG69" i="25"/>
  <c r="K70" i="25"/>
  <c r="V178" i="44"/>
  <c r="U169" i="25" s="1"/>
  <c r="U168" i="25" s="1"/>
  <c r="G64" i="25"/>
  <c r="I178" i="44"/>
  <c r="H169" i="25" s="1"/>
  <c r="H168" i="25" s="1"/>
  <c r="K60" i="47"/>
  <c r="J64" i="25"/>
  <c r="J81" i="25" s="1"/>
  <c r="J132" i="49" s="1"/>
  <c r="B67" i="25"/>
  <c r="V67" i="25"/>
  <c r="Y59" i="25"/>
  <c r="Y76" i="25" s="1"/>
  <c r="Y35" i="54" s="1"/>
  <c r="Y33" i="54" s="1"/>
  <c r="Y36" i="54" s="1"/>
  <c r="Y133" i="49"/>
  <c r="B63" i="25"/>
  <c r="AA94" i="44"/>
  <c r="Z172" i="25" s="1"/>
  <c r="V64" i="25"/>
  <c r="H64" i="25"/>
  <c r="H81" i="25" s="1"/>
  <c r="H132" i="49" s="1"/>
  <c r="W63" i="25"/>
  <c r="D178" i="44"/>
  <c r="C169" i="25" s="1"/>
  <c r="C168" i="25" s="1"/>
  <c r="AC64" i="25"/>
  <c r="AD67" i="25"/>
  <c r="S67" i="25"/>
  <c r="X61" i="25"/>
  <c r="Y178" i="44"/>
  <c r="X169" i="25" s="1"/>
  <c r="X168" i="25" s="1"/>
  <c r="D69" i="25"/>
  <c r="S64" i="25"/>
  <c r="O67" i="25"/>
  <c r="P67" i="25"/>
  <c r="AF34" i="32"/>
  <c r="R65" i="25"/>
  <c r="R82" i="25" s="1"/>
  <c r="R52" i="54" s="1"/>
  <c r="Q59" i="25"/>
  <c r="Q76" i="25" s="1"/>
  <c r="M78" i="25"/>
  <c r="M131" i="49" s="1"/>
  <c r="AC148" i="49"/>
  <c r="D64" i="25"/>
  <c r="D81" i="25" s="1"/>
  <c r="D132" i="49" s="1"/>
  <c r="AF64" i="25"/>
  <c r="AF171" i="25"/>
  <c r="H63" i="25"/>
  <c r="AG94" i="44"/>
  <c r="AF172" i="25" s="1"/>
  <c r="I67" i="25"/>
  <c r="X171" i="25"/>
  <c r="AH64" i="25"/>
  <c r="AH81" i="25" s="1"/>
  <c r="AH132" i="49" s="1"/>
  <c r="AH171" i="25"/>
  <c r="AF67" i="25"/>
  <c r="AE78" i="25"/>
  <c r="AE131" i="49" s="1"/>
  <c r="Y65" i="25"/>
  <c r="Y82" i="25" s="1"/>
  <c r="Y52" i="54" s="1"/>
  <c r="Z65" i="25"/>
  <c r="Z82" i="25" s="1"/>
  <c r="Z52" i="54" s="1"/>
  <c r="J133" i="49"/>
  <c r="AI63" i="47"/>
  <c r="W171" i="25"/>
  <c r="W64" i="25"/>
  <c r="W81" i="25" s="1"/>
  <c r="W132" i="49" s="1"/>
  <c r="AA63" i="25"/>
  <c r="Q63" i="25"/>
  <c r="AF94" i="44"/>
  <c r="AE172" i="25" s="1"/>
  <c r="E94" i="44"/>
  <c r="D172" i="25" s="1"/>
  <c r="D170" i="25" s="1"/>
  <c r="AA69" i="25"/>
  <c r="AF69" i="25"/>
  <c r="X178" i="44"/>
  <c r="W169" i="25" s="1"/>
  <c r="W168" i="25" s="1"/>
  <c r="W61" i="25"/>
  <c r="X67" i="25"/>
  <c r="AF59" i="25"/>
  <c r="AF76" i="25" s="1"/>
  <c r="AF11" i="45" s="1"/>
  <c r="AF9" i="45" s="1"/>
  <c r="AF71" i="50" s="1"/>
  <c r="P59" i="25"/>
  <c r="P76" i="25" s="1"/>
  <c r="AA61" i="25"/>
  <c r="AA78" i="25" s="1"/>
  <c r="AA131" i="49" s="1"/>
  <c r="AB178" i="44"/>
  <c r="AA169" i="25" s="1"/>
  <c r="AA168" i="25" s="1"/>
  <c r="AC94" i="44"/>
  <c r="AB172" i="25" s="1"/>
  <c r="AB64" i="25"/>
  <c r="C59" i="25"/>
  <c r="C76" i="25" s="1"/>
  <c r="AJ94" i="44"/>
  <c r="AI172" i="25" s="1"/>
  <c r="AI64" i="25"/>
  <c r="AI81" i="25" s="1"/>
  <c r="AI132" i="49" s="1"/>
  <c r="H67" i="25"/>
  <c r="AI70" i="25"/>
  <c r="AI87" i="25" s="1"/>
  <c r="AI134" i="49" s="1"/>
  <c r="D59" i="25"/>
  <c r="D76" i="25" s="1"/>
  <c r="D35" i="54" s="1"/>
  <c r="D33" i="54" s="1"/>
  <c r="D36" i="54" s="1"/>
  <c r="D77" i="25"/>
  <c r="D146" i="49" s="1"/>
  <c r="AI67" i="25"/>
  <c r="D94" i="44"/>
  <c r="C172" i="25" s="1"/>
  <c r="C170" i="25" s="1"/>
  <c r="Q69" i="25"/>
  <c r="K61" i="25"/>
  <c r="L178" i="44"/>
  <c r="K169" i="25" s="1"/>
  <c r="K168" i="25" s="1"/>
  <c r="L59" i="25"/>
  <c r="L76" i="25" s="1"/>
  <c r="L11" i="45" s="1"/>
  <c r="L9" i="45" s="1"/>
  <c r="L71" i="50" s="1"/>
  <c r="K64" i="25"/>
  <c r="K81" i="25" s="1"/>
  <c r="K132" i="49" s="1"/>
  <c r="AD83" i="47"/>
  <c r="AD82" i="47" s="1"/>
  <c r="AD52" i="31"/>
  <c r="Y69" i="50"/>
  <c r="I52" i="50"/>
  <c r="H70" i="54"/>
  <c r="AH70" i="54"/>
  <c r="AI70" i="54"/>
  <c r="X96" i="25"/>
  <c r="X20" i="45" s="1"/>
  <c r="AB70" i="54"/>
  <c r="Z70" i="54"/>
  <c r="AC69" i="50"/>
  <c r="T96" i="25"/>
  <c r="T20" i="45" s="1"/>
  <c r="U70" i="54"/>
  <c r="U69" i="50"/>
  <c r="M133" i="49"/>
  <c r="AI96" i="25"/>
  <c r="AI54" i="54" s="1"/>
  <c r="L96" i="25"/>
  <c r="L54" i="54" s="1"/>
  <c r="T69" i="54"/>
  <c r="V52" i="50"/>
  <c r="AD69" i="50"/>
  <c r="O52" i="50"/>
  <c r="AB96" i="25"/>
  <c r="AB20" i="45" s="1"/>
  <c r="H96" i="25"/>
  <c r="H54" i="54" s="1"/>
  <c r="AH96" i="25"/>
  <c r="AH54" i="54" s="1"/>
  <c r="AD148" i="49"/>
  <c r="AG186" i="24"/>
  <c r="AG185" i="24"/>
  <c r="D96" i="25"/>
  <c r="D20" i="45" s="1"/>
  <c r="G69" i="50"/>
  <c r="AD96" i="25"/>
  <c r="AD54" i="54" s="1"/>
  <c r="AD186" i="24"/>
  <c r="AD185" i="24"/>
  <c r="AF185" i="24"/>
  <c r="AF186" i="24"/>
  <c r="B96" i="25"/>
  <c r="B20" i="45" s="1"/>
  <c r="AH185" i="24"/>
  <c r="AH186" i="24"/>
  <c r="AI118" i="49"/>
  <c r="AI15" i="45"/>
  <c r="AI49" i="54"/>
  <c r="X70" i="54"/>
  <c r="V70" i="54"/>
  <c r="AF70" i="54"/>
  <c r="Q52" i="50"/>
  <c r="AF52" i="50"/>
  <c r="K52" i="50"/>
  <c r="F52" i="50"/>
  <c r="AA52" i="50"/>
  <c r="C52" i="50"/>
  <c r="Z69" i="50"/>
  <c r="U96" i="25"/>
  <c r="U20" i="45" s="1"/>
  <c r="N96" i="25"/>
  <c r="N20" i="45" s="1"/>
  <c r="F148" i="49"/>
  <c r="G96" i="25"/>
  <c r="Y96" i="25"/>
  <c r="E96" i="25"/>
  <c r="E20" i="45" s="1"/>
  <c r="J96" i="25"/>
  <c r="J54" i="54" s="1"/>
  <c r="N148" i="49"/>
  <c r="Q96" i="25"/>
  <c r="U133" i="49"/>
  <c r="N133" i="49"/>
  <c r="AC96" i="25"/>
  <c r="AC20" i="45" s="1"/>
  <c r="C96" i="25"/>
  <c r="W96" i="25"/>
  <c r="W54" i="54" s="1"/>
  <c r="O96" i="25"/>
  <c r="O20" i="45" s="1"/>
  <c r="R96" i="25"/>
  <c r="AF148" i="49"/>
  <c r="K96" i="25"/>
  <c r="K20" i="45" s="1"/>
  <c r="F96" i="25"/>
  <c r="AH133" i="49"/>
  <c r="D148" i="49"/>
  <c r="AF96" i="25"/>
  <c r="AF20" i="45" s="1"/>
  <c r="AB148" i="49"/>
  <c r="K148" i="49"/>
  <c r="L133" i="49"/>
  <c r="V96" i="25"/>
  <c r="V54" i="54" s="1"/>
  <c r="Z96" i="25"/>
  <c r="H52" i="50"/>
  <c r="AB52" i="50"/>
  <c r="X69" i="50"/>
  <c r="E69" i="50"/>
  <c r="S52" i="50"/>
  <c r="R52" i="50"/>
  <c r="X55" i="50"/>
  <c r="X75" i="50"/>
  <c r="AA36" i="45"/>
  <c r="AA75" i="50" s="1"/>
  <c r="L36" i="45"/>
  <c r="L75" i="50" s="1"/>
  <c r="AH55" i="50"/>
  <c r="B75" i="50"/>
  <c r="AV29" i="50" s="1"/>
  <c r="W55" i="50"/>
  <c r="M75" i="50"/>
  <c r="S75" i="50"/>
  <c r="T55" i="50"/>
  <c r="N55" i="50"/>
  <c r="R55" i="50"/>
  <c r="Z55" i="50"/>
  <c r="P75" i="50"/>
  <c r="Y55" i="50"/>
  <c r="Y75" i="50"/>
  <c r="AD55" i="50"/>
  <c r="AF55" i="50"/>
  <c r="I55" i="50"/>
  <c r="AH46" i="32"/>
  <c r="AH30" i="32" s="1"/>
  <c r="AH35" i="32" s="1"/>
  <c r="P35" i="32"/>
  <c r="P140" i="49" s="1"/>
  <c r="O36" i="32"/>
  <c r="O155" i="49" s="1"/>
  <c r="L35" i="32"/>
  <c r="L140" i="49" s="1"/>
  <c r="O35" i="32"/>
  <c r="M35" i="32"/>
  <c r="AC46" i="32"/>
  <c r="AC30" i="32" s="1"/>
  <c r="AC35" i="32" s="1"/>
  <c r="AE35" i="32"/>
  <c r="AF35" i="32"/>
  <c r="AI46" i="32"/>
  <c r="AI30" i="32" s="1"/>
  <c r="AI35" i="32" s="1"/>
  <c r="AH31" i="32"/>
  <c r="AH36" i="32" s="1"/>
  <c r="AH155" i="49" s="1"/>
  <c r="AD46" i="32"/>
  <c r="AD30" i="32" s="1"/>
  <c r="AD35" i="32" s="1"/>
  <c r="Y35" i="32"/>
  <c r="AB47" i="32"/>
  <c r="AB48" i="32" s="1"/>
  <c r="AB32" i="32" s="1"/>
  <c r="AC48" i="32"/>
  <c r="AC32" i="32" s="1"/>
  <c r="AC36" i="32" s="1"/>
  <c r="AC155" i="49" s="1"/>
  <c r="V35" i="32"/>
  <c r="V140" i="49" s="1"/>
  <c r="AB35" i="32"/>
  <c r="Z35" i="32"/>
  <c r="U35" i="32"/>
  <c r="Y36" i="32"/>
  <c r="Y155" i="49" s="1"/>
  <c r="W35" i="32"/>
  <c r="X35" i="32"/>
  <c r="AG46" i="32"/>
  <c r="AG30" i="32" s="1"/>
  <c r="AG35" i="32" s="1"/>
  <c r="AE47" i="32"/>
  <c r="AE48" i="32" s="1"/>
  <c r="AE32" i="32" s="1"/>
  <c r="R35" i="32"/>
  <c r="AA46" i="32"/>
  <c r="AA30" i="32" s="1"/>
  <c r="S35" i="32"/>
  <c r="AI48" i="32"/>
  <c r="AI32" i="32" s="1"/>
  <c r="AI36" i="32" s="1"/>
  <c r="T35" i="32"/>
  <c r="AF47" i="32"/>
  <c r="AF48" i="32" s="1"/>
  <c r="AF32" i="32" s="1"/>
  <c r="V36" i="32"/>
  <c r="V155" i="49" s="1"/>
  <c r="AG31" i="32"/>
  <c r="AG48" i="32"/>
  <c r="AG32" i="32" s="1"/>
  <c r="Z47" i="32"/>
  <c r="X48" i="32"/>
  <c r="X32" i="32" s="1"/>
  <c r="X31" i="32"/>
  <c r="R48" i="32"/>
  <c r="R32" i="32" s="1"/>
  <c r="R31" i="32"/>
  <c r="N46" i="32"/>
  <c r="N30" i="32" s="1"/>
  <c r="N35" i="32" s="1"/>
  <c r="N47" i="32"/>
  <c r="L31" i="32"/>
  <c r="L48" i="32"/>
  <c r="L32" i="32" s="1"/>
  <c r="AD31" i="32"/>
  <c r="AD48" i="32"/>
  <c r="AD32" i="32" s="1"/>
  <c r="AA31" i="32"/>
  <c r="AA48" i="32"/>
  <c r="AA32" i="32" s="1"/>
  <c r="Q35" i="32"/>
  <c r="T48" i="32"/>
  <c r="T32" i="32" s="1"/>
  <c r="T31" i="32"/>
  <c r="W31" i="32"/>
  <c r="W48" i="32"/>
  <c r="W32" i="32" s="1"/>
  <c r="Q48" i="32"/>
  <c r="Q32" i="32" s="1"/>
  <c r="Q31" i="32"/>
  <c r="M31" i="32"/>
  <c r="M48" i="32"/>
  <c r="M32" i="32" s="1"/>
  <c r="P31" i="32"/>
  <c r="P48" i="32"/>
  <c r="P32" i="32" s="1"/>
  <c r="S36" i="32"/>
  <c r="AB55" i="50"/>
  <c r="AB75" i="50"/>
  <c r="O55" i="50"/>
  <c r="O75" i="50"/>
  <c r="C75" i="50"/>
  <c r="C55" i="50"/>
  <c r="E55" i="50"/>
  <c r="E75" i="50"/>
  <c r="V75" i="50"/>
  <c r="V55" i="50"/>
  <c r="AC55" i="50"/>
  <c r="AC75" i="50"/>
  <c r="Q75" i="50"/>
  <c r="J75" i="50"/>
  <c r="J55" i="50"/>
  <c r="F55" i="50"/>
  <c r="F75" i="50"/>
  <c r="D55" i="50"/>
  <c r="D75" i="50"/>
  <c r="H75" i="50"/>
  <c r="H55" i="50"/>
  <c r="U55" i="50"/>
  <c r="U75" i="50"/>
  <c r="AG55" i="50"/>
  <c r="AE55" i="50"/>
  <c r="AE75" i="50"/>
  <c r="K75" i="50"/>
  <c r="K55" i="50"/>
  <c r="G75" i="50"/>
  <c r="G55" i="50"/>
  <c r="E70" i="54"/>
  <c r="AD70" i="54"/>
  <c r="B52" i="50"/>
  <c r="AN36" i="50" s="1"/>
  <c r="Y70" i="54"/>
  <c r="Y69" i="54"/>
  <c r="L52" i="50"/>
  <c r="W69" i="50"/>
  <c r="N52" i="50"/>
  <c r="AB69" i="54"/>
  <c r="AH69" i="50"/>
  <c r="P69" i="54"/>
  <c r="K69" i="54"/>
  <c r="C69" i="54"/>
  <c r="N69" i="54"/>
  <c r="K70" i="54"/>
  <c r="J70" i="54"/>
  <c r="L69" i="54"/>
  <c r="AB54" i="50"/>
  <c r="D69" i="50"/>
  <c r="X69" i="54"/>
  <c r="AD69" i="54"/>
  <c r="AF116" i="54"/>
  <c r="M70" i="54"/>
  <c r="C70" i="54"/>
  <c r="V69" i="54"/>
  <c r="N70" i="54"/>
  <c r="AC69" i="54"/>
  <c r="AI116" i="54"/>
  <c r="Q70" i="54"/>
  <c r="AE69" i="54"/>
  <c r="AE70" i="54"/>
  <c r="AI69" i="54"/>
  <c r="W69" i="54"/>
  <c r="AH69" i="54"/>
  <c r="U69" i="54"/>
  <c r="Z116" i="54"/>
  <c r="AA116" i="54"/>
  <c r="R72" i="50"/>
  <c r="J72" i="50"/>
  <c r="AI117" i="54"/>
  <c r="AF54" i="50"/>
  <c r="Z54" i="50"/>
  <c r="B54" i="50"/>
  <c r="AN38" i="50" s="1"/>
  <c r="AE72" i="50"/>
  <c r="L116" i="54"/>
  <c r="X32" i="45"/>
  <c r="X72" i="50" s="1"/>
  <c r="F32" i="45"/>
  <c r="F54" i="50" s="1"/>
  <c r="Y116" i="54"/>
  <c r="R107" i="54"/>
  <c r="R115" i="54" s="1"/>
  <c r="R117" i="54" s="1"/>
  <c r="V116" i="54"/>
  <c r="U117" i="54"/>
  <c r="AH54" i="50"/>
  <c r="K116" i="54"/>
  <c r="U32" i="45"/>
  <c r="U54" i="50" s="1"/>
  <c r="J116" i="54"/>
  <c r="Y54" i="50"/>
  <c r="AB116" i="54"/>
  <c r="K54" i="50"/>
  <c r="K72" i="50"/>
  <c r="Q32" i="45"/>
  <c r="L72" i="50"/>
  <c r="L54" i="50"/>
  <c r="I116" i="54"/>
  <c r="AD32" i="45"/>
  <c r="AD107" i="54"/>
  <c r="AD115" i="54" s="1"/>
  <c r="O32" i="45"/>
  <c r="O107" i="54"/>
  <c r="O115" i="54" s="1"/>
  <c r="N107" i="54"/>
  <c r="N115" i="54" s="1"/>
  <c r="N117" i="54" s="1"/>
  <c r="N32" i="45"/>
  <c r="S107" i="54"/>
  <c r="S115" i="54" s="1"/>
  <c r="S32" i="45"/>
  <c r="P107" i="54"/>
  <c r="P115" i="54" s="1"/>
  <c r="P32" i="45"/>
  <c r="C107" i="54"/>
  <c r="C115" i="54" s="1"/>
  <c r="C116" i="54" s="1"/>
  <c r="C32" i="45"/>
  <c r="AC116" i="54"/>
  <c r="E107" i="54"/>
  <c r="E115" i="54" s="1"/>
  <c r="E32" i="45"/>
  <c r="W107" i="54"/>
  <c r="W115" i="54" s="1"/>
  <c r="W32" i="45"/>
  <c r="M107" i="54"/>
  <c r="M115" i="54" s="1"/>
  <c r="M32" i="45"/>
  <c r="G32" i="45"/>
  <c r="G107" i="54"/>
  <c r="G115" i="54" s="1"/>
  <c r="AG107" i="54"/>
  <c r="AG115" i="54" s="1"/>
  <c r="AG32" i="45"/>
  <c r="I72" i="50"/>
  <c r="I54" i="50"/>
  <c r="H72" i="50"/>
  <c r="H54" i="50"/>
  <c r="D32" i="45"/>
  <c r="D107" i="54"/>
  <c r="D115" i="54" s="1"/>
  <c r="T32" i="45"/>
  <c r="T107" i="54"/>
  <c r="T115" i="54" s="1"/>
  <c r="H69" i="54"/>
  <c r="G70" i="54"/>
  <c r="M69" i="50"/>
  <c r="M52" i="50"/>
  <c r="O69" i="54"/>
  <c r="J69" i="50"/>
  <c r="J52" i="50"/>
  <c r="D70" i="54"/>
  <c r="D69" i="54"/>
  <c r="E69" i="54"/>
  <c r="T52" i="50"/>
  <c r="T69" i="50"/>
  <c r="AI69" i="50"/>
  <c r="AR23" i="50" s="1"/>
  <c r="M458" i="27" l="1"/>
  <c r="M459" i="27" s="1"/>
  <c r="G458" i="27"/>
  <c r="J458" i="27"/>
  <c r="E458" i="27"/>
  <c r="E75" i="27" s="1"/>
  <c r="N458" i="27"/>
  <c r="N459" i="27" s="1"/>
  <c r="W458" i="27"/>
  <c r="W75" i="27" s="1"/>
  <c r="Z458" i="27"/>
  <c r="Z459" i="27" s="1"/>
  <c r="R458" i="27"/>
  <c r="R459" i="27" s="1"/>
  <c r="I458" i="27"/>
  <c r="I459" i="27" s="1"/>
  <c r="L458" i="27"/>
  <c r="F363" i="53"/>
  <c r="F77" i="27" s="1"/>
  <c r="K363" i="53"/>
  <c r="K364" i="53" s="1"/>
  <c r="I363" i="53"/>
  <c r="I77" i="27" s="1"/>
  <c r="C363" i="53"/>
  <c r="C77" i="27" s="1"/>
  <c r="S363" i="53"/>
  <c r="S364" i="53" s="1"/>
  <c r="O364" i="53"/>
  <c r="O61" i="27" s="1"/>
  <c r="N31" i="45" s="1"/>
  <c r="R363" i="53"/>
  <c r="R364" i="53" s="1"/>
  <c r="N363" i="53"/>
  <c r="N364" i="53" s="1"/>
  <c r="N61" i="27" s="1"/>
  <c r="M31" i="45" s="1"/>
  <c r="V364" i="53"/>
  <c r="V61" i="27" s="1"/>
  <c r="U31" i="45" s="1"/>
  <c r="G363" i="53"/>
  <c r="G364" i="53" s="1"/>
  <c r="T363" i="53"/>
  <c r="T364" i="53" s="1"/>
  <c r="T61" i="27" s="1"/>
  <c r="S31" i="45" s="1"/>
  <c r="U363" i="53"/>
  <c r="U364" i="53" s="1"/>
  <c r="U61" i="27" s="1"/>
  <c r="T31" i="45" s="1"/>
  <c r="E363" i="53"/>
  <c r="E364" i="53" s="1"/>
  <c r="L363" i="53"/>
  <c r="L364" i="53" s="1"/>
  <c r="L61" i="27" s="1"/>
  <c r="K31" i="45" s="1"/>
  <c r="H363" i="53"/>
  <c r="H77" i="27" s="1"/>
  <c r="J363" i="53"/>
  <c r="J364" i="53" s="1"/>
  <c r="W77" i="27"/>
  <c r="D363" i="53"/>
  <c r="D77" i="27" s="1"/>
  <c r="M364" i="53"/>
  <c r="Q363" i="53"/>
  <c r="Q364" i="53" s="1"/>
  <c r="Q61" i="27" s="1"/>
  <c r="P31" i="45" s="1"/>
  <c r="P363" i="53"/>
  <c r="P77" i="27" s="1"/>
  <c r="AI227" i="53"/>
  <c r="AI228" i="53" s="1"/>
  <c r="AH227" i="53"/>
  <c r="AH228" i="53" s="1"/>
  <c r="H458" i="27"/>
  <c r="H75" i="27" s="1"/>
  <c r="T458" i="27"/>
  <c r="T75" i="27" s="1"/>
  <c r="V458" i="27"/>
  <c r="Y458" i="27"/>
  <c r="Y459" i="27" s="1"/>
  <c r="O458" i="27"/>
  <c r="O75" i="27" s="1"/>
  <c r="X458" i="27"/>
  <c r="X459" i="27" s="1"/>
  <c r="P458" i="27"/>
  <c r="U458" i="27"/>
  <c r="K458" i="27"/>
  <c r="K459" i="27" s="1"/>
  <c r="F458" i="27"/>
  <c r="F75" i="27" s="1"/>
  <c r="S458" i="27"/>
  <c r="S75" i="27" s="1"/>
  <c r="Q458" i="27"/>
  <c r="Q459" i="27" s="1"/>
  <c r="D458" i="27"/>
  <c r="D75" i="27" s="1"/>
  <c r="I316" i="27"/>
  <c r="I321" i="27" s="1"/>
  <c r="I322" i="27" s="1"/>
  <c r="T316" i="27"/>
  <c r="T321" i="27" s="1"/>
  <c r="T322" i="27" s="1"/>
  <c r="AC321" i="27"/>
  <c r="AC322" i="27" s="1"/>
  <c r="U316" i="27"/>
  <c r="U321" i="27" s="1"/>
  <c r="U322" i="27" s="1"/>
  <c r="L321" i="27"/>
  <c r="L322" i="27" s="1"/>
  <c r="AB321" i="27"/>
  <c r="AB322" i="27" s="1"/>
  <c r="J316" i="27"/>
  <c r="J321" i="27" s="1"/>
  <c r="J322" i="27" s="1"/>
  <c r="K321" i="27"/>
  <c r="K322" i="27" s="1"/>
  <c r="W321" i="27"/>
  <c r="W322" i="27" s="1"/>
  <c r="V316" i="27"/>
  <c r="V321" i="27" s="1"/>
  <c r="V322" i="27" s="1"/>
  <c r="R321" i="27"/>
  <c r="R322" i="27" s="1"/>
  <c r="N316" i="27"/>
  <c r="N321" i="27" s="1"/>
  <c r="N322" i="27" s="1"/>
  <c r="AG321" i="27"/>
  <c r="AG322" i="27" s="1"/>
  <c r="AF321" i="27"/>
  <c r="AF322" i="27" s="1"/>
  <c r="E321" i="27"/>
  <c r="AH321" i="27"/>
  <c r="AH322" i="27" s="1"/>
  <c r="Z321" i="27"/>
  <c r="Z322" i="27" s="1"/>
  <c r="D316" i="27"/>
  <c r="D321" i="27" s="1"/>
  <c r="O316" i="27"/>
  <c r="O321" i="27" s="1"/>
  <c r="O322" i="27" s="1"/>
  <c r="M321" i="27"/>
  <c r="M322" i="27" s="1"/>
  <c r="AJ321" i="27"/>
  <c r="AJ322" i="27" s="1"/>
  <c r="S321" i="27"/>
  <c r="S322" i="27" s="1"/>
  <c r="Y321" i="27"/>
  <c r="Y322" i="27" s="1"/>
  <c r="AI321" i="27"/>
  <c r="AI322" i="27" s="1"/>
  <c r="X321" i="27"/>
  <c r="X322" i="27" s="1"/>
  <c r="AD321" i="27"/>
  <c r="AD322" i="27" s="1"/>
  <c r="Q321" i="27"/>
  <c r="G321" i="27"/>
  <c r="G322" i="27" s="1"/>
  <c r="AE321" i="27"/>
  <c r="AE322" i="27" s="1"/>
  <c r="AA321" i="27"/>
  <c r="AA322" i="27" s="1"/>
  <c r="P321" i="27"/>
  <c r="P322" i="27" s="1"/>
  <c r="F321" i="27"/>
  <c r="F322" i="27" s="1"/>
  <c r="H321" i="27"/>
  <c r="H322" i="27" s="1"/>
  <c r="C321" i="27"/>
  <c r="I148" i="49"/>
  <c r="I156" i="49" s="1"/>
  <c r="S76" i="27"/>
  <c r="AJ77" i="27"/>
  <c r="R76" i="27"/>
  <c r="F76" i="27"/>
  <c r="AJ96" i="54"/>
  <c r="O174" i="25"/>
  <c r="O173" i="25" s="1"/>
  <c r="N174" i="25"/>
  <c r="N173" i="25" s="1"/>
  <c r="K177" i="25"/>
  <c r="N169" i="25"/>
  <c r="N168" i="25" s="1"/>
  <c r="O169" i="25"/>
  <c r="O168" i="25" s="1"/>
  <c r="M169" i="25"/>
  <c r="M168" i="25" s="1"/>
  <c r="C178" i="44"/>
  <c r="B169" i="25" s="1"/>
  <c r="B168" i="25" s="1"/>
  <c r="B78" i="25"/>
  <c r="B131" i="49" s="1"/>
  <c r="B59" i="25"/>
  <c r="B76" i="25" s="1"/>
  <c r="B11" i="45" s="1"/>
  <c r="B9" i="45" s="1"/>
  <c r="B71" i="50" s="1"/>
  <c r="AV25" i="50" s="1"/>
  <c r="D65" i="25"/>
  <c r="D82" i="25" s="1"/>
  <c r="D18" i="45" s="1"/>
  <c r="G65" i="25"/>
  <c r="G82" i="25" s="1"/>
  <c r="G52" i="54" s="1"/>
  <c r="T65" i="25"/>
  <c r="T82" i="25" s="1"/>
  <c r="T18" i="45" s="1"/>
  <c r="AA65" i="25"/>
  <c r="AA82" i="25" s="1"/>
  <c r="AA52" i="54" s="1"/>
  <c r="AA50" i="54" s="1"/>
  <c r="C65" i="25"/>
  <c r="C82" i="25" s="1"/>
  <c r="C18" i="45" s="1"/>
  <c r="Q65" i="25"/>
  <c r="Q82" i="25" s="1"/>
  <c r="Q52" i="54" s="1"/>
  <c r="AC65" i="25"/>
  <c r="AC82" i="25" s="1"/>
  <c r="AC18" i="45" s="1"/>
  <c r="AC16" i="45" s="1"/>
  <c r="F63" i="44"/>
  <c r="M63" i="44"/>
  <c r="V63" i="44"/>
  <c r="U176" i="25" s="1"/>
  <c r="U175" i="25" s="1"/>
  <c r="I63" i="44"/>
  <c r="H176" i="25" s="1"/>
  <c r="H175" i="25" s="1"/>
  <c r="AI63" i="44"/>
  <c r="AH176" i="25" s="1"/>
  <c r="AH175" i="25" s="1"/>
  <c r="K69" i="25"/>
  <c r="K86" i="25" s="1"/>
  <c r="K149" i="49" s="1"/>
  <c r="J63" i="44"/>
  <c r="AC63" i="44"/>
  <c r="AB176" i="25" s="1"/>
  <c r="AB175" i="25" s="1"/>
  <c r="AJ63" i="44"/>
  <c r="AI176" i="25" s="1"/>
  <c r="AI175" i="25" s="1"/>
  <c r="P63" i="44"/>
  <c r="Y63" i="44"/>
  <c r="X176" i="25" s="1"/>
  <c r="X175" i="25" s="1"/>
  <c r="E63" i="44"/>
  <c r="D176" i="25" s="1"/>
  <c r="D175" i="25" s="1"/>
  <c r="T63" i="44"/>
  <c r="S176" i="25" s="1"/>
  <c r="S175" i="25" s="1"/>
  <c r="AH63" i="44"/>
  <c r="AG176" i="25" s="1"/>
  <c r="AG175" i="25" s="1"/>
  <c r="K63" i="44"/>
  <c r="J176" i="25" s="1"/>
  <c r="J175" i="25" s="1"/>
  <c r="O63" i="44"/>
  <c r="H86" i="25"/>
  <c r="H149" i="49" s="1"/>
  <c r="R63" i="44"/>
  <c r="Q176" i="25" s="1"/>
  <c r="Q175" i="25" s="1"/>
  <c r="W63" i="44"/>
  <c r="V176" i="25" s="1"/>
  <c r="V175" i="25" s="1"/>
  <c r="AF63" i="44"/>
  <c r="AE176" i="25" s="1"/>
  <c r="AE175" i="25" s="1"/>
  <c r="D63" i="44"/>
  <c r="C176" i="25" s="1"/>
  <c r="C175" i="25" s="1"/>
  <c r="G63" i="44"/>
  <c r="X63" i="44"/>
  <c r="W176" i="25" s="1"/>
  <c r="W175" i="25" s="1"/>
  <c r="H70" i="25"/>
  <c r="H87" i="25" s="1"/>
  <c r="H134" i="49" s="1"/>
  <c r="H63" i="44"/>
  <c r="C63" i="44"/>
  <c r="B176" i="25" s="1"/>
  <c r="B175" i="25" s="1"/>
  <c r="AE52" i="54"/>
  <c r="Z63" i="44"/>
  <c r="Y176" i="25" s="1"/>
  <c r="Y175" i="25" s="1"/>
  <c r="R48" i="59"/>
  <c r="N63" i="44"/>
  <c r="AE87" i="25"/>
  <c r="AE134" i="49" s="1"/>
  <c r="AE68" i="25"/>
  <c r="AE85" i="25" s="1"/>
  <c r="AE80" i="54" s="1"/>
  <c r="AE78" i="54" s="1"/>
  <c r="AE83" i="54" s="1"/>
  <c r="AB63" i="44"/>
  <c r="AA176" i="25" s="1"/>
  <c r="AA175" i="25" s="1"/>
  <c r="AB70" i="25"/>
  <c r="AD63" i="44"/>
  <c r="AC176" i="25" s="1"/>
  <c r="AC175" i="25" s="1"/>
  <c r="AE63" i="44"/>
  <c r="AD176" i="25" s="1"/>
  <c r="AD175" i="25" s="1"/>
  <c r="AA63" i="44"/>
  <c r="Z176" i="25" s="1"/>
  <c r="Z175" i="25" s="1"/>
  <c r="Q63" i="44"/>
  <c r="P176" i="25" s="1"/>
  <c r="P175" i="25" s="1"/>
  <c r="AF70" i="25"/>
  <c r="AF87" i="25" s="1"/>
  <c r="AF134" i="49" s="1"/>
  <c r="U63" i="44"/>
  <c r="T176" i="25" s="1"/>
  <c r="T175" i="25" s="1"/>
  <c r="L87" i="25"/>
  <c r="L134" i="49" s="1"/>
  <c r="L68" i="25"/>
  <c r="L85" i="25" s="1"/>
  <c r="L80" i="54" s="1"/>
  <c r="W87" i="25"/>
  <c r="W134" i="49" s="1"/>
  <c r="W68" i="25"/>
  <c r="W85" i="25" s="1"/>
  <c r="W80" i="54" s="1"/>
  <c r="W78" i="54" s="1"/>
  <c r="W83" i="54" s="1"/>
  <c r="AC87" i="25"/>
  <c r="AC134" i="49" s="1"/>
  <c r="AC68" i="25"/>
  <c r="AC85" i="25" s="1"/>
  <c r="AC26" i="45" s="1"/>
  <c r="AC24" i="45" s="1"/>
  <c r="T87" i="25"/>
  <c r="T134" i="49" s="1"/>
  <c r="T68" i="25"/>
  <c r="T85" i="25" s="1"/>
  <c r="T26" i="45" s="1"/>
  <c r="T24" i="45" s="1"/>
  <c r="T68" i="50" s="1"/>
  <c r="S87" i="25"/>
  <c r="S134" i="49" s="1"/>
  <c r="S68" i="25"/>
  <c r="S85" i="25" s="1"/>
  <c r="S80" i="54" s="1"/>
  <c r="S78" i="54" s="1"/>
  <c r="S83" i="54" s="1"/>
  <c r="Z87" i="25"/>
  <c r="Z134" i="49" s="1"/>
  <c r="Z68" i="25"/>
  <c r="Z85" i="25" s="1"/>
  <c r="Z80" i="54" s="1"/>
  <c r="Z78" i="54" s="1"/>
  <c r="Z83" i="54" s="1"/>
  <c r="B87" i="25"/>
  <c r="B134" i="49" s="1"/>
  <c r="B68" i="25"/>
  <c r="B85" i="25" s="1"/>
  <c r="B80" i="54" s="1"/>
  <c r="J87" i="25"/>
  <c r="J134" i="49" s="1"/>
  <c r="J68" i="25"/>
  <c r="J85" i="25" s="1"/>
  <c r="J26" i="45" s="1"/>
  <c r="F87" i="25"/>
  <c r="F134" i="49" s="1"/>
  <c r="F68" i="25"/>
  <c r="F85" i="25" s="1"/>
  <c r="F26" i="45" s="1"/>
  <c r="AH87" i="25"/>
  <c r="AH134" i="49" s="1"/>
  <c r="AH68" i="25"/>
  <c r="AH85" i="25" s="1"/>
  <c r="AH80" i="54" s="1"/>
  <c r="AH78" i="54" s="1"/>
  <c r="AH83" i="54" s="1"/>
  <c r="Y87" i="25"/>
  <c r="Y134" i="49" s="1"/>
  <c r="Y68" i="25"/>
  <c r="Y85" i="25" s="1"/>
  <c r="Y26" i="45" s="1"/>
  <c r="Y24" i="45" s="1"/>
  <c r="Y68" i="50" s="1"/>
  <c r="I87" i="25"/>
  <c r="I134" i="49" s="1"/>
  <c r="I68" i="25"/>
  <c r="I85" i="25" s="1"/>
  <c r="I26" i="45" s="1"/>
  <c r="X87" i="25"/>
  <c r="X134" i="49" s="1"/>
  <c r="X68" i="25"/>
  <c r="X85" i="25" s="1"/>
  <c r="X80" i="54" s="1"/>
  <c r="X78" i="54" s="1"/>
  <c r="X83" i="54" s="1"/>
  <c r="C87" i="25"/>
  <c r="C134" i="49" s="1"/>
  <c r="C68" i="25"/>
  <c r="C85" i="25" s="1"/>
  <c r="C80" i="54" s="1"/>
  <c r="M87" i="25"/>
  <c r="M134" i="49" s="1"/>
  <c r="M68" i="25"/>
  <c r="M85" i="25" s="1"/>
  <c r="M26" i="45" s="1"/>
  <c r="M24" i="45" s="1"/>
  <c r="M68" i="50" s="1"/>
  <c r="P87" i="25"/>
  <c r="P134" i="49" s="1"/>
  <c r="P68" i="25"/>
  <c r="P85" i="25" s="1"/>
  <c r="P80" i="54" s="1"/>
  <c r="P78" i="54" s="1"/>
  <c r="P83" i="54" s="1"/>
  <c r="AD87" i="25"/>
  <c r="AD134" i="49" s="1"/>
  <c r="AD68" i="25"/>
  <c r="AD85" i="25" s="1"/>
  <c r="AD80" i="54" s="1"/>
  <c r="AD78" i="54" s="1"/>
  <c r="AD83" i="54" s="1"/>
  <c r="U70" i="25"/>
  <c r="S63" i="44"/>
  <c r="R176" i="25" s="1"/>
  <c r="R175" i="25" s="1"/>
  <c r="G70" i="25"/>
  <c r="V70" i="25"/>
  <c r="X170" i="25"/>
  <c r="AD170" i="25"/>
  <c r="O68" i="25"/>
  <c r="O85" i="25" s="1"/>
  <c r="O80" i="54" s="1"/>
  <c r="O78" i="54" s="1"/>
  <c r="O83" i="54" s="1"/>
  <c r="G59" i="25"/>
  <c r="G76" i="25" s="1"/>
  <c r="G11" i="45" s="1"/>
  <c r="G9" i="45" s="1"/>
  <c r="G71" i="50" s="1"/>
  <c r="U170" i="25"/>
  <c r="J35" i="54"/>
  <c r="J33" i="54" s="1"/>
  <c r="J36" i="54" s="1"/>
  <c r="M62" i="25"/>
  <c r="M79" i="25" s="1"/>
  <c r="M48" i="54" s="1"/>
  <c r="Z59" i="25"/>
  <c r="Z76" i="25" s="1"/>
  <c r="Z11" i="45" s="1"/>
  <c r="Z9" i="45" s="1"/>
  <c r="Z71" i="50" s="1"/>
  <c r="AA170" i="25"/>
  <c r="Y170" i="25"/>
  <c r="R59" i="25"/>
  <c r="R76" i="25" s="1"/>
  <c r="R11" i="45" s="1"/>
  <c r="R9" i="45" s="1"/>
  <c r="R71" i="50" s="1"/>
  <c r="AE35" i="54"/>
  <c r="AE33" i="54" s="1"/>
  <c r="AE36" i="54" s="1"/>
  <c r="AB59" i="25"/>
  <c r="AB76" i="25" s="1"/>
  <c r="AB11" i="45" s="1"/>
  <c r="AB9" i="45" s="1"/>
  <c r="AB71" i="50" s="1"/>
  <c r="U78" i="31"/>
  <c r="U79" i="31" s="1"/>
  <c r="U19" i="45" s="1"/>
  <c r="S78" i="31"/>
  <c r="S79" i="31" s="1"/>
  <c r="S53" i="54" s="1"/>
  <c r="I78" i="31"/>
  <c r="I79" i="31" s="1"/>
  <c r="I19" i="45" s="1"/>
  <c r="U135" i="49"/>
  <c r="M135" i="49"/>
  <c r="O135" i="49"/>
  <c r="N135" i="49"/>
  <c r="I135" i="49"/>
  <c r="S151" i="49"/>
  <c r="T135" i="49"/>
  <c r="D151" i="49"/>
  <c r="P78" i="31"/>
  <c r="P79" i="31" s="1"/>
  <c r="P53" i="54" s="1"/>
  <c r="R135" i="49"/>
  <c r="B151" i="49"/>
  <c r="Q135" i="49"/>
  <c r="K151" i="49"/>
  <c r="J78" i="31"/>
  <c r="J79" i="31" s="1"/>
  <c r="J19" i="45" s="1"/>
  <c r="J151" i="49"/>
  <c r="J156" i="49" s="1"/>
  <c r="H78" i="31"/>
  <c r="H79" i="31" s="1"/>
  <c r="H19" i="45" s="1"/>
  <c r="H151" i="49"/>
  <c r="Q78" i="31"/>
  <c r="Q79" i="31" s="1"/>
  <c r="Q53" i="54" s="1"/>
  <c r="Q151" i="49"/>
  <c r="T78" i="31"/>
  <c r="T79" i="31" s="1"/>
  <c r="T19" i="45" s="1"/>
  <c r="T151" i="49"/>
  <c r="L78" i="31"/>
  <c r="L79" i="31" s="1"/>
  <c r="L53" i="54" s="1"/>
  <c r="L151" i="49"/>
  <c r="F78" i="31"/>
  <c r="F79" i="31" s="1"/>
  <c r="F53" i="54" s="1"/>
  <c r="F135" i="49"/>
  <c r="O78" i="31"/>
  <c r="O79" i="31" s="1"/>
  <c r="O53" i="54" s="1"/>
  <c r="M78" i="31"/>
  <c r="M79" i="31" s="1"/>
  <c r="M53" i="54" s="1"/>
  <c r="M151" i="49"/>
  <c r="E78" i="31"/>
  <c r="E79" i="31" s="1"/>
  <c r="E53" i="54" s="1"/>
  <c r="C78" i="31"/>
  <c r="C79" i="31" s="1"/>
  <c r="C53" i="54" s="1"/>
  <c r="G78" i="31"/>
  <c r="G79" i="31" s="1"/>
  <c r="G53" i="54" s="1"/>
  <c r="R78" i="31"/>
  <c r="R79" i="31" s="1"/>
  <c r="R19" i="45" s="1"/>
  <c r="N78" i="31"/>
  <c r="N79" i="31" s="1"/>
  <c r="N19" i="45" s="1"/>
  <c r="AH59" i="25"/>
  <c r="AH76" i="25" s="1"/>
  <c r="AH35" i="54" s="1"/>
  <c r="AH33" i="54" s="1"/>
  <c r="AH36" i="54" s="1"/>
  <c r="L52" i="54"/>
  <c r="T170" i="25"/>
  <c r="J78" i="25"/>
  <c r="J131" i="49" s="1"/>
  <c r="AD59" i="25"/>
  <c r="AD76" i="25" s="1"/>
  <c r="AD35" i="54" s="1"/>
  <c r="AD33" i="54" s="1"/>
  <c r="AD36" i="54" s="1"/>
  <c r="AE170" i="25"/>
  <c r="V170" i="25"/>
  <c r="AD39" i="45"/>
  <c r="E156" i="49"/>
  <c r="E184" i="49" s="1"/>
  <c r="E64" i="59" s="1"/>
  <c r="C156" i="49"/>
  <c r="C184" i="49" s="1"/>
  <c r="C64" i="59" s="1"/>
  <c r="B37" i="45"/>
  <c r="K78" i="31"/>
  <c r="K79" i="31" s="1"/>
  <c r="K53" i="54" s="1"/>
  <c r="G37" i="45"/>
  <c r="G76" i="50" s="1"/>
  <c r="AC61" i="27"/>
  <c r="AB31" i="45" s="1"/>
  <c r="AE228" i="53"/>
  <c r="W69" i="27"/>
  <c r="J228" i="53"/>
  <c r="V69" i="27"/>
  <c r="P228" i="53"/>
  <c r="L69" i="27"/>
  <c r="F228" i="53"/>
  <c r="O77" i="27"/>
  <c r="K228" i="53"/>
  <c r="Z228" i="53"/>
  <c r="Z61" i="27" s="1"/>
  <c r="Y31" i="45" s="1"/>
  <c r="I69" i="27"/>
  <c r="V77" i="27"/>
  <c r="U69" i="27"/>
  <c r="D69" i="27"/>
  <c r="Z77" i="27"/>
  <c r="E228" i="53"/>
  <c r="W364" i="53"/>
  <c r="W61" i="27" s="1"/>
  <c r="V31" i="45" s="1"/>
  <c r="S228" i="53"/>
  <c r="Y228" i="53"/>
  <c r="AF77" i="27"/>
  <c r="N69" i="27"/>
  <c r="X228" i="53"/>
  <c r="X61" i="27" s="1"/>
  <c r="W31" i="45" s="1"/>
  <c r="G228" i="53"/>
  <c r="AI364" i="53"/>
  <c r="Y364" i="53"/>
  <c r="H69" i="27"/>
  <c r="AH364" i="53"/>
  <c r="X77" i="27"/>
  <c r="M77" i="27"/>
  <c r="R228" i="53"/>
  <c r="M228" i="53"/>
  <c r="AD77" i="27"/>
  <c r="AA364" i="53"/>
  <c r="AA61" i="27" s="1"/>
  <c r="Z31" i="45" s="1"/>
  <c r="AC77" i="27"/>
  <c r="O69" i="27"/>
  <c r="T69" i="27"/>
  <c r="C69" i="27"/>
  <c r="AG77" i="27"/>
  <c r="AB228" i="53"/>
  <c r="AB61" i="27" s="1"/>
  <c r="AA31" i="45" s="1"/>
  <c r="AE364" i="53"/>
  <c r="Q69" i="27"/>
  <c r="AB77" i="27"/>
  <c r="AJ364" i="53"/>
  <c r="AG228" i="53"/>
  <c r="AG61" i="27" s="1"/>
  <c r="AF31" i="45" s="1"/>
  <c r="AA69" i="27"/>
  <c r="AC69" i="27"/>
  <c r="AF228" i="53"/>
  <c r="AF61" i="27" s="1"/>
  <c r="AE31" i="45" s="1"/>
  <c r="AJ228" i="53"/>
  <c r="AE69" i="27"/>
  <c r="AD228" i="53"/>
  <c r="AD61" i="27" s="1"/>
  <c r="AC31" i="45" s="1"/>
  <c r="AD69" i="27"/>
  <c r="J76" i="27"/>
  <c r="G531" i="27"/>
  <c r="G60" i="27" s="1"/>
  <c r="F95" i="54" s="1"/>
  <c r="G76" i="27"/>
  <c r="L531" i="27"/>
  <c r="L60" i="27" s="1"/>
  <c r="K95" i="54" s="1"/>
  <c r="L76" i="27"/>
  <c r="AJ531" i="27"/>
  <c r="AJ60" i="27" s="1"/>
  <c r="AI95" i="54" s="1"/>
  <c r="AJ76" i="27"/>
  <c r="K531" i="27"/>
  <c r="K60" i="27" s="1"/>
  <c r="J95" i="54" s="1"/>
  <c r="K76" i="27"/>
  <c r="AJ95" i="54"/>
  <c r="AG531" i="27"/>
  <c r="AG60" i="27" s="1"/>
  <c r="AF95" i="54" s="1"/>
  <c r="AG76" i="27"/>
  <c r="P531" i="27"/>
  <c r="P60" i="27" s="1"/>
  <c r="O95" i="54" s="1"/>
  <c r="P76" i="27"/>
  <c r="AA531" i="27"/>
  <c r="AA60" i="27" s="1"/>
  <c r="Z95" i="54" s="1"/>
  <c r="AA76" i="27"/>
  <c r="AB531" i="27"/>
  <c r="AB60" i="27" s="1"/>
  <c r="AA95" i="54" s="1"/>
  <c r="AB76" i="27"/>
  <c r="V531" i="27"/>
  <c r="V60" i="27" s="1"/>
  <c r="U95" i="54" s="1"/>
  <c r="V76" i="27"/>
  <c r="E531" i="27"/>
  <c r="E60" i="27" s="1"/>
  <c r="D95" i="54" s="1"/>
  <c r="E76" i="27"/>
  <c r="AF531" i="27"/>
  <c r="AF60" i="27" s="1"/>
  <c r="AE95" i="54" s="1"/>
  <c r="AF76" i="27"/>
  <c r="U531" i="27"/>
  <c r="U60" i="27" s="1"/>
  <c r="T95" i="54" s="1"/>
  <c r="U76" i="27"/>
  <c r="O531" i="27"/>
  <c r="O60" i="27" s="1"/>
  <c r="N95" i="54" s="1"/>
  <c r="O76" i="27"/>
  <c r="D531" i="27"/>
  <c r="D60" i="27" s="1"/>
  <c r="C95" i="54" s="1"/>
  <c r="D76" i="27"/>
  <c r="AD531" i="27"/>
  <c r="AD60" i="27" s="1"/>
  <c r="AC95" i="54" s="1"/>
  <c r="AD76" i="27"/>
  <c r="AC531" i="27"/>
  <c r="AC60" i="27" s="1"/>
  <c r="AB95" i="54" s="1"/>
  <c r="AC76" i="27"/>
  <c r="H531" i="27"/>
  <c r="H60" i="27" s="1"/>
  <c r="G95" i="54" s="1"/>
  <c r="H76" i="27"/>
  <c r="AH531" i="27"/>
  <c r="AH60" i="27" s="1"/>
  <c r="AG95" i="54" s="1"/>
  <c r="AH76" i="27"/>
  <c r="T531" i="27"/>
  <c r="T60" i="27" s="1"/>
  <c r="S95" i="54" s="1"/>
  <c r="T76" i="27"/>
  <c r="W531" i="27"/>
  <c r="W60" i="27" s="1"/>
  <c r="V95" i="54" s="1"/>
  <c r="W76" i="27"/>
  <c r="N531" i="27"/>
  <c r="N60" i="27" s="1"/>
  <c r="M95" i="54" s="1"/>
  <c r="N76" i="27"/>
  <c r="Q531" i="27"/>
  <c r="Q60" i="27" s="1"/>
  <c r="P95" i="54" s="1"/>
  <c r="Q76" i="27"/>
  <c r="C531" i="27"/>
  <c r="C60" i="27" s="1"/>
  <c r="B95" i="54" s="1"/>
  <c r="C76" i="27"/>
  <c r="AI531" i="27"/>
  <c r="AI60" i="27" s="1"/>
  <c r="AH95" i="54" s="1"/>
  <c r="AI76" i="27"/>
  <c r="I531" i="27"/>
  <c r="I60" i="27" s="1"/>
  <c r="H95" i="54" s="1"/>
  <c r="I76" i="27"/>
  <c r="Y531" i="27"/>
  <c r="Y60" i="27" s="1"/>
  <c r="X95" i="54" s="1"/>
  <c r="Y76" i="27"/>
  <c r="X531" i="27"/>
  <c r="X60" i="27" s="1"/>
  <c r="W95" i="54" s="1"/>
  <c r="X76" i="27"/>
  <c r="M531" i="27"/>
  <c r="M60" i="27" s="1"/>
  <c r="L95" i="54" s="1"/>
  <c r="M76" i="27"/>
  <c r="AE531" i="27"/>
  <c r="AE60" i="27" s="1"/>
  <c r="AD95" i="54" s="1"/>
  <c r="AE76" i="27"/>
  <c r="Z531" i="27"/>
  <c r="Z60" i="27" s="1"/>
  <c r="Y95" i="54" s="1"/>
  <c r="Z76" i="27"/>
  <c r="G459" i="27"/>
  <c r="AI459" i="27"/>
  <c r="AI75" i="27"/>
  <c r="AF75" i="27"/>
  <c r="AF459" i="27"/>
  <c r="AC459" i="27"/>
  <c r="AC75" i="27"/>
  <c r="AE75" i="27"/>
  <c r="AE459" i="27"/>
  <c r="AD459" i="27"/>
  <c r="AD75" i="27"/>
  <c r="AB459" i="27"/>
  <c r="AB75" i="27"/>
  <c r="AA459" i="27"/>
  <c r="AA75" i="27"/>
  <c r="C459" i="27"/>
  <c r="C75" i="27"/>
  <c r="AG459" i="27"/>
  <c r="AG75" i="27"/>
  <c r="AJ459" i="27"/>
  <c r="AJ75" i="27"/>
  <c r="AH75" i="27"/>
  <c r="AH459" i="27"/>
  <c r="AH68" i="27"/>
  <c r="AA68" i="27"/>
  <c r="D68" i="27"/>
  <c r="Z68" i="27"/>
  <c r="J68" i="27"/>
  <c r="S68" i="27"/>
  <c r="N68" i="27"/>
  <c r="R68" i="27"/>
  <c r="C68" i="27"/>
  <c r="T68" i="27"/>
  <c r="Y68" i="27"/>
  <c r="O68" i="27"/>
  <c r="AD68" i="27"/>
  <c r="U68" i="27"/>
  <c r="AI68" i="27"/>
  <c r="I68" i="27"/>
  <c r="E68" i="27"/>
  <c r="AC68" i="27"/>
  <c r="P68" i="27"/>
  <c r="AB68" i="27"/>
  <c r="AG68" i="27"/>
  <c r="X68" i="27"/>
  <c r="AE68" i="27"/>
  <c r="AJ68" i="27"/>
  <c r="K68" i="27"/>
  <c r="W68" i="27"/>
  <c r="Q68" i="27"/>
  <c r="AF68" i="27"/>
  <c r="V68" i="27"/>
  <c r="F68" i="27"/>
  <c r="G156" i="49"/>
  <c r="S54" i="54"/>
  <c r="AJ48" i="54"/>
  <c r="AJ46" i="54" s="1"/>
  <c r="AH18" i="45"/>
  <c r="AD59" i="47"/>
  <c r="AD84" i="47" s="1"/>
  <c r="V59" i="47"/>
  <c r="V84" i="47" s="1"/>
  <c r="AE59" i="47"/>
  <c r="AE84" i="47" s="1"/>
  <c r="R59" i="47"/>
  <c r="R84" i="47" s="1"/>
  <c r="L59" i="47"/>
  <c r="L84" i="47" s="1"/>
  <c r="X59" i="47"/>
  <c r="X84" i="47" s="1"/>
  <c r="K59" i="47"/>
  <c r="K84" i="47" s="1"/>
  <c r="AA133" i="49"/>
  <c r="AG170" i="25"/>
  <c r="AG65" i="25"/>
  <c r="AG82" i="25" s="1"/>
  <c r="AG52" i="54" s="1"/>
  <c r="AG50" i="54" s="1"/>
  <c r="F52" i="54"/>
  <c r="P170" i="25"/>
  <c r="N18" i="45"/>
  <c r="AH170" i="25"/>
  <c r="I59" i="25"/>
  <c r="I76" i="25" s="1"/>
  <c r="I11" i="45" s="1"/>
  <c r="I9" i="45" s="1"/>
  <c r="I71" i="50" s="1"/>
  <c r="F62" i="25"/>
  <c r="F79" i="25" s="1"/>
  <c r="F14" i="45" s="1"/>
  <c r="F12" i="45" s="1"/>
  <c r="R170" i="25"/>
  <c r="P96" i="25"/>
  <c r="P54" i="54" s="1"/>
  <c r="AG20" i="45"/>
  <c r="M54" i="54"/>
  <c r="AE96" i="25"/>
  <c r="AE20" i="45" s="1"/>
  <c r="AE16" i="45" s="1"/>
  <c r="D54" i="54"/>
  <c r="I20" i="45"/>
  <c r="U156" i="49"/>
  <c r="AI20" i="45"/>
  <c r="H49" i="54"/>
  <c r="H118" i="49"/>
  <c r="H15" i="45"/>
  <c r="T49" i="54"/>
  <c r="T118" i="49"/>
  <c r="T15" i="45"/>
  <c r="J49" i="54"/>
  <c r="J118" i="49"/>
  <c r="J15" i="45"/>
  <c r="AB118" i="49"/>
  <c r="AB15" i="45"/>
  <c r="AB49" i="54"/>
  <c r="P118" i="49"/>
  <c r="P15" i="45"/>
  <c r="P49" i="54"/>
  <c r="R49" i="54"/>
  <c r="R118" i="49"/>
  <c r="R15" i="45"/>
  <c r="G49" i="54"/>
  <c r="G118" i="49"/>
  <c r="G15" i="45"/>
  <c r="E118" i="49"/>
  <c r="E49" i="54"/>
  <c r="E15" i="45"/>
  <c r="V15" i="45"/>
  <c r="V49" i="54"/>
  <c r="V118" i="49"/>
  <c r="Z15" i="45"/>
  <c r="Z49" i="54"/>
  <c r="Z118" i="49"/>
  <c r="K54" i="54"/>
  <c r="Q118" i="49"/>
  <c r="Q49" i="54"/>
  <c r="Q15" i="45"/>
  <c r="I118" i="49"/>
  <c r="I15" i="45"/>
  <c r="I49" i="54"/>
  <c r="O15" i="45"/>
  <c r="O49" i="54"/>
  <c r="O118" i="49"/>
  <c r="B15" i="45"/>
  <c r="B49" i="54"/>
  <c r="D118" i="49"/>
  <c r="D15" i="45"/>
  <c r="D49" i="54"/>
  <c r="M15" i="45"/>
  <c r="M49" i="54"/>
  <c r="M118" i="49"/>
  <c r="S49" i="54"/>
  <c r="S118" i="49"/>
  <c r="S15" i="45"/>
  <c r="L49" i="54"/>
  <c r="L118" i="49"/>
  <c r="L15" i="45"/>
  <c r="AC118" i="49"/>
  <c r="AC49" i="54"/>
  <c r="AC15" i="45"/>
  <c r="N118" i="49"/>
  <c r="N15" i="45"/>
  <c r="N49" i="54"/>
  <c r="F49" i="54"/>
  <c r="F118" i="49"/>
  <c r="F15" i="45"/>
  <c r="Y15" i="45"/>
  <c r="Y118" i="49"/>
  <c r="Y49" i="54"/>
  <c r="T54" i="54"/>
  <c r="X54" i="54"/>
  <c r="U118" i="49"/>
  <c r="U15" i="45"/>
  <c r="U49" i="54"/>
  <c r="C15" i="45"/>
  <c r="C49" i="54"/>
  <c r="C118" i="49"/>
  <c r="X49" i="54"/>
  <c r="X118" i="49"/>
  <c r="X15" i="45"/>
  <c r="E54" i="54"/>
  <c r="AA15" i="45"/>
  <c r="AA49" i="54"/>
  <c r="AA118" i="49"/>
  <c r="K15" i="45"/>
  <c r="K118" i="49"/>
  <c r="K49" i="54"/>
  <c r="W15" i="45"/>
  <c r="W118" i="49"/>
  <c r="W49" i="54"/>
  <c r="C62" i="25"/>
  <c r="C79" i="25" s="1"/>
  <c r="C48" i="54" s="1"/>
  <c r="Z59" i="47"/>
  <c r="Z84" i="47" s="1"/>
  <c r="F59" i="47"/>
  <c r="F84" i="47" s="1"/>
  <c r="W52" i="54"/>
  <c r="W50" i="54" s="1"/>
  <c r="D11" i="45"/>
  <c r="D9" i="45" s="1"/>
  <c r="D71" i="50" s="1"/>
  <c r="I59" i="47"/>
  <c r="I84" i="47" s="1"/>
  <c r="Y59" i="47"/>
  <c r="Y84" i="47" s="1"/>
  <c r="U62" i="25"/>
  <c r="U79" i="25" s="1"/>
  <c r="U14" i="45" s="1"/>
  <c r="U12" i="45" s="1"/>
  <c r="P62" i="25"/>
  <c r="P79" i="25" s="1"/>
  <c r="P14" i="45" s="1"/>
  <c r="P12" i="45" s="1"/>
  <c r="AA59" i="47"/>
  <c r="AA84" i="47" s="1"/>
  <c r="AH59" i="47"/>
  <c r="AH84" i="47" s="1"/>
  <c r="Z170" i="25"/>
  <c r="B59" i="47"/>
  <c r="B84" i="47" s="1"/>
  <c r="U59" i="47"/>
  <c r="U84" i="47" s="1"/>
  <c r="Q170" i="25"/>
  <c r="W59" i="47"/>
  <c r="W84" i="47" s="1"/>
  <c r="AC170" i="25"/>
  <c r="F156" i="49"/>
  <c r="E52" i="54"/>
  <c r="AG62" i="25"/>
  <c r="AG79" i="25" s="1"/>
  <c r="AG14" i="45" s="1"/>
  <c r="AG12" i="45" s="1"/>
  <c r="AA35" i="32"/>
  <c r="AA140" i="49" s="1"/>
  <c r="AF35" i="54"/>
  <c r="AF33" i="54" s="1"/>
  <c r="AF36" i="54" s="1"/>
  <c r="AB170" i="25"/>
  <c r="AI170" i="25"/>
  <c r="N59" i="47"/>
  <c r="N84" i="47" s="1"/>
  <c r="E59" i="47"/>
  <c r="E84" i="47" s="1"/>
  <c r="H59" i="47"/>
  <c r="H84" i="47" s="1"/>
  <c r="J59" i="47"/>
  <c r="J84" i="47" s="1"/>
  <c r="AE62" i="25"/>
  <c r="AE79" i="25" s="1"/>
  <c r="AE14" i="45" s="1"/>
  <c r="AE12" i="45" s="1"/>
  <c r="AG59" i="47"/>
  <c r="AG84" i="47" s="1"/>
  <c r="AC59" i="47"/>
  <c r="AC84" i="47" s="1"/>
  <c r="T59" i="47"/>
  <c r="T84" i="47" s="1"/>
  <c r="O59" i="47"/>
  <c r="O84" i="47" s="1"/>
  <c r="M59" i="47"/>
  <c r="M84" i="47" s="1"/>
  <c r="S170" i="25"/>
  <c r="R62" i="25"/>
  <c r="R79" i="25" s="1"/>
  <c r="R14" i="45" s="1"/>
  <c r="R12" i="45" s="1"/>
  <c r="M81" i="25"/>
  <c r="M132" i="49" s="1"/>
  <c r="AB18" i="45"/>
  <c r="AB16" i="45" s="1"/>
  <c r="E62" i="25"/>
  <c r="E79" i="25" s="1"/>
  <c r="E14" i="45" s="1"/>
  <c r="E12" i="45" s="1"/>
  <c r="H35" i="54"/>
  <c r="H33" i="54" s="1"/>
  <c r="H36" i="54" s="1"/>
  <c r="R87" i="25"/>
  <c r="R134" i="49" s="1"/>
  <c r="R68" i="25"/>
  <c r="R85" i="25" s="1"/>
  <c r="Q59" i="47"/>
  <c r="Q84" i="47" s="1"/>
  <c r="D59" i="47"/>
  <c r="D84" i="47" s="1"/>
  <c r="O35" i="54"/>
  <c r="O33" i="54" s="1"/>
  <c r="O36" i="54" s="1"/>
  <c r="D78" i="31"/>
  <c r="D79" i="31" s="1"/>
  <c r="D53" i="54" s="1"/>
  <c r="P59" i="47"/>
  <c r="P84" i="47" s="1"/>
  <c r="G59" i="47"/>
  <c r="G84" i="47" s="1"/>
  <c r="AC156" i="49"/>
  <c r="Y11" i="45"/>
  <c r="Y9" i="45" s="1"/>
  <c r="Y71" i="50" s="1"/>
  <c r="AC35" i="54"/>
  <c r="AC33" i="54" s="1"/>
  <c r="AC36" i="54" s="1"/>
  <c r="S35" i="54"/>
  <c r="S33" i="54" s="1"/>
  <c r="S36" i="54" s="1"/>
  <c r="C59" i="47"/>
  <c r="C84" i="47" s="1"/>
  <c r="S59" i="47"/>
  <c r="S84" i="47" s="1"/>
  <c r="AF59" i="47"/>
  <c r="AF84" i="47" s="1"/>
  <c r="Z62" i="25"/>
  <c r="Z79" i="25" s="1"/>
  <c r="Z48" i="54" s="1"/>
  <c r="AI59" i="47"/>
  <c r="AI84" i="47" s="1"/>
  <c r="J52" i="54"/>
  <c r="E87" i="25"/>
  <c r="E134" i="49" s="1"/>
  <c r="E68" i="25"/>
  <c r="E85" i="25" s="1"/>
  <c r="AG35" i="54"/>
  <c r="AG33" i="54" s="1"/>
  <c r="AG36" i="54" s="1"/>
  <c r="AH156" i="49"/>
  <c r="AB59" i="47"/>
  <c r="AB84" i="47" s="1"/>
  <c r="F37" i="45"/>
  <c r="F76" i="50" s="1"/>
  <c r="U18" i="45"/>
  <c r="N35" i="54"/>
  <c r="N33" i="54" s="1"/>
  <c r="N36" i="54" s="1"/>
  <c r="M11" i="45"/>
  <c r="M9" i="45" s="1"/>
  <c r="M71" i="50" s="1"/>
  <c r="M35" i="54"/>
  <c r="M33" i="54" s="1"/>
  <c r="M36" i="54" s="1"/>
  <c r="D62" i="25"/>
  <c r="D79" i="25" s="1"/>
  <c r="M18" i="45"/>
  <c r="AD62" i="25"/>
  <c r="AD79" i="25" s="1"/>
  <c r="AD48" i="54" s="1"/>
  <c r="L62" i="25"/>
  <c r="L79" i="25" s="1"/>
  <c r="L14" i="45" s="1"/>
  <c r="L12" i="45" s="1"/>
  <c r="W170" i="25"/>
  <c r="Y80" i="25"/>
  <c r="Y147" i="49" s="1"/>
  <c r="Y156" i="49" s="1"/>
  <c r="Y62" i="25"/>
  <c r="Y79" i="25" s="1"/>
  <c r="B62" i="25"/>
  <c r="B79" i="25" s="1"/>
  <c r="B14" i="45" s="1"/>
  <c r="B12" i="45" s="1"/>
  <c r="Z18" i="45"/>
  <c r="H37" i="45"/>
  <c r="H56" i="50" s="1"/>
  <c r="V35" i="54"/>
  <c r="V33" i="54" s="1"/>
  <c r="V36" i="54" s="1"/>
  <c r="R18" i="45"/>
  <c r="T35" i="54"/>
  <c r="T33" i="54" s="1"/>
  <c r="T36" i="54" s="1"/>
  <c r="T11" i="45"/>
  <c r="T9" i="45" s="1"/>
  <c r="T71" i="50" s="1"/>
  <c r="AA59" i="25"/>
  <c r="AA76" i="25" s="1"/>
  <c r="AA35" i="54" s="1"/>
  <c r="AA33" i="54" s="1"/>
  <c r="AA36" i="54" s="1"/>
  <c r="E11" i="45"/>
  <c r="E9" i="45" s="1"/>
  <c r="E71" i="50" s="1"/>
  <c r="E35" i="54"/>
  <c r="E33" i="54" s="1"/>
  <c r="E36" i="54" s="1"/>
  <c r="E37" i="54" s="1"/>
  <c r="AF170" i="25"/>
  <c r="J62" i="25"/>
  <c r="J79" i="25" s="1"/>
  <c r="J48" i="54" s="1"/>
  <c r="O80" i="25"/>
  <c r="O147" i="49" s="1"/>
  <c r="O156" i="49" s="1"/>
  <c r="O62" i="25"/>
  <c r="O79" i="25" s="1"/>
  <c r="X62" i="25"/>
  <c r="X79" i="25" s="1"/>
  <c r="N81" i="25"/>
  <c r="N132" i="49" s="1"/>
  <c r="N62" i="25"/>
  <c r="N79" i="25" s="1"/>
  <c r="D86" i="25"/>
  <c r="D149" i="49" s="1"/>
  <c r="D68" i="25"/>
  <c r="W80" i="25"/>
  <c r="W147" i="49" s="1"/>
  <c r="W62" i="25"/>
  <c r="W79" i="25" s="1"/>
  <c r="AG86" i="25"/>
  <c r="AG149" i="49" s="1"/>
  <c r="AG68" i="25"/>
  <c r="H80" i="25"/>
  <c r="H147" i="49" s="1"/>
  <c r="H62" i="25"/>
  <c r="H79" i="25" s="1"/>
  <c r="AF86" i="25"/>
  <c r="AF149" i="49" s="1"/>
  <c r="AF84" i="25"/>
  <c r="AF133" i="49" s="1"/>
  <c r="AF65" i="25"/>
  <c r="AF82" i="25" s="1"/>
  <c r="AF81" i="25"/>
  <c r="AF132" i="49" s="1"/>
  <c r="AF62" i="25"/>
  <c r="AF79" i="25" s="1"/>
  <c r="AF14" i="45" s="1"/>
  <c r="AF12" i="45" s="1"/>
  <c r="X78" i="25"/>
  <c r="X131" i="49" s="1"/>
  <c r="X59" i="25"/>
  <c r="X76" i="25" s="1"/>
  <c r="B80" i="25"/>
  <c r="B147" i="49" s="1"/>
  <c r="AA86" i="25"/>
  <c r="AA149" i="49" s="1"/>
  <c r="AA68" i="25"/>
  <c r="AA85" i="25" s="1"/>
  <c r="G81" i="25"/>
  <c r="G132" i="49" s="1"/>
  <c r="G62" i="25"/>
  <c r="N86" i="25"/>
  <c r="N149" i="49" s="1"/>
  <c r="N68" i="25"/>
  <c r="P84" i="25"/>
  <c r="P133" i="49" s="1"/>
  <c r="P65" i="25"/>
  <c r="V81" i="25"/>
  <c r="V132" i="49" s="1"/>
  <c r="V62" i="25"/>
  <c r="S84" i="25"/>
  <c r="S133" i="49" s="1"/>
  <c r="S65" i="25"/>
  <c r="S82" i="25" s="1"/>
  <c r="AH62" i="25"/>
  <c r="O65" i="25"/>
  <c r="O84" i="25"/>
  <c r="O133" i="49" s="1"/>
  <c r="AD84" i="25"/>
  <c r="AD133" i="49" s="1"/>
  <c r="AD65" i="25"/>
  <c r="AD82" i="25" s="1"/>
  <c r="U11" i="45"/>
  <c r="U9" i="45" s="1"/>
  <c r="U71" i="50" s="1"/>
  <c r="U35" i="54"/>
  <c r="U33" i="54" s="1"/>
  <c r="U36" i="54" s="1"/>
  <c r="Q80" i="25"/>
  <c r="Q147" i="49" s="1"/>
  <c r="Q62" i="25"/>
  <c r="Q79" i="25" s="1"/>
  <c r="I84" i="25"/>
  <c r="I133" i="49" s="1"/>
  <c r="I65" i="25"/>
  <c r="I82" i="25" s="1"/>
  <c r="V84" i="25"/>
  <c r="V133" i="49" s="1"/>
  <c r="V65" i="25"/>
  <c r="V82" i="25" s="1"/>
  <c r="T81" i="25"/>
  <c r="T132" i="49" s="1"/>
  <c r="T62" i="25"/>
  <c r="AA80" i="25"/>
  <c r="AA147" i="49" s="1"/>
  <c r="AA62" i="25"/>
  <c r="AA79" i="25" s="1"/>
  <c r="Q35" i="54"/>
  <c r="Q33" i="54" s="1"/>
  <c r="Q36" i="54" s="1"/>
  <c r="Q11" i="45"/>
  <c r="Q9" i="45" s="1"/>
  <c r="Q71" i="50" s="1"/>
  <c r="S81" i="25"/>
  <c r="S132" i="49" s="1"/>
  <c r="S62" i="25"/>
  <c r="AC81" i="25"/>
  <c r="AC132" i="49" s="1"/>
  <c r="AC62" i="25"/>
  <c r="K87" i="25"/>
  <c r="K134" i="49" s="1"/>
  <c r="Y18" i="45"/>
  <c r="I81" i="25"/>
  <c r="I132" i="49" s="1"/>
  <c r="I62" i="25"/>
  <c r="L35" i="54"/>
  <c r="L33" i="54" s="1"/>
  <c r="L36" i="54" s="1"/>
  <c r="B84" i="25"/>
  <c r="B133" i="49" s="1"/>
  <c r="B65" i="25"/>
  <c r="B82" i="25" s="1"/>
  <c r="Q86" i="25"/>
  <c r="Q149" i="49" s="1"/>
  <c r="Q68" i="25"/>
  <c r="AB81" i="25"/>
  <c r="AB132" i="49" s="1"/>
  <c r="AB62" i="25"/>
  <c r="K78" i="25"/>
  <c r="K131" i="49" s="1"/>
  <c r="K59" i="25"/>
  <c r="X84" i="25"/>
  <c r="X133" i="49" s="1"/>
  <c r="X65" i="25"/>
  <c r="K62" i="25"/>
  <c r="K79" i="25" s="1"/>
  <c r="AI84" i="25"/>
  <c r="AI133" i="49" s="1"/>
  <c r="R47" i="59" s="1"/>
  <c r="AI65" i="25"/>
  <c r="AI82" i="25" s="1"/>
  <c r="H84" i="25"/>
  <c r="H133" i="49" s="1"/>
  <c r="H65" i="25"/>
  <c r="C11" i="45"/>
  <c r="C9" i="45" s="1"/>
  <c r="C71" i="50" s="1"/>
  <c r="C35" i="54"/>
  <c r="C33" i="54" s="1"/>
  <c r="C36" i="54" s="1"/>
  <c r="D37" i="54" s="1"/>
  <c r="W78" i="25"/>
  <c r="W131" i="49" s="1"/>
  <c r="W59" i="25"/>
  <c r="AI68" i="25"/>
  <c r="AI85" i="25" s="1"/>
  <c r="AI62" i="25"/>
  <c r="P11" i="45"/>
  <c r="P9" i="45" s="1"/>
  <c r="P71" i="50" s="1"/>
  <c r="P35" i="54"/>
  <c r="P33" i="54" s="1"/>
  <c r="P36" i="54" s="1"/>
  <c r="B53" i="54"/>
  <c r="J37" i="45"/>
  <c r="J56" i="50" s="1"/>
  <c r="I37" i="45"/>
  <c r="I56" i="50" s="1"/>
  <c r="C37" i="45"/>
  <c r="C56" i="50" s="1"/>
  <c r="E37" i="45"/>
  <c r="E76" i="50" s="1"/>
  <c r="U54" i="54"/>
  <c r="AH50" i="54"/>
  <c r="AA20" i="45"/>
  <c r="AH20" i="45"/>
  <c r="L20" i="45"/>
  <c r="N54" i="54"/>
  <c r="H20" i="45"/>
  <c r="AB54" i="54"/>
  <c r="AB50" i="54" s="1"/>
  <c r="J20" i="45"/>
  <c r="B54" i="54"/>
  <c r="AF54" i="54"/>
  <c r="AH15" i="45"/>
  <c r="AH118" i="49"/>
  <c r="AH49" i="54"/>
  <c r="AG118" i="49"/>
  <c r="AG49" i="54"/>
  <c r="AG15" i="45"/>
  <c r="AD20" i="45"/>
  <c r="AD15" i="45"/>
  <c r="AD49" i="54"/>
  <c r="AD118" i="49"/>
  <c r="AF15" i="45"/>
  <c r="AF118" i="49"/>
  <c r="AF49" i="54"/>
  <c r="Y54" i="54"/>
  <c r="Y50" i="54" s="1"/>
  <c r="Y20" i="45"/>
  <c r="G54" i="54"/>
  <c r="G20" i="45"/>
  <c r="Q54" i="54"/>
  <c r="Q20" i="45"/>
  <c r="C20" i="45"/>
  <c r="C54" i="54"/>
  <c r="O54" i="54"/>
  <c r="R54" i="54"/>
  <c r="R20" i="45"/>
  <c r="AC54" i="54"/>
  <c r="F20" i="45"/>
  <c r="F54" i="54"/>
  <c r="W20" i="45"/>
  <c r="W16" i="45" s="1"/>
  <c r="V20" i="45"/>
  <c r="Z20" i="45"/>
  <c r="Z54" i="54"/>
  <c r="Z50" i="54" s="1"/>
  <c r="F11" i="45"/>
  <c r="F9" i="45" s="1"/>
  <c r="F35" i="54"/>
  <c r="F33" i="54" s="1"/>
  <c r="F36" i="54" s="1"/>
  <c r="V156" i="49"/>
  <c r="AA55" i="50"/>
  <c r="L55" i="50"/>
  <c r="V37" i="32"/>
  <c r="V38" i="45" s="1"/>
  <c r="V37" i="45" s="1"/>
  <c r="O37" i="32"/>
  <c r="O38" i="45" s="1"/>
  <c r="M36" i="32"/>
  <c r="M37" i="32" s="1"/>
  <c r="P36" i="32"/>
  <c r="P37" i="32" s="1"/>
  <c r="AE140" i="49"/>
  <c r="AG140" i="49"/>
  <c r="L36" i="32"/>
  <c r="L37" i="32" s="1"/>
  <c r="X140" i="49"/>
  <c r="AD140" i="49"/>
  <c r="AH140" i="49"/>
  <c r="AH37" i="32"/>
  <c r="AH38" i="45" s="1"/>
  <c r="AH37" i="45" s="1"/>
  <c r="AH56" i="50" s="1"/>
  <c r="AI140" i="49"/>
  <c r="AI37" i="32"/>
  <c r="AI38" i="45" s="1"/>
  <c r="AI37" i="45" s="1"/>
  <c r="AI76" i="50" s="1"/>
  <c r="AR30" i="50" s="1"/>
  <c r="AC140" i="49"/>
  <c r="AC37" i="32"/>
  <c r="AC38" i="45" s="1"/>
  <c r="AC37" i="45" s="1"/>
  <c r="T140" i="49"/>
  <c r="U140" i="49"/>
  <c r="U37" i="32"/>
  <c r="U38" i="45" s="1"/>
  <c r="O140" i="49"/>
  <c r="Z140" i="49"/>
  <c r="AF140" i="49"/>
  <c r="M140" i="49"/>
  <c r="R140" i="49"/>
  <c r="Y140" i="49"/>
  <c r="Y37" i="32"/>
  <c r="Y38" i="45" s="1"/>
  <c r="Y37" i="45" s="1"/>
  <c r="Y56" i="50" s="1"/>
  <c r="W140" i="49"/>
  <c r="S140" i="49"/>
  <c r="S37" i="32"/>
  <c r="S38" i="45" s="1"/>
  <c r="AB140" i="49"/>
  <c r="Q36" i="32"/>
  <c r="Q155" i="49" s="1"/>
  <c r="AB31" i="32"/>
  <c r="AB36" i="32" s="1"/>
  <c r="AB155" i="49" s="1"/>
  <c r="AB156" i="49" s="1"/>
  <c r="AF31" i="32"/>
  <c r="AF36" i="32" s="1"/>
  <c r="AF155" i="49" s="1"/>
  <c r="AE31" i="32"/>
  <c r="AE36" i="32" s="1"/>
  <c r="AE37" i="32" s="1"/>
  <c r="AI155" i="49"/>
  <c r="AI156" i="49" s="1"/>
  <c r="AD36" i="32"/>
  <c r="AD37" i="32" s="1"/>
  <c r="R36" i="32"/>
  <c r="R155" i="49" s="1"/>
  <c r="R156" i="49" s="1"/>
  <c r="AG36" i="32"/>
  <c r="AG155" i="49" s="1"/>
  <c r="Z31" i="32"/>
  <c r="Z48" i="32"/>
  <c r="Z32" i="32" s="1"/>
  <c r="X36" i="32"/>
  <c r="X155" i="49" s="1"/>
  <c r="X156" i="49" s="1"/>
  <c r="T36" i="32"/>
  <c r="T37" i="32" s="1"/>
  <c r="AA36" i="32"/>
  <c r="Q140" i="49"/>
  <c r="W36" i="32"/>
  <c r="W37" i="32" s="1"/>
  <c r="N48" i="32"/>
  <c r="N32" i="32" s="1"/>
  <c r="N31" i="32"/>
  <c r="N140" i="49"/>
  <c r="S155" i="49"/>
  <c r="X54" i="50"/>
  <c r="F72" i="50"/>
  <c r="R116" i="54"/>
  <c r="U72" i="50"/>
  <c r="Q72" i="50"/>
  <c r="Q54" i="50"/>
  <c r="S54" i="50"/>
  <c r="S72" i="50"/>
  <c r="S117" i="54"/>
  <c r="S116" i="54"/>
  <c r="N54" i="50"/>
  <c r="N72" i="50"/>
  <c r="O116" i="54"/>
  <c r="O117" i="54"/>
  <c r="O54" i="50"/>
  <c r="O72" i="50"/>
  <c r="AE116" i="54"/>
  <c r="AD116" i="54"/>
  <c r="AD117" i="54"/>
  <c r="AD72" i="50"/>
  <c r="AD54" i="50"/>
  <c r="D72" i="50"/>
  <c r="D54" i="50"/>
  <c r="G72" i="50"/>
  <c r="G54" i="50"/>
  <c r="M54" i="50"/>
  <c r="M72" i="50"/>
  <c r="W54" i="50"/>
  <c r="W72" i="50"/>
  <c r="W116" i="54"/>
  <c r="W117" i="54"/>
  <c r="X116" i="54"/>
  <c r="C54" i="50"/>
  <c r="C72" i="50"/>
  <c r="U116" i="54"/>
  <c r="T116" i="54"/>
  <c r="T117" i="54"/>
  <c r="AG54" i="50"/>
  <c r="AG72" i="50"/>
  <c r="E54" i="50"/>
  <c r="E72" i="50"/>
  <c r="C117" i="54"/>
  <c r="T54" i="50"/>
  <c r="T72" i="50"/>
  <c r="AG117" i="54"/>
  <c r="AG116" i="54"/>
  <c r="AH116" i="54"/>
  <c r="E117" i="54"/>
  <c r="E116" i="54"/>
  <c r="F116" i="54"/>
  <c r="P72" i="50"/>
  <c r="P54" i="50"/>
  <c r="M116" i="54"/>
  <c r="M117" i="54"/>
  <c r="N116" i="54"/>
  <c r="D117" i="54"/>
  <c r="D116" i="54"/>
  <c r="G116" i="54"/>
  <c r="G117" i="54"/>
  <c r="H116" i="54"/>
  <c r="P117" i="54"/>
  <c r="P116" i="54"/>
  <c r="Q116" i="54"/>
  <c r="K18" i="45"/>
  <c r="K52" i="54"/>
  <c r="AI11" i="45"/>
  <c r="AI9" i="45" s="1"/>
  <c r="AI35" i="54"/>
  <c r="AI33" i="54" s="1"/>
  <c r="AI36" i="54" s="1"/>
  <c r="E77" i="27" l="1"/>
  <c r="E74" i="27" s="1"/>
  <c r="D122" i="49" s="1"/>
  <c r="D126" i="49" s="1"/>
  <c r="F364" i="53"/>
  <c r="F61" i="27" s="1"/>
  <c r="E31" i="45" s="1"/>
  <c r="E74" i="50" s="1"/>
  <c r="I364" i="53"/>
  <c r="I61" i="27" s="1"/>
  <c r="H31" i="45" s="1"/>
  <c r="H74" i="50" s="1"/>
  <c r="H364" i="53"/>
  <c r="H61" i="27" s="1"/>
  <c r="G31" i="45" s="1"/>
  <c r="G74" i="50" s="1"/>
  <c r="N77" i="27"/>
  <c r="P364" i="53"/>
  <c r="P61" i="27" s="1"/>
  <c r="O31" i="45" s="1"/>
  <c r="O74" i="50" s="1"/>
  <c r="M61" i="27"/>
  <c r="L31" i="45" s="1"/>
  <c r="L74" i="50" s="1"/>
  <c r="R77" i="27"/>
  <c r="G77" i="27"/>
  <c r="Q77" i="27"/>
  <c r="E61" i="27"/>
  <c r="D31" i="45" s="1"/>
  <c r="D74" i="50" s="1"/>
  <c r="L77" i="27"/>
  <c r="R61" i="27"/>
  <c r="Q31" i="45" s="1"/>
  <c r="Q74" i="50" s="1"/>
  <c r="T77" i="27"/>
  <c r="T74" i="27" s="1"/>
  <c r="S122" i="49" s="1"/>
  <c r="S126" i="49" s="1"/>
  <c r="S172" i="49" s="1"/>
  <c r="C364" i="53"/>
  <c r="C61" i="27" s="1"/>
  <c r="B96" i="54" s="1"/>
  <c r="J77" i="27"/>
  <c r="D364" i="53"/>
  <c r="D61" i="27" s="1"/>
  <c r="C31" i="45" s="1"/>
  <c r="C74" i="50" s="1"/>
  <c r="J61" i="27"/>
  <c r="I31" i="45" s="1"/>
  <c r="I74" i="50" s="1"/>
  <c r="G61" i="27"/>
  <c r="F96" i="54" s="1"/>
  <c r="S77" i="27"/>
  <c r="S74" i="27" s="1"/>
  <c r="R122" i="49" s="1"/>
  <c r="R126" i="49" s="1"/>
  <c r="S61" i="27"/>
  <c r="R31" i="45" s="1"/>
  <c r="R74" i="50" s="1"/>
  <c r="K77" i="27"/>
  <c r="U77" i="27"/>
  <c r="W74" i="27"/>
  <c r="V122" i="49" s="1"/>
  <c r="V126" i="49" s="1"/>
  <c r="V182" i="49" s="1"/>
  <c r="V62" i="59" s="1"/>
  <c r="D74" i="27"/>
  <c r="C122" i="49" s="1"/>
  <c r="C126" i="49" s="1"/>
  <c r="C182" i="49" s="1"/>
  <c r="C62" i="59" s="1"/>
  <c r="C74" i="27"/>
  <c r="B122" i="49" s="1"/>
  <c r="B126" i="49" s="1"/>
  <c r="B172" i="49" s="1"/>
  <c r="AC74" i="27"/>
  <c r="AB122" i="49" s="1"/>
  <c r="AB126" i="49" s="1"/>
  <c r="AH74" i="27"/>
  <c r="AG122" i="49" s="1"/>
  <c r="AG126" i="49" s="1"/>
  <c r="AG182" i="49" s="1"/>
  <c r="AG62" i="59" s="1"/>
  <c r="AA74" i="27"/>
  <c r="Z122" i="49" s="1"/>
  <c r="Z126" i="49" s="1"/>
  <c r="AF74" i="27"/>
  <c r="AE122" i="49" s="1"/>
  <c r="AE126" i="49" s="1"/>
  <c r="AE182" i="49" s="1"/>
  <c r="AE62" i="59" s="1"/>
  <c r="F74" i="27"/>
  <c r="E122" i="49" s="1"/>
  <c r="E126" i="49" s="1"/>
  <c r="AE74" i="27"/>
  <c r="AD122" i="49" s="1"/>
  <c r="AD126" i="49" s="1"/>
  <c r="AD182" i="49" s="1"/>
  <c r="AD62" i="59" s="1"/>
  <c r="H74" i="27"/>
  <c r="G122" i="49" s="1"/>
  <c r="G126" i="49" s="1"/>
  <c r="G182" i="49" s="1"/>
  <c r="G62" i="59" s="1"/>
  <c r="AI74" i="27"/>
  <c r="AH122" i="49" s="1"/>
  <c r="AH126" i="49" s="1"/>
  <c r="AD74" i="27"/>
  <c r="AC122" i="49" s="1"/>
  <c r="AC126" i="49" s="1"/>
  <c r="AB74" i="27"/>
  <c r="AA122" i="49" s="1"/>
  <c r="AA126" i="49" s="1"/>
  <c r="O74" i="27"/>
  <c r="N122" i="49" s="1"/>
  <c r="N126" i="49" s="1"/>
  <c r="E67" i="27"/>
  <c r="E66" i="27" s="1"/>
  <c r="E322" i="27"/>
  <c r="AJ74" i="27"/>
  <c r="AI122" i="49" s="1"/>
  <c r="AI126" i="49" s="1"/>
  <c r="AI172" i="49" s="1"/>
  <c r="C67" i="27"/>
  <c r="C322" i="27"/>
  <c r="C59" i="27" s="1"/>
  <c r="B30" i="45" s="1"/>
  <c r="Q67" i="27"/>
  <c r="Q322" i="27"/>
  <c r="Q59" i="27" s="1"/>
  <c r="P30" i="45" s="1"/>
  <c r="D67" i="27"/>
  <c r="D322" i="27"/>
  <c r="AG74" i="27"/>
  <c r="AF122" i="49" s="1"/>
  <c r="AF126" i="49" s="1"/>
  <c r="J177" i="25"/>
  <c r="H177" i="25"/>
  <c r="N176" i="25"/>
  <c r="N175" i="25" s="1"/>
  <c r="D177" i="25"/>
  <c r="B177" i="25"/>
  <c r="G176" i="25"/>
  <c r="G175" i="25" s="1"/>
  <c r="L176" i="25"/>
  <c r="L175" i="25" s="1"/>
  <c r="E176" i="25"/>
  <c r="E175" i="25" s="1"/>
  <c r="F176" i="25"/>
  <c r="F175" i="25" s="1"/>
  <c r="O176" i="25"/>
  <c r="O175" i="25" s="1"/>
  <c r="M176" i="25"/>
  <c r="M175" i="25" s="1"/>
  <c r="I176" i="25"/>
  <c r="I175" i="25" s="1"/>
  <c r="C177" i="25"/>
  <c r="B35" i="54"/>
  <c r="B33" i="54" s="1"/>
  <c r="B36" i="54" s="1"/>
  <c r="Y38" i="54" s="1"/>
  <c r="D52" i="54"/>
  <c r="D50" i="54" s="1"/>
  <c r="C52" i="54"/>
  <c r="C50" i="54" s="1"/>
  <c r="G18" i="45"/>
  <c r="T52" i="54"/>
  <c r="AI177" i="25"/>
  <c r="AC52" i="54"/>
  <c r="AC50" i="54" s="1"/>
  <c r="T16" i="45"/>
  <c r="AA18" i="45"/>
  <c r="AA16" i="45" s="1"/>
  <c r="Q18" i="45"/>
  <c r="K156" i="49"/>
  <c r="K184" i="49" s="1"/>
  <c r="K64" i="59" s="1"/>
  <c r="AB177" i="25"/>
  <c r="W26" i="45"/>
  <c r="W24" i="45" s="1"/>
  <c r="W68" i="50" s="1"/>
  <c r="X177" i="25"/>
  <c r="K68" i="25"/>
  <c r="K85" i="25" s="1"/>
  <c r="K26" i="45" s="1"/>
  <c r="J80" i="54"/>
  <c r="F80" i="54"/>
  <c r="AE26" i="45"/>
  <c r="AE24" i="45" s="1"/>
  <c r="AE68" i="50" s="1"/>
  <c r="M80" i="54"/>
  <c r="M78" i="54" s="1"/>
  <c r="M83" i="54" s="1"/>
  <c r="AD177" i="25"/>
  <c r="C26" i="45"/>
  <c r="X84" i="54"/>
  <c r="H68" i="25"/>
  <c r="H85" i="25" s="1"/>
  <c r="Z35" i="54"/>
  <c r="Z33" i="54" s="1"/>
  <c r="Z36" i="54" s="1"/>
  <c r="Z37" i="54" s="1"/>
  <c r="AE84" i="54"/>
  <c r="AH26" i="45"/>
  <c r="AH24" i="45" s="1"/>
  <c r="AH68" i="50" s="1"/>
  <c r="M51" i="50"/>
  <c r="AC80" i="54"/>
  <c r="AC78" i="54" s="1"/>
  <c r="AC83" i="54" s="1"/>
  <c r="AD84" i="54" s="1"/>
  <c r="T51" i="50"/>
  <c r="P26" i="45"/>
  <c r="P24" i="45" s="1"/>
  <c r="P68" i="50" s="1"/>
  <c r="Y80" i="54"/>
  <c r="Y78" i="54" s="1"/>
  <c r="Y83" i="54" s="1"/>
  <c r="Z84" i="54" s="1"/>
  <c r="AD26" i="45"/>
  <c r="AD24" i="45" s="1"/>
  <c r="AD68" i="50" s="1"/>
  <c r="T80" i="54"/>
  <c r="T78" i="54" s="1"/>
  <c r="T83" i="54" s="1"/>
  <c r="T84" i="54" s="1"/>
  <c r="S26" i="45"/>
  <c r="S24" i="45" s="1"/>
  <c r="S68" i="50" s="1"/>
  <c r="L26" i="45"/>
  <c r="O26" i="45"/>
  <c r="O24" i="45" s="1"/>
  <c r="O68" i="50" s="1"/>
  <c r="B26" i="45"/>
  <c r="AF68" i="25"/>
  <c r="AF85" i="25" s="1"/>
  <c r="AF80" i="54" s="1"/>
  <c r="AF78" i="54" s="1"/>
  <c r="AF83" i="54" s="1"/>
  <c r="AF84" i="54" s="1"/>
  <c r="I80" i="54"/>
  <c r="AB87" i="25"/>
  <c r="AB134" i="49" s="1"/>
  <c r="AB68" i="25"/>
  <c r="AB85" i="25" s="1"/>
  <c r="U87" i="25"/>
  <c r="U134" i="49" s="1"/>
  <c r="U68" i="25"/>
  <c r="U85" i="25" s="1"/>
  <c r="Z26" i="45"/>
  <c r="Z24" i="45" s="1"/>
  <c r="Z51" i="50" s="1"/>
  <c r="X26" i="45"/>
  <c r="X24" i="45" s="1"/>
  <c r="X51" i="50" s="1"/>
  <c r="P84" i="54"/>
  <c r="V87" i="25"/>
  <c r="V134" i="49" s="1"/>
  <c r="V68" i="25"/>
  <c r="V85" i="25" s="1"/>
  <c r="G87" i="25"/>
  <c r="G134" i="49" s="1"/>
  <c r="G68" i="25"/>
  <c r="G85" i="25" s="1"/>
  <c r="R35" i="54"/>
  <c r="R33" i="54" s="1"/>
  <c r="R36" i="54" s="1"/>
  <c r="U177" i="25"/>
  <c r="G35" i="54"/>
  <c r="G33" i="54" s="1"/>
  <c r="G36" i="54" s="1"/>
  <c r="H37" i="54" s="1"/>
  <c r="Y177" i="25"/>
  <c r="M14" i="45"/>
  <c r="M12" i="45" s="1"/>
  <c r="M71" i="25"/>
  <c r="M88" i="25" s="1"/>
  <c r="AE37" i="54"/>
  <c r="AH37" i="54"/>
  <c r="AF37" i="54"/>
  <c r="AA177" i="25"/>
  <c r="AB35" i="54"/>
  <c r="AB33" i="54" s="1"/>
  <c r="AB36" i="54" s="1"/>
  <c r="AB37" i="54" s="1"/>
  <c r="AG18" i="45"/>
  <c r="AG16" i="45" s="1"/>
  <c r="AG50" i="50" s="1"/>
  <c r="AD11" i="45"/>
  <c r="AD9" i="45" s="1"/>
  <c r="AD71" i="50" s="1"/>
  <c r="T177" i="25"/>
  <c r="L50" i="54"/>
  <c r="AH11" i="45"/>
  <c r="AH9" i="45" s="1"/>
  <c r="AH71" i="50" s="1"/>
  <c r="S19" i="45"/>
  <c r="U53" i="54"/>
  <c r="U50" i="54" s="1"/>
  <c r="Q50" i="54"/>
  <c r="J53" i="54"/>
  <c r="J50" i="54" s="1"/>
  <c r="I53" i="54"/>
  <c r="P19" i="45"/>
  <c r="B156" i="49"/>
  <c r="B184" i="49" s="1"/>
  <c r="B64" i="59" s="1"/>
  <c r="D156" i="49"/>
  <c r="D184" i="49" s="1"/>
  <c r="D64" i="59" s="1"/>
  <c r="J16" i="45"/>
  <c r="Q19" i="45"/>
  <c r="S156" i="49"/>
  <c r="S174" i="49" s="1"/>
  <c r="M50" i="54"/>
  <c r="E19" i="45"/>
  <c r="E16" i="45" s="1"/>
  <c r="E50" i="50" s="1"/>
  <c r="O19" i="45"/>
  <c r="M19" i="45"/>
  <c r="M16" i="45" s="1"/>
  <c r="T53" i="54"/>
  <c r="H53" i="54"/>
  <c r="L19" i="45"/>
  <c r="L16" i="45" s="1"/>
  <c r="L70" i="50" s="1"/>
  <c r="G50" i="54"/>
  <c r="C19" i="45"/>
  <c r="C16" i="45" s="1"/>
  <c r="N53" i="54"/>
  <c r="N50" i="54" s="1"/>
  <c r="F19" i="45"/>
  <c r="F16" i="45" s="1"/>
  <c r="F50" i="50" s="1"/>
  <c r="G19" i="45"/>
  <c r="R53" i="54"/>
  <c r="R50" i="54" s="1"/>
  <c r="H156" i="49"/>
  <c r="H184" i="49" s="1"/>
  <c r="H64" i="59" s="1"/>
  <c r="N16" i="45"/>
  <c r="AE177" i="25"/>
  <c r="AD37" i="54"/>
  <c r="I35" i="54"/>
  <c r="I33" i="54" s="1"/>
  <c r="I36" i="54" s="1"/>
  <c r="AG177" i="25"/>
  <c r="Q177" i="25"/>
  <c r="V177" i="25"/>
  <c r="E174" i="49"/>
  <c r="C174" i="49"/>
  <c r="K19" i="45"/>
  <c r="K16" i="45" s="1"/>
  <c r="K37" i="45"/>
  <c r="K56" i="50" s="1"/>
  <c r="D37" i="45"/>
  <c r="D76" i="50" s="1"/>
  <c r="AI69" i="27"/>
  <c r="AI61" i="27"/>
  <c r="AH69" i="27"/>
  <c r="Y61" i="27"/>
  <c r="AH61" i="27"/>
  <c r="AJ61" i="27"/>
  <c r="K61" i="27"/>
  <c r="AE61" i="27"/>
  <c r="U74" i="50"/>
  <c r="K74" i="50"/>
  <c r="N74" i="50"/>
  <c r="T96" i="54"/>
  <c r="M96" i="54"/>
  <c r="AC96" i="54"/>
  <c r="AB74" i="50"/>
  <c r="D459" i="27"/>
  <c r="T459" i="27"/>
  <c r="G75" i="27"/>
  <c r="AB67" i="27"/>
  <c r="E459" i="27"/>
  <c r="M75" i="27"/>
  <c r="S459" i="27"/>
  <c r="L75" i="27"/>
  <c r="W459" i="27"/>
  <c r="Y75" i="27"/>
  <c r="V75" i="27"/>
  <c r="V74" i="27" s="1"/>
  <c r="V459" i="27"/>
  <c r="L459" i="27"/>
  <c r="O459" i="27"/>
  <c r="I75" i="27"/>
  <c r="Q75" i="27"/>
  <c r="AG59" i="27"/>
  <c r="AF30" i="45" s="1"/>
  <c r="U459" i="27"/>
  <c r="AH59" i="27"/>
  <c r="AG30" i="45" s="1"/>
  <c r="N75" i="27"/>
  <c r="AH67" i="27"/>
  <c r="U75" i="27"/>
  <c r="Z75" i="27"/>
  <c r="J459" i="27"/>
  <c r="J75" i="27"/>
  <c r="F459" i="27"/>
  <c r="H459" i="27"/>
  <c r="R75" i="27"/>
  <c r="G67" i="27"/>
  <c r="G66" i="27" s="1"/>
  <c r="P75" i="27"/>
  <c r="P74" i="27" s="1"/>
  <c r="AJ67" i="27"/>
  <c r="P459" i="27"/>
  <c r="X75" i="27"/>
  <c r="X74" i="27" s="1"/>
  <c r="K75" i="27"/>
  <c r="AF59" i="27"/>
  <c r="AF67" i="27"/>
  <c r="AG67" i="27"/>
  <c r="AG66" i="27" s="1"/>
  <c r="AJ59" i="27"/>
  <c r="AI30" i="45" s="1"/>
  <c r="Y74" i="50"/>
  <c r="V96" i="54"/>
  <c r="AF74" i="50"/>
  <c r="S96" i="54"/>
  <c r="AI59" i="27"/>
  <c r="AH30" i="45" s="1"/>
  <c r="G59" i="27"/>
  <c r="W96" i="54"/>
  <c r="AA96" i="54"/>
  <c r="AB59" i="27"/>
  <c r="P74" i="50"/>
  <c r="M59" i="27"/>
  <c r="AI67" i="27"/>
  <c r="M67" i="27"/>
  <c r="T67" i="27"/>
  <c r="I59" i="27"/>
  <c r="H30" i="45" s="1"/>
  <c r="I67" i="27"/>
  <c r="Y59" i="27"/>
  <c r="X30" i="45" s="1"/>
  <c r="Y67" i="27"/>
  <c r="S67" i="27"/>
  <c r="F67" i="27"/>
  <c r="F66" i="27" s="1"/>
  <c r="O67" i="27"/>
  <c r="AC67" i="27"/>
  <c r="AC66" i="27" s="1"/>
  <c r="AB137" i="49" s="1"/>
  <c r="AC59" i="27"/>
  <c r="AB30" i="45" s="1"/>
  <c r="AE59" i="27"/>
  <c r="AD30" i="45" s="1"/>
  <c r="AE67" i="27"/>
  <c r="AE66" i="27" s="1"/>
  <c r="N59" i="27"/>
  <c r="M30" i="45" s="1"/>
  <c r="N67" i="27"/>
  <c r="P67" i="27"/>
  <c r="K59" i="27"/>
  <c r="J30" i="45" s="1"/>
  <c r="K67" i="27"/>
  <c r="K66" i="27" s="1"/>
  <c r="L67" i="27"/>
  <c r="AD59" i="27"/>
  <c r="AC30" i="45" s="1"/>
  <c r="AD67" i="27"/>
  <c r="AD66" i="27" s="1"/>
  <c r="R67" i="27"/>
  <c r="H67" i="27"/>
  <c r="H66" i="27" s="1"/>
  <c r="G137" i="49" s="1"/>
  <c r="U67" i="27"/>
  <c r="U66" i="27" s="1"/>
  <c r="Z67" i="27"/>
  <c r="V67" i="27"/>
  <c r="AA59" i="27"/>
  <c r="AA67" i="27"/>
  <c r="X59" i="27"/>
  <c r="X67" i="27"/>
  <c r="W67" i="27"/>
  <c r="J67" i="27"/>
  <c r="J66" i="27" s="1"/>
  <c r="P96" i="54"/>
  <c r="S74" i="50"/>
  <c r="V74" i="50"/>
  <c r="F56" i="50"/>
  <c r="J184" i="49"/>
  <c r="J64" i="59" s="1"/>
  <c r="J174" i="49"/>
  <c r="R184" i="49"/>
  <c r="R64" i="59" s="1"/>
  <c r="R174" i="49"/>
  <c r="AB184" i="49"/>
  <c r="AB64" i="59" s="1"/>
  <c r="AB174" i="49"/>
  <c r="AH184" i="49"/>
  <c r="AH64" i="59" s="1"/>
  <c r="AH174" i="49"/>
  <c r="G184" i="49"/>
  <c r="G64" i="59" s="1"/>
  <c r="G174" i="49"/>
  <c r="AC184" i="49"/>
  <c r="AC64" i="59" s="1"/>
  <c r="AC174" i="49"/>
  <c r="O184" i="49"/>
  <c r="O64" i="59" s="1"/>
  <c r="O174" i="49"/>
  <c r="V184" i="49"/>
  <c r="V64" i="59" s="1"/>
  <c r="V174" i="49"/>
  <c r="Y184" i="49"/>
  <c r="Y64" i="59" s="1"/>
  <c r="Y174" i="49"/>
  <c r="I184" i="49"/>
  <c r="I64" i="59" s="1"/>
  <c r="I174" i="49"/>
  <c r="AI184" i="49"/>
  <c r="AI64" i="59" s="1"/>
  <c r="R39" i="59" s="1"/>
  <c r="AI174" i="49"/>
  <c r="X184" i="49"/>
  <c r="X64" i="59" s="1"/>
  <c r="X174" i="49"/>
  <c r="F184" i="49"/>
  <c r="F64" i="59" s="1"/>
  <c r="F174" i="49"/>
  <c r="U184" i="49"/>
  <c r="U64" i="59" s="1"/>
  <c r="U174" i="49"/>
  <c r="X75" i="49"/>
  <c r="R53" i="59"/>
  <c r="AH16" i="45"/>
  <c r="U48" i="54"/>
  <c r="U46" i="54" s="1"/>
  <c r="F50" i="54"/>
  <c r="D19" i="45"/>
  <c r="D16" i="45" s="1"/>
  <c r="W74" i="50"/>
  <c r="Y96" i="54"/>
  <c r="AA37" i="32"/>
  <c r="AA38" i="45" s="1"/>
  <c r="AA37" i="45" s="1"/>
  <c r="C71" i="25"/>
  <c r="C88" i="25" s="1"/>
  <c r="E48" i="54"/>
  <c r="E46" i="54" s="1"/>
  <c r="P177" i="25"/>
  <c r="AG48" i="54"/>
  <c r="AG46" i="54" s="1"/>
  <c r="AG55" i="54" s="1"/>
  <c r="AG156" i="49"/>
  <c r="AC177" i="25"/>
  <c r="F48" i="54"/>
  <c r="F46" i="54" s="1"/>
  <c r="AH177" i="25"/>
  <c r="R71" i="25"/>
  <c r="R88" i="25" s="1"/>
  <c r="F71" i="25"/>
  <c r="F88" i="25" s="1"/>
  <c r="AF48" i="54"/>
  <c r="AF46" i="54" s="1"/>
  <c r="Z14" i="45"/>
  <c r="Z12" i="45" s="1"/>
  <c r="Z177" i="25"/>
  <c r="C14" i="45"/>
  <c r="C12" i="45" s="1"/>
  <c r="R177" i="25"/>
  <c r="P20" i="45"/>
  <c r="AE50" i="50"/>
  <c r="AE54" i="54"/>
  <c r="AE50" i="54" s="1"/>
  <c r="M46" i="54"/>
  <c r="Z16" i="45"/>
  <c r="M37" i="54"/>
  <c r="J46" i="54"/>
  <c r="Z46" i="54"/>
  <c r="Z55" i="54" s="1"/>
  <c r="K50" i="54"/>
  <c r="C46" i="54"/>
  <c r="E50" i="54"/>
  <c r="P48" i="54"/>
  <c r="P46" i="54" s="1"/>
  <c r="AE70" i="50"/>
  <c r="AE71" i="25"/>
  <c r="AE88" i="25" s="1"/>
  <c r="AE48" i="54"/>
  <c r="AE46" i="54" s="1"/>
  <c r="Z71" i="25"/>
  <c r="Z88" i="25" s="1"/>
  <c r="S177" i="25"/>
  <c r="O37" i="54"/>
  <c r="U16" i="45"/>
  <c r="U50" i="50" s="1"/>
  <c r="R48" i="54"/>
  <c r="R46" i="54" s="1"/>
  <c r="Y71" i="25"/>
  <c r="Y88" i="25" s="1"/>
  <c r="R26" i="45"/>
  <c r="R24" i="45" s="1"/>
  <c r="R80" i="54"/>
  <c r="R78" i="54" s="1"/>
  <c r="R83" i="54" s="1"/>
  <c r="S84" i="54" s="1"/>
  <c r="T37" i="54"/>
  <c r="E26" i="45"/>
  <c r="E80" i="54"/>
  <c r="R16" i="45"/>
  <c r="R70" i="50" s="1"/>
  <c r="AD14" i="45"/>
  <c r="AD12" i="45" s="1"/>
  <c r="AG37" i="54"/>
  <c r="J71" i="25"/>
  <c r="J88" i="25" s="1"/>
  <c r="E71" i="25"/>
  <c r="E88" i="25" s="1"/>
  <c r="AF177" i="25"/>
  <c r="Y16" i="45"/>
  <c r="D14" i="45"/>
  <c r="D12" i="45" s="1"/>
  <c r="D48" i="54"/>
  <c r="D46" i="54" s="1"/>
  <c r="N37" i="54"/>
  <c r="W177" i="25"/>
  <c r="L48" i="54"/>
  <c r="L46" i="54" s="1"/>
  <c r="L71" i="25"/>
  <c r="L88" i="25" s="1"/>
  <c r="B48" i="54"/>
  <c r="B46" i="54" s="1"/>
  <c r="Q37" i="54"/>
  <c r="J14" i="45"/>
  <c r="J12" i="45" s="1"/>
  <c r="Y14" i="45"/>
  <c r="Y12" i="45" s="1"/>
  <c r="Y48" i="54"/>
  <c r="Y46" i="54" s="1"/>
  <c r="Y55" i="54" s="1"/>
  <c r="AA11" i="45"/>
  <c r="AA9" i="45" s="1"/>
  <c r="AA71" i="50" s="1"/>
  <c r="AD71" i="25"/>
  <c r="AD88" i="25" s="1"/>
  <c r="AD46" i="54"/>
  <c r="AF156" i="49"/>
  <c r="AA71" i="25"/>
  <c r="AA88" i="25" s="1"/>
  <c r="O14" i="45"/>
  <c r="O12" i="45" s="1"/>
  <c r="O48" i="54"/>
  <c r="O46" i="54" s="1"/>
  <c r="B71" i="25"/>
  <c r="B88" i="25" s="1"/>
  <c r="N48" i="54"/>
  <c r="N46" i="54" s="1"/>
  <c r="N14" i="45"/>
  <c r="N12" i="45" s="1"/>
  <c r="X14" i="45"/>
  <c r="X12" i="45" s="1"/>
  <c r="X48" i="54"/>
  <c r="X46" i="54" s="1"/>
  <c r="V52" i="54"/>
  <c r="V50" i="54" s="1"/>
  <c r="V18" i="45"/>
  <c r="V16" i="45" s="1"/>
  <c r="Q48" i="54"/>
  <c r="Q46" i="54" s="1"/>
  <c r="Q14" i="45"/>
  <c r="Q12" i="45" s="1"/>
  <c r="Q156" i="49"/>
  <c r="AC79" i="25"/>
  <c r="AC71" i="25"/>
  <c r="AC88" i="25" s="1"/>
  <c r="X11" i="45"/>
  <c r="X9" i="45" s="1"/>
  <c r="X71" i="50" s="1"/>
  <c r="X35" i="54"/>
  <c r="X33" i="54" s="1"/>
  <c r="X36" i="54" s="1"/>
  <c r="AF18" i="45"/>
  <c r="AF16" i="45" s="1"/>
  <c r="AF50" i="50" s="1"/>
  <c r="AF52" i="54"/>
  <c r="AF50" i="54" s="1"/>
  <c r="AA14" i="45"/>
  <c r="AA12" i="45" s="1"/>
  <c r="AA48" i="54"/>
  <c r="AA46" i="54" s="1"/>
  <c r="AA55" i="54" s="1"/>
  <c r="AG85" i="25"/>
  <c r="AG71" i="25"/>
  <c r="AG88" i="25" s="1"/>
  <c r="V37" i="54"/>
  <c r="U37" i="54"/>
  <c r="H48" i="54"/>
  <c r="H46" i="54" s="1"/>
  <c r="H14" i="45"/>
  <c r="H12" i="45" s="1"/>
  <c r="T79" i="25"/>
  <c r="T71" i="25"/>
  <c r="T88" i="25" s="1"/>
  <c r="AA80" i="54"/>
  <c r="AA78" i="54" s="1"/>
  <c r="AA83" i="54" s="1"/>
  <c r="AA26" i="45"/>
  <c r="AA24" i="45" s="1"/>
  <c r="W48" i="54"/>
  <c r="W46" i="54" s="1"/>
  <c r="W55" i="54" s="1"/>
  <c r="W14" i="45"/>
  <c r="W12" i="45" s="1"/>
  <c r="W70" i="50" s="1"/>
  <c r="G79" i="25"/>
  <c r="B18" i="45"/>
  <c r="B16" i="45" s="1"/>
  <c r="B52" i="54"/>
  <c r="B50" i="54" s="1"/>
  <c r="AD52" i="54"/>
  <c r="AD50" i="54" s="1"/>
  <c r="AD18" i="45"/>
  <c r="AD16" i="45" s="1"/>
  <c r="V79" i="25"/>
  <c r="O82" i="25"/>
  <c r="O71" i="25"/>
  <c r="O88" i="25" s="1"/>
  <c r="D85" i="25"/>
  <c r="D71" i="25"/>
  <c r="D88" i="25" s="1"/>
  <c r="P82" i="25"/>
  <c r="P71" i="25"/>
  <c r="P88" i="25" s="1"/>
  <c r="AH79" i="25"/>
  <c r="AH71" i="25"/>
  <c r="AH88" i="25" s="1"/>
  <c r="I79" i="25"/>
  <c r="I71" i="25"/>
  <c r="I88" i="25" s="1"/>
  <c r="S79" i="25"/>
  <c r="S71" i="25"/>
  <c r="S88" i="25" s="1"/>
  <c r="I18" i="45"/>
  <c r="I16" i="45" s="1"/>
  <c r="I52" i="54"/>
  <c r="S18" i="45"/>
  <c r="S52" i="54"/>
  <c r="S50" i="54" s="1"/>
  <c r="N85" i="25"/>
  <c r="N71" i="25"/>
  <c r="N88" i="25" s="1"/>
  <c r="Q85" i="25"/>
  <c r="Q71" i="25"/>
  <c r="Q88" i="25" s="1"/>
  <c r="Y51" i="50"/>
  <c r="AI52" i="54"/>
  <c r="AI50" i="54" s="1"/>
  <c r="AI18" i="45"/>
  <c r="AI16" i="45" s="1"/>
  <c r="X72" i="49"/>
  <c r="P37" i="54"/>
  <c r="K48" i="54"/>
  <c r="K46" i="54" s="1"/>
  <c r="K14" i="45"/>
  <c r="K12" i="45" s="1"/>
  <c r="AB79" i="25"/>
  <c r="AI26" i="45"/>
  <c r="AI24" i="45" s="1"/>
  <c r="AI80" i="54"/>
  <c r="AI78" i="54" s="1"/>
  <c r="AI83" i="54" s="1"/>
  <c r="AI84" i="54" s="1"/>
  <c r="X82" i="25"/>
  <c r="X71" i="25"/>
  <c r="X88" i="25" s="1"/>
  <c r="W76" i="25"/>
  <c r="W71" i="25"/>
  <c r="W88" i="25" s="1"/>
  <c r="K76" i="25"/>
  <c r="AI79" i="25"/>
  <c r="AI71" i="25"/>
  <c r="AI88" i="25" s="1"/>
  <c r="AC68" i="50"/>
  <c r="AC51" i="50"/>
  <c r="H82" i="25"/>
  <c r="B76" i="50"/>
  <c r="AV30" i="50" s="1"/>
  <c r="B56" i="50"/>
  <c r="AN40" i="50" s="1"/>
  <c r="C76" i="50"/>
  <c r="J76" i="50"/>
  <c r="H76" i="50"/>
  <c r="I76" i="50"/>
  <c r="E56" i="50"/>
  <c r="G56" i="50"/>
  <c r="S37" i="45"/>
  <c r="S76" i="50" s="1"/>
  <c r="O37" i="45"/>
  <c r="O76" i="50" s="1"/>
  <c r="U37" i="45"/>
  <c r="U56" i="50" s="1"/>
  <c r="F71" i="50"/>
  <c r="F37" i="54"/>
  <c r="X37" i="32"/>
  <c r="X38" i="45" s="1"/>
  <c r="X37" i="45" s="1"/>
  <c r="X76" i="50" s="1"/>
  <c r="R37" i="32"/>
  <c r="R38" i="45" s="1"/>
  <c r="R37" i="45" s="1"/>
  <c r="R76" i="50" s="1"/>
  <c r="AG37" i="32"/>
  <c r="AG38" i="45" s="1"/>
  <c r="AG37" i="45" s="1"/>
  <c r="AG56" i="50" s="1"/>
  <c r="AB37" i="32"/>
  <c r="AB38" i="45" s="1"/>
  <c r="AB37" i="45" s="1"/>
  <c r="AB76" i="50" s="1"/>
  <c r="AF37" i="32"/>
  <c r="AF38" i="45" s="1"/>
  <c r="AF37" i="45" s="1"/>
  <c r="AF56" i="50" s="1"/>
  <c r="AH76" i="50"/>
  <c r="N36" i="32"/>
  <c r="N37" i="32" s="1"/>
  <c r="Q37" i="32"/>
  <c r="Q38" i="45" s="1"/>
  <c r="Q37" i="45" s="1"/>
  <c r="Q76" i="50" s="1"/>
  <c r="H9" i="49"/>
  <c r="Y76" i="50"/>
  <c r="AI56" i="50"/>
  <c r="AN28" i="50" s="1"/>
  <c r="V76" i="50"/>
  <c r="V56" i="50"/>
  <c r="AD155" i="49"/>
  <c r="AD156" i="49" s="1"/>
  <c r="AD38" i="45"/>
  <c r="AD37" i="45" s="1"/>
  <c r="Z36" i="32"/>
  <c r="Z37" i="32" s="1"/>
  <c r="T155" i="49"/>
  <c r="T156" i="49" s="1"/>
  <c r="T38" i="45"/>
  <c r="T37" i="45" s="1"/>
  <c r="W155" i="49"/>
  <c r="W156" i="49" s="1"/>
  <c r="W174" i="49" s="1"/>
  <c r="W38" i="45"/>
  <c r="W37" i="45" s="1"/>
  <c r="P155" i="49"/>
  <c r="P156" i="49" s="1"/>
  <c r="P38" i="45"/>
  <c r="P37" i="45" s="1"/>
  <c r="L155" i="49"/>
  <c r="L156" i="49" s="1"/>
  <c r="L38" i="45"/>
  <c r="L37" i="45" s="1"/>
  <c r="M155" i="49"/>
  <c r="M156" i="49" s="1"/>
  <c r="M38" i="45"/>
  <c r="M37" i="45" s="1"/>
  <c r="AE155" i="49"/>
  <c r="AE156" i="49" s="1"/>
  <c r="AE174" i="49" s="1"/>
  <c r="AE38" i="45"/>
  <c r="AE37" i="45" s="1"/>
  <c r="AA155" i="49"/>
  <c r="AA156" i="49" s="1"/>
  <c r="AC76" i="50"/>
  <c r="AC56" i="50"/>
  <c r="AI71" i="50"/>
  <c r="AI37" i="54"/>
  <c r="AA74" i="50"/>
  <c r="K96" i="54"/>
  <c r="AE96" i="54"/>
  <c r="AF96" i="54"/>
  <c r="Z74" i="50"/>
  <c r="Z96" i="54"/>
  <c r="G96" i="54" l="1"/>
  <c r="H96" i="54"/>
  <c r="O96" i="54"/>
  <c r="L96" i="54"/>
  <c r="Q96" i="54"/>
  <c r="L74" i="27"/>
  <c r="K122" i="49" s="1"/>
  <c r="K126" i="49" s="1"/>
  <c r="K182" i="49" s="1"/>
  <c r="K62" i="59" s="1"/>
  <c r="F31" i="45"/>
  <c r="F74" i="50" s="1"/>
  <c r="D96" i="54"/>
  <c r="I96" i="54"/>
  <c r="R96" i="54"/>
  <c r="J74" i="27"/>
  <c r="I122" i="49" s="1"/>
  <c r="I126" i="49" s="1"/>
  <c r="I172" i="49" s="1"/>
  <c r="U74" i="27"/>
  <c r="T122" i="49" s="1"/>
  <c r="T126" i="49" s="1"/>
  <c r="T172" i="49" s="1"/>
  <c r="C96" i="54"/>
  <c r="Q74" i="27"/>
  <c r="P122" i="49" s="1"/>
  <c r="P126" i="49" s="1"/>
  <c r="O122" i="49"/>
  <c r="O126" i="49" s="1"/>
  <c r="O182" i="49" s="1"/>
  <c r="O62" i="59" s="1"/>
  <c r="U122" i="49"/>
  <c r="U126" i="49" s="1"/>
  <c r="U172" i="49" s="1"/>
  <c r="Z74" i="27"/>
  <c r="Y122" i="49" s="1"/>
  <c r="Y126" i="49" s="1"/>
  <c r="R74" i="27"/>
  <c r="Q122" i="49" s="1"/>
  <c r="Q126" i="49" s="1"/>
  <c r="G74" i="27"/>
  <c r="F122" i="49" s="1"/>
  <c r="F126" i="49" s="1"/>
  <c r="N74" i="27"/>
  <c r="M122" i="49" s="1"/>
  <c r="M126" i="49" s="1"/>
  <c r="M182" i="49" s="1"/>
  <c r="M62" i="59" s="1"/>
  <c r="M74" i="27"/>
  <c r="L122" i="49" s="1"/>
  <c r="L126" i="49" s="1"/>
  <c r="I74" i="27"/>
  <c r="H122" i="49" s="1"/>
  <c r="H126" i="49" s="1"/>
  <c r="H182" i="49" s="1"/>
  <c r="H62" i="59" s="1"/>
  <c r="K74" i="27"/>
  <c r="J122" i="49" s="1"/>
  <c r="J126" i="49" s="1"/>
  <c r="Y74" i="27"/>
  <c r="X122" i="49" s="1"/>
  <c r="X126" i="49" s="1"/>
  <c r="X182" i="49" s="1"/>
  <c r="X62" i="59" s="1"/>
  <c r="I177" i="25"/>
  <c r="M177" i="25"/>
  <c r="O177" i="25"/>
  <c r="F177" i="25"/>
  <c r="E177" i="25"/>
  <c r="L177" i="25"/>
  <c r="G177" i="25"/>
  <c r="D137" i="49"/>
  <c r="D141" i="49" s="1"/>
  <c r="E137" i="49"/>
  <c r="E141" i="49" s="1"/>
  <c r="AF137" i="49"/>
  <c r="AF141" i="49" s="1"/>
  <c r="F137" i="49"/>
  <c r="F141" i="49" s="1"/>
  <c r="T137" i="49"/>
  <c r="T141" i="49" s="1"/>
  <c r="AD137" i="49"/>
  <c r="AD141" i="49" s="1"/>
  <c r="AC137" i="49"/>
  <c r="AC141" i="49" s="1"/>
  <c r="I137" i="49"/>
  <c r="I141" i="49" s="1"/>
  <c r="J137" i="49"/>
  <c r="J141" i="49" s="1"/>
  <c r="E96" i="54"/>
  <c r="W30" i="45"/>
  <c r="W73" i="50" s="1"/>
  <c r="Z94" i="54"/>
  <c r="Z30" i="45"/>
  <c r="Z73" i="50" s="1"/>
  <c r="M58" i="27"/>
  <c r="L93" i="54" s="1"/>
  <c r="L30" i="45"/>
  <c r="L29" i="45" s="1"/>
  <c r="AB58" i="27"/>
  <c r="AA93" i="54" s="1"/>
  <c r="AA30" i="45"/>
  <c r="G58" i="27"/>
  <c r="F93" i="54" s="1"/>
  <c r="F30" i="45"/>
  <c r="AF58" i="27"/>
  <c r="AE93" i="54" s="1"/>
  <c r="AE30" i="45"/>
  <c r="N177" i="25"/>
  <c r="AJ58" i="27"/>
  <c r="AI93" i="54" s="1"/>
  <c r="AD31" i="45"/>
  <c r="AD74" i="50" s="1"/>
  <c r="J96" i="54"/>
  <c r="J31" i="45"/>
  <c r="J74" i="50" s="1"/>
  <c r="AH96" i="54"/>
  <c r="AH31" i="45"/>
  <c r="AH74" i="50" s="1"/>
  <c r="AI31" i="45"/>
  <c r="AI74" i="50" s="1"/>
  <c r="AR28" i="50" s="1"/>
  <c r="AG31" i="45"/>
  <c r="AG74" i="50" s="1"/>
  <c r="X96" i="54"/>
  <c r="X31" i="45"/>
  <c r="X74" i="50" s="1"/>
  <c r="Q16" i="45"/>
  <c r="Q50" i="50" s="1"/>
  <c r="F38" i="54"/>
  <c r="Q38" i="54"/>
  <c r="AF38" i="54"/>
  <c r="C38" i="54"/>
  <c r="U38" i="54"/>
  <c r="E38" i="54"/>
  <c r="AI38" i="54"/>
  <c r="AH38" i="54"/>
  <c r="V38" i="54"/>
  <c r="L38" i="54"/>
  <c r="AG38" i="54"/>
  <c r="N38" i="54"/>
  <c r="P38" i="54"/>
  <c r="T38" i="54"/>
  <c r="O38" i="54"/>
  <c r="AC38" i="54"/>
  <c r="D38" i="54"/>
  <c r="S38" i="54"/>
  <c r="M38" i="54"/>
  <c r="C37" i="54"/>
  <c r="AE38" i="54"/>
  <c r="AD38" i="54"/>
  <c r="I38" i="54"/>
  <c r="J38" i="54"/>
  <c r="AA38" i="54"/>
  <c r="H38" i="54"/>
  <c r="B41" i="54"/>
  <c r="R38" i="54"/>
  <c r="G16" i="45"/>
  <c r="T50" i="54"/>
  <c r="W51" i="50"/>
  <c r="K174" i="49"/>
  <c r="AE8" i="45"/>
  <c r="K71" i="25"/>
  <c r="K88" i="25" s="1"/>
  <c r="K80" i="54"/>
  <c r="AE51" i="50"/>
  <c r="AE49" i="50" s="1"/>
  <c r="P51" i="50"/>
  <c r="H71" i="25"/>
  <c r="H88" i="25" s="1"/>
  <c r="AH51" i="50"/>
  <c r="G141" i="49"/>
  <c r="G183" i="49" s="1"/>
  <c r="G63" i="59" s="1"/>
  <c r="AF26" i="45"/>
  <c r="AF24" i="45" s="1"/>
  <c r="AF68" i="50" s="1"/>
  <c r="AB141" i="49"/>
  <c r="AB173" i="49" s="1"/>
  <c r="H80" i="54"/>
  <c r="H26" i="45"/>
  <c r="AA37" i="54"/>
  <c r="Z38" i="54"/>
  <c r="Y84" i="54"/>
  <c r="AF71" i="25"/>
  <c r="AF88" i="25" s="1"/>
  <c r="AD51" i="50"/>
  <c r="S51" i="50"/>
  <c r="G71" i="25"/>
  <c r="G88" i="25" s="1"/>
  <c r="V71" i="25"/>
  <c r="V88" i="25" s="1"/>
  <c r="O51" i="50"/>
  <c r="AB26" i="45"/>
  <c r="AB24" i="45" s="1"/>
  <c r="AB80" i="54"/>
  <c r="AB78" i="54" s="1"/>
  <c r="AB83" i="54" s="1"/>
  <c r="AC84" i="54" s="1"/>
  <c r="AB71" i="25"/>
  <c r="AB88" i="25" s="1"/>
  <c r="G80" i="54"/>
  <c r="G26" i="45"/>
  <c r="X68" i="50"/>
  <c r="V26" i="45"/>
  <c r="V24" i="45" s="1"/>
  <c r="V80" i="54"/>
  <c r="V78" i="54" s="1"/>
  <c r="V83" i="54" s="1"/>
  <c r="G38" i="54"/>
  <c r="Z68" i="50"/>
  <c r="U71" i="25"/>
  <c r="U88" i="25" s="1"/>
  <c r="U80" i="54"/>
  <c r="U78" i="54" s="1"/>
  <c r="U83" i="54" s="1"/>
  <c r="U84" i="54" s="1"/>
  <c r="U26" i="45"/>
  <c r="U24" i="45" s="1"/>
  <c r="U8" i="45" s="1"/>
  <c r="M70" i="50"/>
  <c r="G37" i="54"/>
  <c r="S37" i="54"/>
  <c r="R37" i="54"/>
  <c r="M55" i="54"/>
  <c r="AC37" i="54"/>
  <c r="AB38" i="54"/>
  <c r="L55" i="54"/>
  <c r="Q55" i="54"/>
  <c r="J37" i="54"/>
  <c r="I37" i="54"/>
  <c r="J70" i="50"/>
  <c r="S16" i="45"/>
  <c r="I50" i="54"/>
  <c r="S184" i="49"/>
  <c r="S64" i="59" s="1"/>
  <c r="B174" i="49"/>
  <c r="D174" i="49"/>
  <c r="E70" i="50"/>
  <c r="H174" i="49"/>
  <c r="N70" i="50"/>
  <c r="K76" i="50"/>
  <c r="D56" i="50"/>
  <c r="F55" i="54"/>
  <c r="AD96" i="54"/>
  <c r="AE58" i="27"/>
  <c r="AD93" i="54" s="1"/>
  <c r="AH66" i="27"/>
  <c r="Y58" i="27"/>
  <c r="X93" i="54" s="1"/>
  <c r="AG96" i="54"/>
  <c r="AH58" i="27"/>
  <c r="AG93" i="54" s="1"/>
  <c r="AI96" i="54"/>
  <c r="K58" i="27"/>
  <c r="J93" i="54" s="1"/>
  <c r="U96" i="54"/>
  <c r="D59" i="27"/>
  <c r="T74" i="50"/>
  <c r="N96" i="54"/>
  <c r="AB96" i="54"/>
  <c r="C58" i="27"/>
  <c r="B93" i="54" s="1"/>
  <c r="N58" i="27"/>
  <c r="M93" i="54" s="1"/>
  <c r="M74" i="50"/>
  <c r="B31" i="45"/>
  <c r="B74" i="50" s="1"/>
  <c r="AV28" i="50" s="1"/>
  <c r="AC74" i="50"/>
  <c r="T59" i="27"/>
  <c r="Q58" i="27"/>
  <c r="P93" i="54" s="1"/>
  <c r="AI58" i="27"/>
  <c r="AH93" i="54" s="1"/>
  <c r="AG58" i="27"/>
  <c r="AF93" i="54" s="1"/>
  <c r="I58" i="27"/>
  <c r="H93" i="54" s="1"/>
  <c r="AD58" i="27"/>
  <c r="AC93" i="54" s="1"/>
  <c r="E59" i="27"/>
  <c r="AC58" i="27"/>
  <c r="AB93" i="54" s="1"/>
  <c r="S59" i="27"/>
  <c r="V59" i="27"/>
  <c r="L59" i="27"/>
  <c r="O59" i="27"/>
  <c r="H59" i="27"/>
  <c r="J59" i="27"/>
  <c r="AI94" i="54"/>
  <c r="F59" i="27"/>
  <c r="U59" i="27"/>
  <c r="P59" i="27"/>
  <c r="W122" i="49"/>
  <c r="W126" i="49" s="1"/>
  <c r="W182" i="49" s="1"/>
  <c r="W62" i="59" s="1"/>
  <c r="AH94" i="54"/>
  <c r="X58" i="27"/>
  <c r="W93" i="54" s="1"/>
  <c r="AA58" i="27"/>
  <c r="Z93" i="54" s="1"/>
  <c r="AE172" i="49"/>
  <c r="W59" i="27"/>
  <c r="R59" i="27"/>
  <c r="Z59" i="27"/>
  <c r="W66" i="27"/>
  <c r="AJ66" i="27"/>
  <c r="AI137" i="49" s="1"/>
  <c r="P66" i="27"/>
  <c r="R66" i="27"/>
  <c r="AD94" i="54"/>
  <c r="X66" i="27"/>
  <c r="D66" i="27"/>
  <c r="AB73" i="50"/>
  <c r="C66" i="27"/>
  <c r="B137" i="49" s="1"/>
  <c r="Y66" i="27"/>
  <c r="I66" i="27"/>
  <c r="O66" i="27"/>
  <c r="L66" i="27"/>
  <c r="AF66" i="27"/>
  <c r="M66" i="27"/>
  <c r="AC73" i="50"/>
  <c r="J94" i="54"/>
  <c r="AB66" i="27"/>
  <c r="T66" i="27"/>
  <c r="V66" i="27"/>
  <c r="N66" i="27"/>
  <c r="Q66" i="27"/>
  <c r="AA66" i="27"/>
  <c r="AI66" i="27"/>
  <c r="S66" i="27"/>
  <c r="Z66" i="27"/>
  <c r="W94" i="54"/>
  <c r="AH73" i="50"/>
  <c r="G172" i="49"/>
  <c r="AI73" i="50"/>
  <c r="AR27" i="50" s="1"/>
  <c r="S182" i="49"/>
  <c r="S62" i="59" s="1"/>
  <c r="B182" i="49"/>
  <c r="B62" i="59" s="1"/>
  <c r="AD172" i="49"/>
  <c r="M73" i="50"/>
  <c r="AG172" i="49"/>
  <c r="C172" i="49"/>
  <c r="H7" i="49"/>
  <c r="M94" i="54"/>
  <c r="L94" i="54"/>
  <c r="AI182" i="49"/>
  <c r="AI62" i="59" s="1"/>
  <c r="R37" i="59" s="1"/>
  <c r="P94" i="54"/>
  <c r="P29" i="45"/>
  <c r="P53" i="50" s="1"/>
  <c r="B94" i="54"/>
  <c r="V172" i="49"/>
  <c r="M184" i="49"/>
  <c r="M64" i="59" s="1"/>
  <c r="M174" i="49"/>
  <c r="P184" i="49"/>
  <c r="P64" i="59" s="1"/>
  <c r="P174" i="49"/>
  <c r="AB182" i="49"/>
  <c r="AB62" i="59" s="1"/>
  <c r="AB172" i="49"/>
  <c r="L184" i="49"/>
  <c r="L64" i="59" s="1"/>
  <c r="L174" i="49"/>
  <c r="N182" i="49"/>
  <c r="N62" i="59" s="1"/>
  <c r="N172" i="49"/>
  <c r="AF184" i="49"/>
  <c r="AF64" i="59" s="1"/>
  <c r="AF174" i="49"/>
  <c r="D182" i="49"/>
  <c r="D62" i="59" s="1"/>
  <c r="D172" i="49"/>
  <c r="AA184" i="49"/>
  <c r="AA64" i="59" s="1"/>
  <c r="AA174" i="49"/>
  <c r="Z182" i="49"/>
  <c r="Z62" i="59" s="1"/>
  <c r="Z172" i="49"/>
  <c r="AH182" i="49"/>
  <c r="AH62" i="59" s="1"/>
  <c r="AH172" i="49"/>
  <c r="Q184" i="49"/>
  <c r="Q64" i="59" s="1"/>
  <c r="Q174" i="49"/>
  <c r="AG184" i="49"/>
  <c r="AG64" i="59" s="1"/>
  <c r="AG174" i="49"/>
  <c r="E182" i="49"/>
  <c r="E62" i="59" s="1"/>
  <c r="E172" i="49"/>
  <c r="AD184" i="49"/>
  <c r="AD64" i="59" s="1"/>
  <c r="AD174" i="49"/>
  <c r="AA182" i="49"/>
  <c r="AA62" i="59" s="1"/>
  <c r="AA172" i="49"/>
  <c r="AC182" i="49"/>
  <c r="AC62" i="59" s="1"/>
  <c r="AC172" i="49"/>
  <c r="AF182" i="49"/>
  <c r="AF62" i="59" s="1"/>
  <c r="AF172" i="49"/>
  <c r="T184" i="49"/>
  <c r="T64" i="59" s="1"/>
  <c r="T174" i="49"/>
  <c r="R182" i="49"/>
  <c r="R62" i="59" s="1"/>
  <c r="R172" i="49"/>
  <c r="D70" i="50"/>
  <c r="W72" i="27"/>
  <c r="C70" i="50"/>
  <c r="Z8" i="45"/>
  <c r="Z70" i="50"/>
  <c r="N55" i="54"/>
  <c r="AG70" i="50"/>
  <c r="Z50" i="50"/>
  <c r="Z49" i="50" s="1"/>
  <c r="AE55" i="54"/>
  <c r="Y8" i="45"/>
  <c r="U70" i="50"/>
  <c r="U55" i="54"/>
  <c r="C55" i="54"/>
  <c r="J55" i="54"/>
  <c r="E55" i="54"/>
  <c r="M8" i="45"/>
  <c r="F70" i="50"/>
  <c r="M50" i="50"/>
  <c r="M49" i="50" s="1"/>
  <c r="K55" i="54"/>
  <c r="D55" i="54"/>
  <c r="AA70" i="50"/>
  <c r="R55" i="54"/>
  <c r="Y70" i="50"/>
  <c r="D50" i="50"/>
  <c r="B55" i="54"/>
  <c r="R51" i="50"/>
  <c r="R68" i="50"/>
  <c r="Y50" i="50"/>
  <c r="Y49" i="50" s="1"/>
  <c r="R8" i="45"/>
  <c r="R50" i="50"/>
  <c r="J50" i="50"/>
  <c r="AA50" i="50"/>
  <c r="AD55" i="54"/>
  <c r="AD50" i="50"/>
  <c r="AD70" i="50"/>
  <c r="AD8" i="45"/>
  <c r="N50" i="50"/>
  <c r="AA8" i="45"/>
  <c r="AF55" i="54"/>
  <c r="AF70" i="50"/>
  <c r="O18" i="45"/>
  <c r="O16" i="45" s="1"/>
  <c r="O52" i="54"/>
  <c r="O50" i="54" s="1"/>
  <c r="O55" i="54" s="1"/>
  <c r="Y37" i="54"/>
  <c r="X38" i="54"/>
  <c r="V48" i="54"/>
  <c r="V46" i="54" s="1"/>
  <c r="V55" i="54" s="1"/>
  <c r="W56" i="54" s="1"/>
  <c r="V14" i="45"/>
  <c r="V12" i="45" s="1"/>
  <c r="V50" i="50" s="1"/>
  <c r="AC48" i="54"/>
  <c r="AC46" i="54" s="1"/>
  <c r="AC55" i="54" s="1"/>
  <c r="AC14" i="45"/>
  <c r="AC12" i="45" s="1"/>
  <c r="S48" i="54"/>
  <c r="S46" i="54" s="1"/>
  <c r="S55" i="54" s="1"/>
  <c r="S14" i="45"/>
  <c r="S12" i="45" s="1"/>
  <c r="P18" i="45"/>
  <c r="P16" i="45" s="1"/>
  <c r="P50" i="50" s="1"/>
  <c r="P52" i="54"/>
  <c r="P50" i="54" s="1"/>
  <c r="P55" i="54" s="1"/>
  <c r="G14" i="45"/>
  <c r="G12" i="45" s="1"/>
  <c r="G48" i="54"/>
  <c r="G46" i="54" s="1"/>
  <c r="G55" i="54" s="1"/>
  <c r="D80" i="54"/>
  <c r="D26" i="45"/>
  <c r="AA51" i="50"/>
  <c r="AA68" i="50"/>
  <c r="AG80" i="54"/>
  <c r="AG78" i="54" s="1"/>
  <c r="AG83" i="54" s="1"/>
  <c r="AG26" i="45"/>
  <c r="AG24" i="45" s="1"/>
  <c r="I48" i="54"/>
  <c r="I46" i="54" s="1"/>
  <c r="I14" i="45"/>
  <c r="I12" i="45" s="1"/>
  <c r="AA84" i="54"/>
  <c r="B50" i="50"/>
  <c r="AN34" i="50" s="1"/>
  <c r="B70" i="50"/>
  <c r="AV24" i="50" s="1"/>
  <c r="T48" i="54"/>
  <c r="T46" i="54" s="1"/>
  <c r="T14" i="45"/>
  <c r="T12" i="45" s="1"/>
  <c r="AH48" i="54"/>
  <c r="AH46" i="54" s="1"/>
  <c r="AH55" i="54" s="1"/>
  <c r="AH56" i="54" s="1"/>
  <c r="AH14" i="45"/>
  <c r="AH12" i="45" s="1"/>
  <c r="N80" i="54"/>
  <c r="N78" i="54" s="1"/>
  <c r="N83" i="54" s="1"/>
  <c r="N26" i="45"/>
  <c r="N24" i="45" s="1"/>
  <c r="H52" i="54"/>
  <c r="H50" i="54" s="1"/>
  <c r="H55" i="54" s="1"/>
  <c r="H18" i="45"/>
  <c r="H16" i="45" s="1"/>
  <c r="W35" i="54"/>
  <c r="W33" i="54" s="1"/>
  <c r="W36" i="54" s="1"/>
  <c r="W11" i="45"/>
  <c r="W9" i="45" s="1"/>
  <c r="X52" i="54"/>
  <c r="X50" i="54" s="1"/>
  <c r="X55" i="54" s="1"/>
  <c r="X18" i="45"/>
  <c r="X16" i="45" s="1"/>
  <c r="AI14" i="45"/>
  <c r="AI12" i="45" s="1"/>
  <c r="AI70" i="50" s="1"/>
  <c r="AI48" i="54"/>
  <c r="AI46" i="54" s="1"/>
  <c r="AI55" i="54" s="1"/>
  <c r="AI51" i="50"/>
  <c r="AN23" i="50" s="1"/>
  <c r="AI68" i="50"/>
  <c r="AR22" i="50" s="1"/>
  <c r="K11" i="45"/>
  <c r="K9" i="45" s="1"/>
  <c r="K71" i="50" s="1"/>
  <c r="K35" i="54"/>
  <c r="K33" i="54" s="1"/>
  <c r="K36" i="54" s="1"/>
  <c r="AB48" i="54"/>
  <c r="AB46" i="54" s="1"/>
  <c r="AB55" i="54" s="1"/>
  <c r="AB56" i="54" s="1"/>
  <c r="AB14" i="45"/>
  <c r="AB12" i="45" s="1"/>
  <c r="Q26" i="45"/>
  <c r="Q24" i="45" s="1"/>
  <c r="Q80" i="54"/>
  <c r="Q78" i="54" s="1"/>
  <c r="Q83" i="54" s="1"/>
  <c r="L50" i="50"/>
  <c r="K70" i="50"/>
  <c r="O56" i="50"/>
  <c r="S56" i="50"/>
  <c r="C50" i="50"/>
  <c r="U76" i="50"/>
  <c r="AA56" i="54"/>
  <c r="Z56" i="54"/>
  <c r="Q56" i="50"/>
  <c r="AB56" i="50"/>
  <c r="X56" i="50"/>
  <c r="AF76" i="50"/>
  <c r="R56" i="50"/>
  <c r="AG76" i="50"/>
  <c r="Z155" i="49"/>
  <c r="Z156" i="49" s="1"/>
  <c r="Z174" i="49" s="1"/>
  <c r="Z38" i="45"/>
  <c r="Z37" i="45" s="1"/>
  <c r="AD56" i="50"/>
  <c r="AD76" i="50"/>
  <c r="T56" i="50"/>
  <c r="T76" i="50"/>
  <c r="AA56" i="50"/>
  <c r="AA76" i="50"/>
  <c r="AE76" i="50"/>
  <c r="AE56" i="50"/>
  <c r="W76" i="50"/>
  <c r="W56" i="50"/>
  <c r="L76" i="50"/>
  <c r="L56" i="50"/>
  <c r="P56" i="50"/>
  <c r="P76" i="50"/>
  <c r="AE184" i="49"/>
  <c r="AE64" i="59" s="1"/>
  <c r="W184" i="49"/>
  <c r="W64" i="59" s="1"/>
  <c r="N155" i="49"/>
  <c r="N156" i="49" s="1"/>
  <c r="N174" i="49" s="1"/>
  <c r="N38" i="45"/>
  <c r="N37" i="45" s="1"/>
  <c r="M56" i="50"/>
  <c r="M76" i="50"/>
  <c r="AR25" i="50"/>
  <c r="AE74" i="50"/>
  <c r="L97" i="54" l="1"/>
  <c r="AJ80" i="54"/>
  <c r="AJ78" i="54" s="1"/>
  <c r="P97" i="54"/>
  <c r="W97" i="54"/>
  <c r="M97" i="54"/>
  <c r="Z97" i="54"/>
  <c r="B97" i="54"/>
  <c r="B102" i="54" s="1"/>
  <c r="F29" i="45"/>
  <c r="F53" i="50" s="1"/>
  <c r="U182" i="49"/>
  <c r="U62" i="59" s="1"/>
  <c r="O172" i="49"/>
  <c r="T182" i="49"/>
  <c r="T62" i="59" s="1"/>
  <c r="L172" i="49"/>
  <c r="L182" i="49"/>
  <c r="L62" i="59" s="1"/>
  <c r="F172" i="49"/>
  <c r="F182" i="49"/>
  <c r="F62" i="59" s="1"/>
  <c r="K172" i="49"/>
  <c r="I182" i="49"/>
  <c r="I62" i="59" s="1"/>
  <c r="Q182" i="49"/>
  <c r="Q62" i="59" s="1"/>
  <c r="Q172" i="49"/>
  <c r="J172" i="49"/>
  <c r="J182" i="49"/>
  <c r="J62" i="59" s="1"/>
  <c r="Y182" i="49"/>
  <c r="Y62" i="59" s="1"/>
  <c r="Y172" i="49"/>
  <c r="P172" i="49"/>
  <c r="P182" i="49"/>
  <c r="P62" i="59" s="1"/>
  <c r="M172" i="49"/>
  <c r="X172" i="49"/>
  <c r="H172" i="49"/>
  <c r="AD173" i="49"/>
  <c r="AD177" i="49" s="1"/>
  <c r="AD183" i="49"/>
  <c r="AD63" i="59" s="1"/>
  <c r="AD68" i="59" s="1"/>
  <c r="J183" i="49"/>
  <c r="J63" i="59" s="1"/>
  <c r="J173" i="49"/>
  <c r="T173" i="49"/>
  <c r="T177" i="49" s="1"/>
  <c r="T183" i="49"/>
  <c r="T63" i="59" s="1"/>
  <c r="E173" i="49"/>
  <c r="E183" i="49"/>
  <c r="E63" i="59" s="1"/>
  <c r="AF183" i="49"/>
  <c r="AF63" i="59" s="1"/>
  <c r="AF68" i="59" s="1"/>
  <c r="AF173" i="49"/>
  <c r="AF177" i="49" s="1"/>
  <c r="F183" i="49"/>
  <c r="F63" i="59" s="1"/>
  <c r="F173" i="49"/>
  <c r="I183" i="49"/>
  <c r="I63" i="59" s="1"/>
  <c r="I173" i="49"/>
  <c r="AC183" i="49"/>
  <c r="AC63" i="59" s="1"/>
  <c r="AC68" i="59" s="1"/>
  <c r="AC173" i="49"/>
  <c r="AC177" i="49" s="1"/>
  <c r="D183" i="49"/>
  <c r="D63" i="59" s="1"/>
  <c r="D173" i="49"/>
  <c r="AG137" i="49"/>
  <c r="AG141" i="49" s="1"/>
  <c r="AH137" i="49"/>
  <c r="AH141" i="49" s="1"/>
  <c r="Z137" i="49"/>
  <c r="Z141" i="49" s="1"/>
  <c r="C137" i="49"/>
  <c r="C141" i="49" s="1"/>
  <c r="P137" i="49"/>
  <c r="P141" i="49" s="1"/>
  <c r="AE137" i="49"/>
  <c r="AE141" i="49" s="1"/>
  <c r="W137" i="49"/>
  <c r="W141" i="49" s="1"/>
  <c r="AA137" i="49"/>
  <c r="AA141" i="49" s="1"/>
  <c r="L137" i="49"/>
  <c r="L141" i="49" s="1"/>
  <c r="M137" i="49"/>
  <c r="M141" i="49" s="1"/>
  <c r="K137" i="49"/>
  <c r="K141" i="49" s="1"/>
  <c r="X137" i="49"/>
  <c r="X141" i="49" s="1"/>
  <c r="R137" i="49"/>
  <c r="R141" i="49" s="1"/>
  <c r="V137" i="49"/>
  <c r="V141" i="49" s="1"/>
  <c r="U137" i="49"/>
  <c r="U141" i="49" s="1"/>
  <c r="N137" i="49"/>
  <c r="N141" i="49" s="1"/>
  <c r="Q137" i="49"/>
  <c r="Q141" i="49" s="1"/>
  <c r="Y137" i="49"/>
  <c r="Y141" i="49" s="1"/>
  <c r="S137" i="49"/>
  <c r="S141" i="49" s="1"/>
  <c r="H137" i="49"/>
  <c r="H141" i="49" s="1"/>
  <c r="O137" i="49"/>
  <c r="O141" i="49" s="1"/>
  <c r="O183" i="49" s="1"/>
  <c r="O63" i="59" s="1"/>
  <c r="O68" i="59" s="1"/>
  <c r="B141" i="49"/>
  <c r="W29" i="45"/>
  <c r="W53" i="50" s="1"/>
  <c r="Z58" i="27"/>
  <c r="Y93" i="54" s="1"/>
  <c r="Y30" i="45"/>
  <c r="Y73" i="50" s="1"/>
  <c r="Y77" i="50" s="1"/>
  <c r="R58" i="27"/>
  <c r="Q93" i="54" s="1"/>
  <c r="Q30" i="45"/>
  <c r="W58" i="27"/>
  <c r="V93" i="54" s="1"/>
  <c r="V30" i="45"/>
  <c r="AJ93" i="54"/>
  <c r="P58" i="27"/>
  <c r="O93" i="54" s="1"/>
  <c r="O30" i="45"/>
  <c r="O29" i="45" s="1"/>
  <c r="O53" i="50" s="1"/>
  <c r="U58" i="27"/>
  <c r="T93" i="54" s="1"/>
  <c r="T30" i="45"/>
  <c r="T73" i="50" s="1"/>
  <c r="F58" i="27"/>
  <c r="E93" i="54" s="1"/>
  <c r="E30" i="45"/>
  <c r="E73" i="50" s="1"/>
  <c r="J58" i="27"/>
  <c r="I93" i="54" s="1"/>
  <c r="I30" i="45"/>
  <c r="I73" i="50" s="1"/>
  <c r="H58" i="27"/>
  <c r="G93" i="54" s="1"/>
  <c r="G30" i="45"/>
  <c r="G73" i="50" s="1"/>
  <c r="O58" i="27"/>
  <c r="N93" i="54" s="1"/>
  <c r="N30" i="45"/>
  <c r="N29" i="45" s="1"/>
  <c r="N53" i="50" s="1"/>
  <c r="L58" i="27"/>
  <c r="K93" i="54" s="1"/>
  <c r="K30" i="45"/>
  <c r="K29" i="45" s="1"/>
  <c r="K53" i="50" s="1"/>
  <c r="V58" i="27"/>
  <c r="U93" i="54" s="1"/>
  <c r="U30" i="45"/>
  <c r="U73" i="50" s="1"/>
  <c r="S58" i="27"/>
  <c r="R93" i="54" s="1"/>
  <c r="R30" i="45"/>
  <c r="R73" i="50" s="1"/>
  <c r="R77" i="50" s="1"/>
  <c r="E58" i="27"/>
  <c r="D93" i="54" s="1"/>
  <c r="D30" i="45"/>
  <c r="D29" i="45" s="1"/>
  <c r="D53" i="50" s="1"/>
  <c r="S94" i="54"/>
  <c r="S30" i="45"/>
  <c r="S73" i="50" s="1"/>
  <c r="D58" i="27"/>
  <c r="C93" i="54" s="1"/>
  <c r="C30" i="45"/>
  <c r="C29" i="45" s="1"/>
  <c r="C53" i="50" s="1"/>
  <c r="J97" i="54"/>
  <c r="C94" i="54"/>
  <c r="AH97" i="54"/>
  <c r="Q70" i="50"/>
  <c r="G70" i="50"/>
  <c r="T55" i="54"/>
  <c r="T57" i="54" s="1"/>
  <c r="AF8" i="45"/>
  <c r="G173" i="49"/>
  <c r="P49" i="50"/>
  <c r="P57" i="50" s="1"/>
  <c r="AB183" i="49"/>
  <c r="AB63" i="59" s="1"/>
  <c r="AB68" i="59" s="1"/>
  <c r="AF51" i="50"/>
  <c r="AF49" i="50" s="1"/>
  <c r="AD49" i="50"/>
  <c r="AB84" i="54"/>
  <c r="AB51" i="50"/>
  <c r="AB68" i="50"/>
  <c r="U68" i="50"/>
  <c r="U51" i="50"/>
  <c r="U49" i="50" s="1"/>
  <c r="W84" i="54"/>
  <c r="V84" i="54"/>
  <c r="V68" i="50"/>
  <c r="V51" i="50"/>
  <c r="V49" i="50" s="1"/>
  <c r="M56" i="54"/>
  <c r="L56" i="54"/>
  <c r="N56" i="54"/>
  <c r="R56" i="54"/>
  <c r="I55" i="54"/>
  <c r="J56" i="54" s="1"/>
  <c r="F56" i="54"/>
  <c r="G56" i="54"/>
  <c r="AD97" i="54"/>
  <c r="AI97" i="54"/>
  <c r="B29" i="45"/>
  <c r="B53" i="50" s="1"/>
  <c r="AN37" i="50" s="1"/>
  <c r="T58" i="27"/>
  <c r="S93" i="54" s="1"/>
  <c r="G94" i="54"/>
  <c r="D94" i="54"/>
  <c r="T94" i="54"/>
  <c r="I94" i="54"/>
  <c r="K94" i="54"/>
  <c r="W172" i="49"/>
  <c r="E94" i="54"/>
  <c r="B73" i="50"/>
  <c r="AV27" i="50" s="1"/>
  <c r="O94" i="54"/>
  <c r="V94" i="54"/>
  <c r="AJ94" i="54"/>
  <c r="Y94" i="54"/>
  <c r="Q94" i="54"/>
  <c r="AG73" i="50"/>
  <c r="AA73" i="50"/>
  <c r="AA77" i="50" s="1"/>
  <c r="R94" i="54"/>
  <c r="AG94" i="54"/>
  <c r="AG97" i="54" s="1"/>
  <c r="AB94" i="54"/>
  <c r="AB97" i="54" s="1"/>
  <c r="AE94" i="54"/>
  <c r="AE97" i="54" s="1"/>
  <c r="J73" i="50"/>
  <c r="F73" i="50"/>
  <c r="AA94" i="54"/>
  <c r="AA97" i="54" s="1"/>
  <c r="AE73" i="50"/>
  <c r="AE77" i="50" s="1"/>
  <c r="AD73" i="50"/>
  <c r="AD77" i="50" s="1"/>
  <c r="AH29" i="45"/>
  <c r="AH53" i="50" s="1"/>
  <c r="AB29" i="45"/>
  <c r="AB53" i="50" s="1"/>
  <c r="F94" i="54"/>
  <c r="F97" i="54" s="1"/>
  <c r="U94" i="54"/>
  <c r="AI141" i="49"/>
  <c r="X73" i="49"/>
  <c r="X76" i="49" s="1"/>
  <c r="Y72" i="49" s="1"/>
  <c r="R50" i="59"/>
  <c r="R54" i="59" s="1"/>
  <c r="S51" i="59" s="1"/>
  <c r="X73" i="50"/>
  <c r="AC94" i="54"/>
  <c r="AC97" i="54" s="1"/>
  <c r="AC29" i="45"/>
  <c r="AC53" i="50" s="1"/>
  <c r="N94" i="54"/>
  <c r="AF29" i="45"/>
  <c r="AF53" i="50" s="1"/>
  <c r="H94" i="54"/>
  <c r="H97" i="54" s="1"/>
  <c r="AF94" i="54"/>
  <c r="AF97" i="54" s="1"/>
  <c r="X94" i="54"/>
  <c r="X97" i="54" s="1"/>
  <c r="H29" i="45"/>
  <c r="H53" i="50" s="1"/>
  <c r="AI29" i="45"/>
  <c r="AI53" i="50" s="1"/>
  <c r="AN25" i="50" s="1"/>
  <c r="Z29" i="45"/>
  <c r="Z53" i="50" s="1"/>
  <c r="P73" i="50"/>
  <c r="M77" i="50"/>
  <c r="M29" i="45"/>
  <c r="M53" i="50" s="1"/>
  <c r="M57" i="50" s="1"/>
  <c r="L73" i="50"/>
  <c r="AB177" i="49"/>
  <c r="AF56" i="54"/>
  <c r="O56" i="54"/>
  <c r="AE56" i="54"/>
  <c r="C57" i="54"/>
  <c r="E56" i="54"/>
  <c r="D56" i="54"/>
  <c r="K56" i="54"/>
  <c r="M57" i="54"/>
  <c r="C56" i="54"/>
  <c r="W57" i="54"/>
  <c r="U57" i="54"/>
  <c r="AE57" i="54"/>
  <c r="R57" i="54"/>
  <c r="Y57" i="54"/>
  <c r="Z57" i="54"/>
  <c r="AG57" i="54"/>
  <c r="R49" i="50"/>
  <c r="Q57" i="54"/>
  <c r="N57" i="54"/>
  <c r="D57" i="54"/>
  <c r="H57" i="54"/>
  <c r="P57" i="54"/>
  <c r="G57" i="54"/>
  <c r="AA57" i="54"/>
  <c r="AC57" i="54"/>
  <c r="B60" i="54"/>
  <c r="K57" i="54"/>
  <c r="J57" i="54"/>
  <c r="F57" i="54"/>
  <c r="AI57" i="54"/>
  <c r="L57" i="54"/>
  <c r="G50" i="50"/>
  <c r="E57" i="54"/>
  <c r="V57" i="54"/>
  <c r="AG56" i="54"/>
  <c r="AF57" i="54"/>
  <c r="AA49" i="50"/>
  <c r="AD56" i="54"/>
  <c r="AD57" i="54"/>
  <c r="V56" i="54"/>
  <c r="S57" i="54"/>
  <c r="S56" i="54"/>
  <c r="AI56" i="54"/>
  <c r="P70" i="50"/>
  <c r="AR24" i="50"/>
  <c r="AR31" i="50" s="1"/>
  <c r="AI77" i="50"/>
  <c r="AH70" i="50"/>
  <c r="AH77" i="50" s="1"/>
  <c r="AH50" i="50"/>
  <c r="AH49" i="50" s="1"/>
  <c r="AH8" i="45"/>
  <c r="S50" i="50"/>
  <c r="S49" i="50" s="1"/>
  <c r="S70" i="50"/>
  <c r="P56" i="54"/>
  <c r="Q56" i="54"/>
  <c r="AG51" i="50"/>
  <c r="AG49" i="50" s="1"/>
  <c r="AG68" i="50"/>
  <c r="AG8" i="45"/>
  <c r="O70" i="50"/>
  <c r="O50" i="50"/>
  <c r="O49" i="50" s="1"/>
  <c r="O8" i="45"/>
  <c r="AG84" i="54"/>
  <c r="AH84" i="54"/>
  <c r="T70" i="50"/>
  <c r="T8" i="45"/>
  <c r="T50" i="50"/>
  <c r="T49" i="50" s="1"/>
  <c r="AH57" i="54"/>
  <c r="P8" i="45"/>
  <c r="P40" i="45" s="1"/>
  <c r="AC70" i="50"/>
  <c r="AC77" i="50" s="1"/>
  <c r="AC8" i="45"/>
  <c r="AC50" i="50"/>
  <c r="AC49" i="50" s="1"/>
  <c r="N51" i="50"/>
  <c r="N49" i="50" s="1"/>
  <c r="N68" i="50"/>
  <c r="N8" i="45"/>
  <c r="N84" i="54"/>
  <c r="O84" i="54"/>
  <c r="AB57" i="54"/>
  <c r="S8" i="45"/>
  <c r="AC56" i="54"/>
  <c r="V70" i="50"/>
  <c r="V8" i="45"/>
  <c r="O57" i="54"/>
  <c r="I50" i="50"/>
  <c r="I70" i="50"/>
  <c r="Q68" i="50"/>
  <c r="Q51" i="50"/>
  <c r="Q49" i="50" s="1"/>
  <c r="AB8" i="45"/>
  <c r="AB50" i="50"/>
  <c r="AB70" i="50"/>
  <c r="K50" i="50"/>
  <c r="Q8" i="45"/>
  <c r="K37" i="54"/>
  <c r="L37" i="54"/>
  <c r="K38" i="54"/>
  <c r="Q84" i="54"/>
  <c r="R84" i="54"/>
  <c r="W71" i="50"/>
  <c r="W77" i="50" s="1"/>
  <c r="W50" i="50"/>
  <c r="W49" i="50" s="1"/>
  <c r="W8" i="45"/>
  <c r="X37" i="54"/>
  <c r="W38" i="54"/>
  <c r="W37" i="54"/>
  <c r="X56" i="54"/>
  <c r="Y56" i="54"/>
  <c r="X57" i="54"/>
  <c r="H70" i="50"/>
  <c r="H50" i="50"/>
  <c r="H56" i="54"/>
  <c r="AI8" i="45"/>
  <c r="AI50" i="50"/>
  <c r="X8" i="45"/>
  <c r="X50" i="50"/>
  <c r="X49" i="50" s="1"/>
  <c r="X70" i="50"/>
  <c r="Z184" i="49"/>
  <c r="Z64" i="59" s="1"/>
  <c r="Z56" i="50"/>
  <c r="Z76" i="50"/>
  <c r="Z77" i="50" s="1"/>
  <c r="N76" i="50"/>
  <c r="N56" i="50"/>
  <c r="N184" i="49"/>
  <c r="N64" i="59" s="1"/>
  <c r="L53" i="50"/>
  <c r="X98" i="54" l="1"/>
  <c r="AB99" i="54"/>
  <c r="M98" i="54"/>
  <c r="L99" i="54"/>
  <c r="W99" i="54"/>
  <c r="P99" i="54"/>
  <c r="Q97" i="54"/>
  <c r="Q98" i="54" s="1"/>
  <c r="AA99" i="54"/>
  <c r="AI99" i="54"/>
  <c r="K97" i="54"/>
  <c r="K99" i="54" s="1"/>
  <c r="Z99" i="54"/>
  <c r="F99" i="54"/>
  <c r="M99" i="54"/>
  <c r="T97" i="54"/>
  <c r="T99" i="54" s="1"/>
  <c r="AF99" i="54"/>
  <c r="D97" i="54"/>
  <c r="D99" i="54" s="1"/>
  <c r="O97" i="54"/>
  <c r="O99" i="54" s="1"/>
  <c r="Y97" i="54"/>
  <c r="Z98" i="54" s="1"/>
  <c r="AE99" i="54"/>
  <c r="E97" i="54"/>
  <c r="E99" i="54" s="1"/>
  <c r="AH99" i="54"/>
  <c r="U97" i="54"/>
  <c r="R97" i="54"/>
  <c r="R99" i="54" s="1"/>
  <c r="I97" i="54"/>
  <c r="I99" i="54" s="1"/>
  <c r="AD99" i="54"/>
  <c r="G97" i="54"/>
  <c r="G99" i="54" s="1"/>
  <c r="S97" i="54"/>
  <c r="S99" i="54" s="1"/>
  <c r="N97" i="54"/>
  <c r="N99" i="54" s="1"/>
  <c r="C97" i="54"/>
  <c r="C98" i="54" s="1"/>
  <c r="V97" i="54"/>
  <c r="W98" i="54" s="1"/>
  <c r="AG99" i="54"/>
  <c r="J99" i="54"/>
  <c r="T68" i="59"/>
  <c r="P173" i="49"/>
  <c r="P177" i="49" s="1"/>
  <c r="P183" i="49"/>
  <c r="P63" i="59" s="1"/>
  <c r="P68" i="59" s="1"/>
  <c r="AG183" i="49"/>
  <c r="AG63" i="59" s="1"/>
  <c r="AG68" i="59" s="1"/>
  <c r="AG173" i="49"/>
  <c r="AG177" i="49" s="1"/>
  <c r="Q173" i="49"/>
  <c r="Q177" i="49" s="1"/>
  <c r="Q183" i="49"/>
  <c r="Q63" i="59" s="1"/>
  <c r="Q68" i="59" s="1"/>
  <c r="L183" i="49"/>
  <c r="L63" i="59" s="1"/>
  <c r="L173" i="49"/>
  <c r="R183" i="49"/>
  <c r="R63" i="59" s="1"/>
  <c r="R68" i="59" s="1"/>
  <c r="R173" i="49"/>
  <c r="R177" i="49" s="1"/>
  <c r="O173" i="49"/>
  <c r="O177" i="49" s="1"/>
  <c r="K183" i="49"/>
  <c r="K63" i="59" s="1"/>
  <c r="K173" i="49"/>
  <c r="N183" i="49"/>
  <c r="N63" i="59" s="1"/>
  <c r="N68" i="59" s="1"/>
  <c r="N173" i="49"/>
  <c r="N177" i="49" s="1"/>
  <c r="U183" i="49"/>
  <c r="U63" i="59" s="1"/>
  <c r="U68" i="59" s="1"/>
  <c r="U173" i="49"/>
  <c r="U177" i="49" s="1"/>
  <c r="V173" i="49"/>
  <c r="V177" i="49" s="1"/>
  <c r="V183" i="49"/>
  <c r="V63" i="59" s="1"/>
  <c r="V68" i="59" s="1"/>
  <c r="AA183" i="49"/>
  <c r="AA63" i="59" s="1"/>
  <c r="AA68" i="59" s="1"/>
  <c r="AA173" i="49"/>
  <c r="AA177" i="49" s="1"/>
  <c r="M183" i="49"/>
  <c r="M63" i="59" s="1"/>
  <c r="M68" i="59" s="1"/>
  <c r="M173" i="49"/>
  <c r="M177" i="49" s="1"/>
  <c r="C173" i="49"/>
  <c r="C183" i="49"/>
  <c r="C63" i="59" s="1"/>
  <c r="Z183" i="49"/>
  <c r="Z63" i="59" s="1"/>
  <c r="Z68" i="59" s="1"/>
  <c r="Z173" i="49"/>
  <c r="Z177" i="49" s="1"/>
  <c r="AH183" i="49"/>
  <c r="AH63" i="59" s="1"/>
  <c r="AH68" i="59" s="1"/>
  <c r="AH173" i="49"/>
  <c r="AH177" i="49" s="1"/>
  <c r="H183" i="49"/>
  <c r="H63" i="59" s="1"/>
  <c r="H173" i="49"/>
  <c r="W173" i="49"/>
  <c r="W177" i="49" s="1"/>
  <c r="W183" i="49"/>
  <c r="W63" i="59" s="1"/>
  <c r="W68" i="59" s="1"/>
  <c r="S173" i="49"/>
  <c r="S177" i="49" s="1"/>
  <c r="S183" i="49"/>
  <c r="S63" i="59" s="1"/>
  <c r="S68" i="59" s="1"/>
  <c r="AE173" i="49"/>
  <c r="AE177" i="49" s="1"/>
  <c r="AE183" i="49"/>
  <c r="AE63" i="59" s="1"/>
  <c r="AE68" i="59" s="1"/>
  <c r="Y173" i="49"/>
  <c r="Y177" i="49" s="1"/>
  <c r="Y183" i="49"/>
  <c r="Y63" i="59" s="1"/>
  <c r="Y68" i="59" s="1"/>
  <c r="X173" i="49"/>
  <c r="X177" i="49" s="1"/>
  <c r="X183" i="49"/>
  <c r="X63" i="59" s="1"/>
  <c r="X68" i="59" s="1"/>
  <c r="C73" i="50"/>
  <c r="B173" i="49"/>
  <c r="B183" i="49"/>
  <c r="B63" i="59" s="1"/>
  <c r="W57" i="50"/>
  <c r="W40" i="45"/>
  <c r="L9" i="17"/>
  <c r="U56" i="54"/>
  <c r="T56" i="54"/>
  <c r="AB49" i="50"/>
  <c r="AB57" i="50" s="1"/>
  <c r="AF57" i="50"/>
  <c r="U77" i="50"/>
  <c r="AB77" i="50"/>
  <c r="AC78" i="50" s="1"/>
  <c r="I56" i="54"/>
  <c r="I57" i="54"/>
  <c r="AI98" i="54"/>
  <c r="AD98" i="54"/>
  <c r="S77" i="50"/>
  <c r="S78" i="50" s="1"/>
  <c r="S29" i="45"/>
  <c r="S53" i="50" s="1"/>
  <c r="S57" i="50" s="1"/>
  <c r="K73" i="50"/>
  <c r="O40" i="45"/>
  <c r="O73" i="50"/>
  <c r="O77" i="50" s="1"/>
  <c r="Y29" i="45"/>
  <c r="Y53" i="50" s="1"/>
  <c r="Y57" i="50" s="1"/>
  <c r="V29" i="45"/>
  <c r="V53" i="50" s="1"/>
  <c r="V57" i="50" s="1"/>
  <c r="V73" i="50"/>
  <c r="V77" i="50" s="1"/>
  <c r="Q73" i="50"/>
  <c r="Q77" i="50" s="1"/>
  <c r="R78" i="50" s="1"/>
  <c r="Q29" i="45"/>
  <c r="Q53" i="50" s="1"/>
  <c r="Q57" i="50" s="1"/>
  <c r="Q58" i="50" s="1"/>
  <c r="T29" i="45"/>
  <c r="T53" i="50" s="1"/>
  <c r="T57" i="50" s="1"/>
  <c r="D73" i="50"/>
  <c r="S47" i="59"/>
  <c r="T77" i="50"/>
  <c r="S48" i="59"/>
  <c r="AD29" i="45"/>
  <c r="AD53" i="50" s="1"/>
  <c r="AD57" i="50" s="1"/>
  <c r="S49" i="59"/>
  <c r="AH98" i="54"/>
  <c r="AG29" i="45"/>
  <c r="AG53" i="50" s="1"/>
  <c r="AG57" i="50" s="1"/>
  <c r="AF73" i="50"/>
  <c r="AF77" i="50" s="1"/>
  <c r="AF78" i="50" s="1"/>
  <c r="U29" i="45"/>
  <c r="U53" i="50" s="1"/>
  <c r="U57" i="50" s="1"/>
  <c r="S53" i="59"/>
  <c r="AA29" i="45"/>
  <c r="AA53" i="50" s="1"/>
  <c r="AA57" i="50" s="1"/>
  <c r="R29" i="45"/>
  <c r="R53" i="50" s="1"/>
  <c r="R57" i="50" s="1"/>
  <c r="AG77" i="50"/>
  <c r="AH78" i="50" s="1"/>
  <c r="AE29" i="45"/>
  <c r="AE40" i="45" s="1"/>
  <c r="Y74" i="49"/>
  <c r="AC57" i="50"/>
  <c r="I29" i="45"/>
  <c r="I53" i="50" s="1"/>
  <c r="AC40" i="45"/>
  <c r="AB40" i="45"/>
  <c r="Y73" i="49"/>
  <c r="Y75" i="49"/>
  <c r="AA98" i="54"/>
  <c r="N73" i="50"/>
  <c r="N77" i="50" s="1"/>
  <c r="AB98" i="54"/>
  <c r="G29" i="45"/>
  <c r="G53" i="50" s="1"/>
  <c r="H99" i="54"/>
  <c r="S50" i="59"/>
  <c r="AH40" i="45"/>
  <c r="AC99" i="54"/>
  <c r="AE98" i="54"/>
  <c r="S52" i="59"/>
  <c r="J29" i="45"/>
  <c r="J53" i="50" s="1"/>
  <c r="H73" i="50"/>
  <c r="AH57" i="50"/>
  <c r="AF98" i="54"/>
  <c r="E29" i="45"/>
  <c r="E53" i="50" s="1"/>
  <c r="X29" i="45"/>
  <c r="X53" i="50" s="1"/>
  <c r="X57" i="50" s="1"/>
  <c r="X77" i="50"/>
  <c r="X78" i="50" s="1"/>
  <c r="X99" i="54"/>
  <c r="AI173" i="49"/>
  <c r="AI177" i="49" s="1"/>
  <c r="H12" i="49" s="1"/>
  <c r="H8" i="49"/>
  <c r="AI183" i="49"/>
  <c r="AI63" i="59" s="1"/>
  <c r="AG98" i="54"/>
  <c r="AC98" i="54"/>
  <c r="AI40" i="45"/>
  <c r="Z57" i="50"/>
  <c r="Z40" i="45"/>
  <c r="P77" i="50"/>
  <c r="M40" i="45"/>
  <c r="AF40" i="45"/>
  <c r="N40" i="45"/>
  <c r="AA78" i="50"/>
  <c r="AE78" i="50"/>
  <c r="AD78" i="50"/>
  <c r="O57" i="50"/>
  <c r="P58" i="50" s="1"/>
  <c r="AS25" i="50"/>
  <c r="AS30" i="50"/>
  <c r="AS29" i="50"/>
  <c r="AS28" i="50"/>
  <c r="N57" i="50"/>
  <c r="N58" i="50" s="1"/>
  <c r="AI78" i="50"/>
  <c r="AS24" i="50"/>
  <c r="AS27" i="50"/>
  <c r="AS26" i="50"/>
  <c r="AS22" i="50"/>
  <c r="AS23" i="50"/>
  <c r="AS31" i="50"/>
  <c r="AN22" i="50"/>
  <c r="AN29" i="50" s="1"/>
  <c r="AI49" i="50"/>
  <c r="AI57" i="50" s="1"/>
  <c r="Z78" i="50"/>
  <c r="Q99" i="54" l="1"/>
  <c r="L98" i="54"/>
  <c r="K98" i="54"/>
  <c r="D98" i="54"/>
  <c r="P98" i="54"/>
  <c r="R98" i="54"/>
  <c r="O98" i="54"/>
  <c r="U98" i="54"/>
  <c r="N98" i="54"/>
  <c r="U99" i="54"/>
  <c r="F98" i="54"/>
  <c r="J98" i="54"/>
  <c r="E98" i="54"/>
  <c r="I98" i="54"/>
  <c r="S98" i="54"/>
  <c r="Y98" i="54"/>
  <c r="Y99" i="54"/>
  <c r="V98" i="54"/>
  <c r="T98" i="54"/>
  <c r="G98" i="54"/>
  <c r="H98" i="54"/>
  <c r="V99" i="54"/>
  <c r="C99" i="54"/>
  <c r="W58" i="50"/>
  <c r="L82" i="54"/>
  <c r="L78" i="54" s="1"/>
  <c r="L83" i="54" s="1"/>
  <c r="M84" i="54" s="1"/>
  <c r="L176" i="49"/>
  <c r="L28" i="45"/>
  <c r="L24" i="45" s="1"/>
  <c r="AB78" i="50"/>
  <c r="S40" i="45"/>
  <c r="T78" i="50"/>
  <c r="Z58" i="50"/>
  <c r="Y40" i="45"/>
  <c r="S58" i="50"/>
  <c r="Y58" i="50"/>
  <c r="W78" i="50"/>
  <c r="V78" i="50"/>
  <c r="V58" i="50"/>
  <c r="V40" i="45"/>
  <c r="Q40" i="45"/>
  <c r="Q78" i="50"/>
  <c r="AD58" i="50"/>
  <c r="AD40" i="45"/>
  <c r="T40" i="45"/>
  <c r="R40" i="45"/>
  <c r="U78" i="50"/>
  <c r="AG40" i="45"/>
  <c r="I8" i="49"/>
  <c r="U40" i="45"/>
  <c r="AA40" i="45"/>
  <c r="U58" i="50"/>
  <c r="AG78" i="50"/>
  <c r="AE53" i="50"/>
  <c r="AE57" i="50" s="1"/>
  <c r="AE58" i="50" s="1"/>
  <c r="X40" i="45"/>
  <c r="AC58" i="50"/>
  <c r="S54" i="59"/>
  <c r="AI58" i="50"/>
  <c r="AH58" i="50"/>
  <c r="R38" i="59"/>
  <c r="AI68" i="59"/>
  <c r="Y78" i="50"/>
  <c r="I9" i="49"/>
  <c r="I11" i="49"/>
  <c r="I7" i="49"/>
  <c r="I10" i="49"/>
  <c r="AA58" i="50"/>
  <c r="O78" i="50"/>
  <c r="P78" i="50"/>
  <c r="T58" i="50"/>
  <c r="AB58" i="50"/>
  <c r="AG58" i="50"/>
  <c r="R58" i="50"/>
  <c r="N78" i="50"/>
  <c r="O58" i="50"/>
  <c r="X58" i="50"/>
  <c r="AO23" i="50"/>
  <c r="AO25" i="50"/>
  <c r="AO27" i="50"/>
  <c r="AO26" i="50"/>
  <c r="AO28" i="50"/>
  <c r="AO22" i="50"/>
  <c r="AO24" i="50"/>
  <c r="K9" i="17"/>
  <c r="J9" i="17"/>
  <c r="L67" i="59" l="1"/>
  <c r="L68" i="59" s="1"/>
  <c r="L177" i="49"/>
  <c r="L51" i="50"/>
  <c r="L49" i="50" s="1"/>
  <c r="L57" i="50" s="1"/>
  <c r="M58" i="50" s="1"/>
  <c r="L68" i="50"/>
  <c r="L77" i="50" s="1"/>
  <c r="M78" i="50" s="1"/>
  <c r="L8" i="45"/>
  <c r="L40" i="45" s="1"/>
  <c r="AF58" i="50"/>
  <c r="R42" i="59"/>
  <c r="AO29" i="50"/>
  <c r="K82" i="54"/>
  <c r="K78" i="54" s="1"/>
  <c r="K83" i="54" s="1"/>
  <c r="L84" i="54" s="1"/>
  <c r="K176" i="49"/>
  <c r="K177" i="49" s="1"/>
  <c r="K28" i="45"/>
  <c r="K24" i="45" s="1"/>
  <c r="J82" i="54"/>
  <c r="J78" i="54" s="1"/>
  <c r="J83" i="54" s="1"/>
  <c r="J28" i="45"/>
  <c r="J24" i="45" s="1"/>
  <c r="J176" i="49"/>
  <c r="J177" i="49" s="1"/>
  <c r="I9" i="17" l="1"/>
  <c r="I82" i="54" s="1"/>
  <c r="I78" i="54" s="1"/>
  <c r="I83" i="54" s="1"/>
  <c r="S37" i="59"/>
  <c r="S40" i="59"/>
  <c r="S41" i="59"/>
  <c r="S39" i="59"/>
  <c r="S38" i="59"/>
  <c r="K67" i="59"/>
  <c r="K68" i="59" s="1"/>
  <c r="J67" i="59"/>
  <c r="J68" i="59" s="1"/>
  <c r="K68" i="50"/>
  <c r="K77" i="50" s="1"/>
  <c r="L78" i="50" s="1"/>
  <c r="K51" i="50"/>
  <c r="K49" i="50" s="1"/>
  <c r="K57" i="50" s="1"/>
  <c r="L58" i="50" s="1"/>
  <c r="K8" i="45"/>
  <c r="K40" i="45" s="1"/>
  <c r="J68" i="50"/>
  <c r="J77" i="50" s="1"/>
  <c r="J51" i="50"/>
  <c r="J49" i="50" s="1"/>
  <c r="J57" i="50" s="1"/>
  <c r="J8" i="45"/>
  <c r="J40" i="45" s="1"/>
  <c r="K84" i="54"/>
  <c r="I28" i="45" l="1"/>
  <c r="I24" i="45" s="1"/>
  <c r="I51" i="50" s="1"/>
  <c r="I49" i="50" s="1"/>
  <c r="I57" i="50" s="1"/>
  <c r="J58" i="50" s="1"/>
  <c r="I176" i="49"/>
  <c r="I177" i="49" s="1"/>
  <c r="H9" i="17"/>
  <c r="H28" i="45" s="1"/>
  <c r="H24" i="45" s="1"/>
  <c r="S42" i="59"/>
  <c r="G9" i="17"/>
  <c r="J84" i="54"/>
  <c r="K58" i="50"/>
  <c r="K78" i="50"/>
  <c r="I68" i="50" l="1"/>
  <c r="I77" i="50" s="1"/>
  <c r="J78" i="50" s="1"/>
  <c r="I8" i="45"/>
  <c r="I40" i="45" s="1"/>
  <c r="I67" i="59"/>
  <c r="I68" i="59" s="1"/>
  <c r="H176" i="49"/>
  <c r="H177" i="49" s="1"/>
  <c r="H82" i="54"/>
  <c r="H78" i="54" s="1"/>
  <c r="H83" i="54" s="1"/>
  <c r="I84" i="54" s="1"/>
  <c r="F9" i="17"/>
  <c r="H68" i="50"/>
  <c r="H77" i="50" s="1"/>
  <c r="H51" i="50"/>
  <c r="H49" i="50" s="1"/>
  <c r="H57" i="50" s="1"/>
  <c r="I58" i="50" s="1"/>
  <c r="H8" i="45"/>
  <c r="H40" i="45" s="1"/>
  <c r="G82" i="54"/>
  <c r="G78" i="54" s="1"/>
  <c r="G83" i="54" s="1"/>
  <c r="G28" i="45"/>
  <c r="G24" i="45" s="1"/>
  <c r="G176" i="49"/>
  <c r="G177" i="49" s="1"/>
  <c r="H84" i="54" l="1"/>
  <c r="I78" i="50"/>
  <c r="H67" i="59"/>
  <c r="H68" i="59" s="1"/>
  <c r="G67" i="59"/>
  <c r="G68" i="59" s="1"/>
  <c r="G8" i="45"/>
  <c r="G40" i="45" s="1"/>
  <c r="G51" i="50"/>
  <c r="G49" i="50" s="1"/>
  <c r="G57" i="50" s="1"/>
  <c r="H58" i="50" s="1"/>
  <c r="G68" i="50"/>
  <c r="G77" i="50" s="1"/>
  <c r="H78" i="50" s="1"/>
  <c r="E9" i="17"/>
  <c r="F82" i="54"/>
  <c r="F78" i="54" s="1"/>
  <c r="F83" i="54" s="1"/>
  <c r="G84" i="54" s="1"/>
  <c r="F28" i="45"/>
  <c r="F24" i="45" s="1"/>
  <c r="F176" i="49"/>
  <c r="F177" i="49" s="1"/>
  <c r="F67" i="59" l="1"/>
  <c r="F68" i="59" s="1"/>
  <c r="E82" i="54"/>
  <c r="E78" i="54" s="1"/>
  <c r="E83" i="54" s="1"/>
  <c r="F84" i="54" s="1"/>
  <c r="E28" i="45"/>
  <c r="E24" i="45" s="1"/>
  <c r="E176" i="49"/>
  <c r="E177" i="49" s="1"/>
  <c r="D9" i="17"/>
  <c r="F68" i="50"/>
  <c r="F77" i="50" s="1"/>
  <c r="G78" i="50" s="1"/>
  <c r="F8" i="45"/>
  <c r="F40" i="45" s="1"/>
  <c r="F51" i="50"/>
  <c r="F49" i="50" s="1"/>
  <c r="F57" i="50" s="1"/>
  <c r="G58" i="50" s="1"/>
  <c r="E67" i="59" l="1"/>
  <c r="E68" i="59" s="1"/>
  <c r="D82" i="54"/>
  <c r="D78" i="54" s="1"/>
  <c r="D83" i="54" s="1"/>
  <c r="D28" i="45"/>
  <c r="D24" i="45" s="1"/>
  <c r="D176" i="49"/>
  <c r="D177" i="49" s="1"/>
  <c r="E68" i="50"/>
  <c r="E77" i="50" s="1"/>
  <c r="E51" i="50"/>
  <c r="E49" i="50" s="1"/>
  <c r="E57" i="50" s="1"/>
  <c r="E8" i="45"/>
  <c r="E40" i="45" s="1"/>
  <c r="C9" i="17"/>
  <c r="D67" i="59" l="1"/>
  <c r="D68" i="59" s="1"/>
  <c r="B9" i="17"/>
  <c r="B28" i="45" s="1"/>
  <c r="B24" i="45" s="1"/>
  <c r="F58" i="50"/>
  <c r="C82" i="54"/>
  <c r="C78" i="54" s="1"/>
  <c r="C83" i="54" s="1"/>
  <c r="C28" i="45"/>
  <c r="C24" i="45" s="1"/>
  <c r="C176" i="49"/>
  <c r="C177" i="49" s="1"/>
  <c r="D68" i="50"/>
  <c r="D77" i="50" s="1"/>
  <c r="E78" i="50" s="1"/>
  <c r="D51" i="50"/>
  <c r="D49" i="50" s="1"/>
  <c r="D57" i="50" s="1"/>
  <c r="D8" i="45"/>
  <c r="D40" i="45" s="1"/>
  <c r="F78" i="50"/>
  <c r="E84" i="54"/>
  <c r="C67" i="59" l="1"/>
  <c r="C68" i="59" s="1"/>
  <c r="B176" i="49"/>
  <c r="B177" i="49" s="1"/>
  <c r="B82" i="54"/>
  <c r="B78" i="54" s="1"/>
  <c r="B83" i="54" s="1"/>
  <c r="D85" i="54" s="1"/>
  <c r="C68" i="50"/>
  <c r="C77" i="50" s="1"/>
  <c r="C51" i="50"/>
  <c r="C49" i="50" s="1"/>
  <c r="C57" i="50" s="1"/>
  <c r="D58" i="50" s="1"/>
  <c r="C8" i="45"/>
  <c r="C40" i="45" s="1"/>
  <c r="D84" i="54"/>
  <c r="B51" i="50"/>
  <c r="B68" i="50"/>
  <c r="B8" i="45"/>
  <c r="B40" i="45" s="1"/>
  <c r="E58" i="50"/>
  <c r="B67" i="59" l="1"/>
  <c r="B68" i="59" s="1"/>
  <c r="AA85" i="54"/>
  <c r="M85" i="54"/>
  <c r="X85" i="54"/>
  <c r="B88" i="54"/>
  <c r="K85" i="54"/>
  <c r="W85" i="54"/>
  <c r="R85" i="54"/>
  <c r="V85" i="54"/>
  <c r="AG85" i="54"/>
  <c r="AH85" i="54"/>
  <c r="C84" i="54"/>
  <c r="AI85" i="54"/>
  <c r="C85" i="54"/>
  <c r="E85" i="54"/>
  <c r="U85" i="54"/>
  <c r="F85" i="54"/>
  <c r="Z85" i="54"/>
  <c r="I85" i="54"/>
  <c r="T85" i="54"/>
  <c r="L85" i="54"/>
  <c r="AF85" i="54"/>
  <c r="O85" i="54"/>
  <c r="AC85" i="54"/>
  <c r="AD85" i="54"/>
  <c r="Q85" i="54"/>
  <c r="G85" i="54"/>
  <c r="P85" i="54"/>
  <c r="H85" i="54"/>
  <c r="S85" i="54"/>
  <c r="AE85" i="54"/>
  <c r="Y85" i="54"/>
  <c r="J85" i="54"/>
  <c r="N85" i="54"/>
  <c r="AB85" i="54"/>
  <c r="AV22" i="50"/>
  <c r="B77" i="50"/>
  <c r="C78" i="50" s="1"/>
  <c r="AN35" i="50"/>
  <c r="B49" i="50"/>
  <c r="B57" i="50" s="1"/>
  <c r="D78" i="50"/>
  <c r="C58" i="50" l="1"/>
  <c r="C59" i="50"/>
  <c r="C79" i="50"/>
  <c r="AN41" i="50"/>
  <c r="AO35" i="50" s="1"/>
  <c r="AF60" i="50"/>
  <c r="B63" i="50"/>
  <c r="B83" i="50" s="1"/>
  <c r="B60" i="50"/>
  <c r="B80" i="50" s="1"/>
  <c r="AF80" i="50" s="1"/>
  <c r="AB59" i="50"/>
  <c r="AG59" i="50"/>
  <c r="AF59" i="50"/>
  <c r="S59" i="50"/>
  <c r="AD59" i="50"/>
  <c r="U59" i="50"/>
  <c r="Z59" i="50"/>
  <c r="M59" i="50"/>
  <c r="R59" i="50"/>
  <c r="AC59" i="50"/>
  <c r="P59" i="50"/>
  <c r="W59" i="50"/>
  <c r="V59" i="50"/>
  <c r="N59" i="50"/>
  <c r="Q59" i="50"/>
  <c r="T59" i="50"/>
  <c r="AA59" i="50"/>
  <c r="X59" i="50"/>
  <c r="O59" i="50"/>
  <c r="AH59" i="50"/>
  <c r="Y59" i="50"/>
  <c r="AI59" i="50"/>
  <c r="AE59" i="50"/>
  <c r="L59" i="50"/>
  <c r="K59" i="50"/>
  <c r="J59" i="50"/>
  <c r="I59" i="50"/>
  <c r="H59" i="50"/>
  <c r="G59" i="50"/>
  <c r="F59" i="50"/>
  <c r="E59" i="50"/>
  <c r="D59" i="50"/>
  <c r="AV31" i="50"/>
  <c r="AW22" i="50" s="1"/>
  <c r="N79" i="50"/>
  <c r="P79" i="50"/>
  <c r="AD79" i="50"/>
  <c r="AG79" i="50"/>
  <c r="V79" i="50"/>
  <c r="T79" i="50"/>
  <c r="AB79" i="50"/>
  <c r="W79" i="50"/>
  <c r="R79" i="50"/>
  <c r="AF79" i="50"/>
  <c r="U79" i="50"/>
  <c r="AC79" i="50"/>
  <c r="S79" i="50"/>
  <c r="AA79" i="50"/>
  <c r="AH79" i="50"/>
  <c r="Q79" i="50"/>
  <c r="Z79" i="50"/>
  <c r="AE79" i="50"/>
  <c r="X79" i="50"/>
  <c r="O79" i="50"/>
  <c r="M79" i="50"/>
  <c r="AI79" i="50"/>
  <c r="Y79" i="50"/>
  <c r="L79" i="50"/>
  <c r="K79" i="50"/>
  <c r="J79" i="50"/>
  <c r="I79" i="50"/>
  <c r="H79" i="50"/>
  <c r="G79" i="50"/>
  <c r="F79" i="50"/>
  <c r="E79" i="50"/>
  <c r="D79" i="50"/>
  <c r="AW25" i="50" l="1"/>
  <c r="AW26" i="50"/>
  <c r="AW30" i="50"/>
  <c r="AW29" i="50"/>
  <c r="AW28" i="50"/>
  <c r="AW23" i="50"/>
  <c r="AW24" i="50"/>
  <c r="AW31" i="50"/>
  <c r="AW27" i="50"/>
  <c r="AO34" i="50"/>
  <c r="AO39" i="50"/>
  <c r="AO38" i="50"/>
  <c r="AO37" i="50"/>
  <c r="AO40" i="50"/>
  <c r="AO36" i="50"/>
  <c r="AO41" i="50" l="1"/>
</calcChain>
</file>

<file path=xl/sharedStrings.xml><?xml version="1.0" encoding="utf-8"?>
<sst xmlns="http://schemas.openxmlformats.org/spreadsheetml/2006/main" count="13779" uniqueCount="1693">
  <si>
    <t>Partial Data</t>
  </si>
  <si>
    <t>Building Consumption</t>
  </si>
  <si>
    <t>Electricity Consumption</t>
  </si>
  <si>
    <t>Mobile Combustion</t>
  </si>
  <si>
    <t>Natural Gas Systems</t>
  </si>
  <si>
    <t>Industrial Processes</t>
  </si>
  <si>
    <t xml:space="preserve">Agriculture </t>
  </si>
  <si>
    <t>Waste</t>
  </si>
  <si>
    <t>Agriculture &amp; Land Use</t>
  </si>
  <si>
    <t>Gross Emissions</t>
  </si>
  <si>
    <t>2020 Limit (25% below 1990)</t>
  </si>
  <si>
    <t>2025 CECP Limit (33% below 1990)</t>
  </si>
  <si>
    <t>2030 CECP Limit (50% below 1990)</t>
  </si>
  <si>
    <t>2050 CECP Limit (85% below 1990)</t>
  </si>
  <si>
    <t>Electric Power</t>
  </si>
  <si>
    <t>Transportation</t>
  </si>
  <si>
    <t>Commercial &amp; Industrial Heating and Cooling</t>
  </si>
  <si>
    <t>Residential Heating and Cooling</t>
  </si>
  <si>
    <t>Natural Gas Distribution and Service</t>
  </si>
  <si>
    <t>Natural Gas Transmission and Storage</t>
  </si>
  <si>
    <t>TOTAL</t>
  </si>
  <si>
    <t>Total GHG Emissions</t>
  </si>
  <si>
    <t>Natural Gas Systems (Leaks)</t>
  </si>
  <si>
    <t>Solid Waste (Landfill)</t>
  </si>
  <si>
    <t>Wastewater</t>
  </si>
  <si>
    <t>Combustion of Fuels</t>
  </si>
  <si>
    <t>Agriculture</t>
  </si>
  <si>
    <t>Residential Other Gases</t>
  </si>
  <si>
    <t>CT</t>
  </si>
  <si>
    <t>RI</t>
  </si>
  <si>
    <t>Commercial Other Gases</t>
  </si>
  <si>
    <t>Industrial Other Gases</t>
  </si>
  <si>
    <t>N/A</t>
  </si>
  <si>
    <t>Transportation Other Gases</t>
  </si>
  <si>
    <t>Natural Gas Distribution and Post-Meter</t>
  </si>
  <si>
    <t>Municipal Solid Waste (Landfills Only)</t>
  </si>
  <si>
    <t>Summary of Massachusetts GHG Emissions with 2025, 2030 and 2050 Sector Sublimits</t>
  </si>
  <si>
    <t>Residential Heating and Cooling Total</t>
  </si>
  <si>
    <t>2025 CECP Limit (29% below 1990)</t>
  </si>
  <si>
    <t>2030 CECP Limit (49% below 1990)</t>
  </si>
  <si>
    <t>2050 CECP Limit (95% below 1990)</t>
  </si>
  <si>
    <t>Commercial and Industrial Heating and Cooling</t>
  </si>
  <si>
    <t>2025 CECP Limit (35% below 1990)</t>
  </si>
  <si>
    <t>2050 CECP Limit (92% below 1990)</t>
  </si>
  <si>
    <t>2025 CECP Limit (18% below 1990)</t>
  </si>
  <si>
    <t>2030 CECP Limit (34% below 1990)</t>
  </si>
  <si>
    <t>2050 CECP Limit (86% below 1990)</t>
  </si>
  <si>
    <t>2025 CECP Limit (53% below 1990)</t>
  </si>
  <si>
    <t>2030 CECP Limit (70% below 1990)</t>
  </si>
  <si>
    <t>2050 CECP Limit (93% below 1990)</t>
  </si>
  <si>
    <t>2025 CECP Limit (82% below 1990)</t>
  </si>
  <si>
    <t>2030 CECP Limit (82% below 1990)</t>
  </si>
  <si>
    <t>2050 CECP Limit (72% below 1990)</t>
  </si>
  <si>
    <t>ODS Substitutes</t>
  </si>
  <si>
    <t>Semiconductor Manufacturing</t>
  </si>
  <si>
    <t>Electric Power Transmission and Distribution Systems</t>
  </si>
  <si>
    <t>2025 CECP Limit (449% above 1990)</t>
  </si>
  <si>
    <t>2030 CECP Limit (281% above 1990)</t>
  </si>
  <si>
    <t>2050 CECP Limit (27% above 1990)</t>
  </si>
  <si>
    <t>Residential</t>
  </si>
  <si>
    <t>Coal</t>
  </si>
  <si>
    <t>Petroleum</t>
  </si>
  <si>
    <t>Natural Gas</t>
  </si>
  <si>
    <t>Other</t>
  </si>
  <si>
    <t>Commercial**</t>
  </si>
  <si>
    <t>Industrial*</t>
  </si>
  <si>
    <t>International Bunker Fuels</t>
  </si>
  <si>
    <t>Jet Fuel, Kerosene</t>
  </si>
  <si>
    <t>Distillate Fuel</t>
  </si>
  <si>
    <t>Residual Fuel</t>
  </si>
  <si>
    <t>MWh</t>
  </si>
  <si>
    <t xml:space="preserve">BBTU </t>
  </si>
  <si>
    <t>Kerosene</t>
  </si>
  <si>
    <t>Hydrocarbon Gas Liquids</t>
  </si>
  <si>
    <t>Commercial</t>
  </si>
  <si>
    <t>Motor Gasoline</t>
  </si>
  <si>
    <t>Industrial</t>
  </si>
  <si>
    <t>Coking Coal</t>
  </si>
  <si>
    <t>Other Coal</t>
  </si>
  <si>
    <t>Asphalt and Road Oil</t>
  </si>
  <si>
    <t>Aviation Gasoline Blending Components</t>
  </si>
  <si>
    <t>Crude Oil</t>
  </si>
  <si>
    <t>Feedstocks, Naphtha less than 401 F</t>
  </si>
  <si>
    <t>Feedstocks, Other Oils greater than 401 F</t>
  </si>
  <si>
    <t>Lubricants</t>
  </si>
  <si>
    <t>Motor Gasoline Blending Components</t>
  </si>
  <si>
    <t>Misc. Petro Products</t>
  </si>
  <si>
    <t>Petroleum Coke</t>
  </si>
  <si>
    <t>Pentanes Plus</t>
  </si>
  <si>
    <t>Still Gas</t>
  </si>
  <si>
    <t>Special Naphthas</t>
  </si>
  <si>
    <t>Unfinished Oils</t>
  </si>
  <si>
    <t>Waxes</t>
  </si>
  <si>
    <t>Aviation Gasoline</t>
  </si>
  <si>
    <t>Wood</t>
  </si>
  <si>
    <t>Fuel Type/Vehicle Type</t>
  </si>
  <si>
    <t>Gasoline Highway</t>
  </si>
  <si>
    <t>Passenger Cars</t>
  </si>
  <si>
    <t>Light-Duty Trucks</t>
  </si>
  <si>
    <t>Heavy-Duty Vehicles</t>
  </si>
  <si>
    <t>Motorcycles</t>
  </si>
  <si>
    <t>Diesel Highway</t>
  </si>
  <si>
    <t>Heavy-Duty Buses</t>
  </si>
  <si>
    <t>w/HD Vehicles</t>
  </si>
  <si>
    <t>Non-Highway</t>
  </si>
  <si>
    <t>Boats</t>
  </si>
  <si>
    <t>Locomotives</t>
  </si>
  <si>
    <t>Farm Equipment</t>
  </si>
  <si>
    <t>Construction Equipment</t>
  </si>
  <si>
    <t>Aircraft (Domestic)</t>
  </si>
  <si>
    <t>Other*</t>
  </si>
  <si>
    <t>Alternative Fuel Vehicles</t>
  </si>
  <si>
    <t>Light Duty Vehicles</t>
  </si>
  <si>
    <t>Heavy Duty Vehicles</t>
  </si>
  <si>
    <t>Buses</t>
  </si>
  <si>
    <t>Total</t>
  </si>
  <si>
    <t>* "Other" includes snowmobiles, small gasoline powered utility equipment, heavy-duty gasoline powered utility equipment, and heavy-duty diesel powered utility equipment.</t>
  </si>
  <si>
    <t>Transmission and Storage</t>
  </si>
  <si>
    <t>Steel, Cathodically Unprotected and Uncoated</t>
  </si>
  <si>
    <t>Steel, Cathodically Unprotected and Coated</t>
  </si>
  <si>
    <t>Steel, Cathodically Protected and Uncoated</t>
  </si>
  <si>
    <t>Steel, Cathodically Protected and Coated</t>
  </si>
  <si>
    <t>Plastic</t>
  </si>
  <si>
    <t>Cast or Wrought Iron</t>
  </si>
  <si>
    <t>Ductile Iron</t>
  </si>
  <si>
    <t>Copper</t>
  </si>
  <si>
    <t>&gt;300 psi (T-D)</t>
  </si>
  <si>
    <t>100-300 psi (T-D)</t>
  </si>
  <si>
    <t>&lt;100 psi (T-D)</t>
  </si>
  <si>
    <t>&gt;300 psi Above ground (not T-D)</t>
  </si>
  <si>
    <t>&gt;300 psi Vault (not T-D)</t>
  </si>
  <si>
    <t>100-300 psi Above ground (not T-D)</t>
  </si>
  <si>
    <t>100-300 psi Vault (not T-D)</t>
  </si>
  <si>
    <t>40-&lt;100 psi Above ground (not T-D)</t>
  </si>
  <si>
    <t>40-&lt;100 psi Vault (not T-D)</t>
  </si>
  <si>
    <t>&lt;40 psi (not T-D)</t>
  </si>
  <si>
    <t>Units</t>
  </si>
  <si>
    <t>Mains - Cast Iron</t>
  </si>
  <si>
    <t>kg/mile</t>
  </si>
  <si>
    <t>Mains - Unprotected steel</t>
  </si>
  <si>
    <t>Mains - Protected steel</t>
  </si>
  <si>
    <t>Mains - Plastic</t>
  </si>
  <si>
    <t>Services - Unprotected steel</t>
  </si>
  <si>
    <t>kg/service</t>
  </si>
  <si>
    <t>Services Protected steel</t>
  </si>
  <si>
    <t>Services - Plastic</t>
  </si>
  <si>
    <t>Services - Copper</t>
  </si>
  <si>
    <t>kg/station</t>
  </si>
  <si>
    <t>Reg &gt;300</t>
  </si>
  <si>
    <t>R-Vault &gt;300</t>
  </si>
  <si>
    <t>Reg 100-300</t>
  </si>
  <si>
    <t>R-Vault 100-300</t>
  </si>
  <si>
    <t>Reg 40-100</t>
  </si>
  <si>
    <t>R-Vault 40-100</t>
  </si>
  <si>
    <t>Reg &lt;40</t>
  </si>
  <si>
    <t>kg/meter</t>
  </si>
  <si>
    <t xml:space="preserve">Commercial </t>
  </si>
  <si>
    <t>Pressure Relief Valve Releases</t>
  </si>
  <si>
    <t>Pipeline Blowdown</t>
  </si>
  <si>
    <t>Mishaps (Dig-ins)</t>
  </si>
  <si>
    <t>Pipeline</t>
  </si>
  <si>
    <t>kg/NG house</t>
  </si>
  <si>
    <t>kg/appliance</t>
  </si>
  <si>
    <t>Industrial &amp; Power Plants</t>
  </si>
  <si>
    <t>kg/BCF</t>
  </si>
  <si>
    <t>Natural Gas Vehicles</t>
  </si>
  <si>
    <t>kg/vehicle</t>
  </si>
  <si>
    <t>NA</t>
  </si>
  <si>
    <t>"#VALUE" is present in cells where data was not available until more recent years.</t>
  </si>
  <si>
    <t xml:space="preserve">Pipeline </t>
  </si>
  <si>
    <t>miles</t>
  </si>
  <si>
    <t>stations</t>
  </si>
  <si>
    <t>Station + Compressors</t>
  </si>
  <si>
    <t>Reciprocating Compressor</t>
  </si>
  <si>
    <t>compressors</t>
  </si>
  <si>
    <t>Centrifugal Compressor (wet seals)</t>
  </si>
  <si>
    <t>Centrifugal Compressor (dry seals)</t>
  </si>
  <si>
    <t>Pneumatic Devices Transmission</t>
  </si>
  <si>
    <t>controllers</t>
  </si>
  <si>
    <t>(High Bleed)</t>
  </si>
  <si>
    <t>(Intermittent Bleed)</t>
  </si>
  <si>
    <t>(Low Bleed)</t>
  </si>
  <si>
    <t>LNG Storage</t>
  </si>
  <si>
    <t>LNG Stations (eq. leaks, compressors, flares)</t>
  </si>
  <si>
    <t>facilities</t>
  </si>
  <si>
    <t>LNG Station Blowdowns</t>
  </si>
  <si>
    <t>LNG Import Terminals</t>
  </si>
  <si>
    <t>LNG Import Terminals (eq. leaks, compressors, flares)</t>
  </si>
  <si>
    <t>terminals</t>
  </si>
  <si>
    <t>LNG Import Terminal Blowdowns</t>
  </si>
  <si>
    <t>kg/compressor</t>
  </si>
  <si>
    <t>kg/controller</t>
  </si>
  <si>
    <t>kg/facility</t>
  </si>
  <si>
    <t>kg/terminal</t>
  </si>
  <si>
    <t>Pipeline Blowdowns</t>
  </si>
  <si>
    <t>Pipeline Blowdown Emissions</t>
  </si>
  <si>
    <t>Blowdowns (Compressors, Facility Piping, Other and Emergency Shutdowns)</t>
  </si>
  <si>
    <t>Blowdown Emissions</t>
  </si>
  <si>
    <t>Blowdowns (Compressors and Emergency Shutdowns)</t>
  </si>
  <si>
    <t>Compressor Station reporting to FLIGHT</t>
  </si>
  <si>
    <t>Blowdowns (Compressors, Scrubbers/Strainers, Facility Piping, Emergency Shutdowns, and Other)</t>
  </si>
  <si>
    <t>Emissions from Industrial Processes - MA Summary</t>
  </si>
  <si>
    <t>Total Emissions</t>
  </si>
  <si>
    <t>Emissions from Agriculture - MA Summary</t>
  </si>
  <si>
    <t>AR4</t>
  </si>
  <si>
    <t>Enteric Fermentation</t>
  </si>
  <si>
    <t>Manure Management</t>
  </si>
  <si>
    <t>Ag Soils</t>
  </si>
  <si>
    <t>Rice Cultivation</t>
  </si>
  <si>
    <t>Liming</t>
  </si>
  <si>
    <t>Urea Fertilization</t>
  </si>
  <si>
    <t>Agricultural Residue Burning</t>
  </si>
  <si>
    <t>Carbon Dioxide</t>
  </si>
  <si>
    <t>Methane</t>
  </si>
  <si>
    <t>Nitrous Oxide</t>
  </si>
  <si>
    <t>EIA MSB %</t>
  </si>
  <si>
    <t>EIA MSN %</t>
  </si>
  <si>
    <t>Massachusetts</t>
  </si>
  <si>
    <t>MWRA</t>
  </si>
  <si>
    <t>Pittsfield</t>
  </si>
  <si>
    <t>Greater Lawrence SD</t>
  </si>
  <si>
    <t>Rockland</t>
  </si>
  <si>
    <t>Population on Septic</t>
  </si>
  <si>
    <t>Population on other WWTP</t>
  </si>
  <si>
    <t>Inventory of U.S. Greenhouse Gas Emissions and Sinks: 1990-2021 – Main Report (epa.gov)</t>
  </si>
  <si>
    <t>NEIWPCC-Sludge-End-Use-Disposal-Estimate-Report_FINAL.pdf</t>
  </si>
  <si>
    <t>GWP</t>
  </si>
  <si>
    <t>kg / cap / day</t>
  </si>
  <si>
    <t>process</t>
  </si>
  <si>
    <t>EF</t>
  </si>
  <si>
    <t>F_NPR</t>
  </si>
  <si>
    <t>kg N / kg protein</t>
  </si>
  <si>
    <t>F_NonCon</t>
  </si>
  <si>
    <t>kg N / kg N</t>
  </si>
  <si>
    <t>EF_biosolids</t>
  </si>
  <si>
    <t>CHAPTER 1 (iges.or.jp)</t>
  </si>
  <si>
    <t>MA Electricity Import Emissions</t>
  </si>
  <si>
    <t>ISO</t>
  </si>
  <si>
    <t>EIA</t>
  </si>
  <si>
    <t>EIA Adjusted</t>
  </si>
  <si>
    <t>ISO + EIA</t>
  </si>
  <si>
    <t>ISO + EIA Adjusted</t>
  </si>
  <si>
    <t>ISO + EIA + EPA Adjusted</t>
  </si>
  <si>
    <t>ISO + Environment Canada</t>
  </si>
  <si>
    <t>ISO + EPA + EIA + Environment Canada</t>
  </si>
  <si>
    <t>MA Import Need</t>
  </si>
  <si>
    <t>MA Emissions from Intra-NE Imports</t>
  </si>
  <si>
    <t>MA Electricity Consumption Emissions</t>
  </si>
  <si>
    <t>ME</t>
  </si>
  <si>
    <t>NH</t>
  </si>
  <si>
    <t>Year</t>
  </si>
  <si>
    <t>MA Electric Generation (MWh)</t>
  </si>
  <si>
    <t>MA Electric Load (MWh)</t>
  </si>
  <si>
    <t>MA Electric Load Including Pumping (MWh)</t>
  </si>
  <si>
    <t>MA Electricity Imports [Gen-Load] (MWh)</t>
  </si>
  <si>
    <t>Total of State/Region Shortfalls [incl. NY, NB, Q] (MWh)</t>
  </si>
  <si>
    <t>MA Fraction of Intra-NE imports</t>
  </si>
  <si>
    <t>Imports to MA from other NE States (MWh)</t>
  </si>
  <si>
    <t>Imports to MA from outside NE (MWh)</t>
  </si>
  <si>
    <t>Total Imports to MA (MWh)</t>
  </si>
  <si>
    <t>Electric Generation (MWh)</t>
  </si>
  <si>
    <t>Electric Load (MWh)</t>
  </si>
  <si>
    <t>Electric Load Including Pumping (MWh)</t>
  </si>
  <si>
    <t>Net Export (MWh)</t>
  </si>
  <si>
    <t>MA Share of Net Exports (MWh)</t>
  </si>
  <si>
    <t>Generation (MWh)</t>
  </si>
  <si>
    <t>Exports into NE minus Imports from NE (MWh)</t>
  </si>
  <si>
    <t>Net Exports into NE (MWh)</t>
  </si>
  <si>
    <t>MA Share of NY Net Exports (MWh)</t>
  </si>
  <si>
    <t>Exports into NE minus Imports from NE (GWh)</t>
  </si>
  <si>
    <t>MA Share of NB Net Exports (MWh)</t>
  </si>
  <si>
    <t>MA Share of Quebec Net Exports (MWh)</t>
  </si>
  <si>
    <t>Total NE Generation [except N. ME] (MWh)</t>
  </si>
  <si>
    <t>NE Load (MWh)</t>
  </si>
  <si>
    <t>NE Hydro Pumping Load (MWh)</t>
  </si>
  <si>
    <t>Total NE Load (MWh)</t>
  </si>
  <si>
    <t>Actual Imports (MWh)</t>
  </si>
  <si>
    <t>See T43</t>
  </si>
  <si>
    <t>See T44</t>
  </si>
  <si>
    <t>See T45</t>
  </si>
  <si>
    <t>See T46</t>
  </si>
  <si>
    <t>See T47</t>
  </si>
  <si>
    <t>See T48</t>
  </si>
  <si>
    <t>See T49</t>
  </si>
  <si>
    <t>See T50</t>
  </si>
  <si>
    <t>See T51</t>
  </si>
  <si>
    <t>See T52</t>
  </si>
  <si>
    <t>ISO Gen % of Total ME Generation</t>
  </si>
  <si>
    <t>EIA MA Generation (MWh)</t>
  </si>
  <si>
    <t>ISO-NE MA Generation (MWh)</t>
  </si>
  <si>
    <t>Difference (MWh)</t>
  </si>
  <si>
    <t>Difference as Percent</t>
  </si>
  <si>
    <t>Adjusted EIA MA Generation (MWh)</t>
  </si>
  <si>
    <t>EIA ME Generation (MWh)</t>
  </si>
  <si>
    <t>ISO-NE ME Generation (MWh)</t>
  </si>
  <si>
    <t>Adjusted EIA ME Generation (MWh)</t>
  </si>
  <si>
    <t>EIA NH Generation (MWh)</t>
  </si>
  <si>
    <t>ISO-NE NH Generation (MWh)</t>
  </si>
  <si>
    <t>Adjusted EIA NH Generation (MWh)</t>
  </si>
  <si>
    <t>EIA VT Generation (MWh)</t>
  </si>
  <si>
    <t>ISO-NE VT Generation (MWh)</t>
  </si>
  <si>
    <t>Adjusted EIA VT Generation (MWh)</t>
  </si>
  <si>
    <t>EIA CT Generation (MWh)</t>
  </si>
  <si>
    <t>ISO-NE CT Generation (MWh)</t>
  </si>
  <si>
    <t>Adjusted EIA CT Generation (MWh)</t>
  </si>
  <si>
    <t>EIA RI Generation (MWh)</t>
  </si>
  <si>
    <t>ISO-NE RI Generation (MWh)</t>
  </si>
  <si>
    <t>Adjusted EIA RI Generation (MWh)</t>
  </si>
  <si>
    <t>VT</t>
  </si>
  <si>
    <t>EIA Total NE generation (MWh)</t>
  </si>
  <si>
    <t>TOTAL Combustion Emissions</t>
  </si>
  <si>
    <t xml:space="preserve">     Residential (Wood and Biodiesel)</t>
  </si>
  <si>
    <t xml:space="preserve">     Commercial (Wood, Ethanol and Biogas)</t>
  </si>
  <si>
    <t xml:space="preserve">     Transportation (Ethanol and Biodiesel)</t>
  </si>
  <si>
    <t xml:space="preserve">    Electric (Wood, MSW, LFGTE and Imports)</t>
  </si>
  <si>
    <t xml:space="preserve">     Electric (Wood)</t>
  </si>
  <si>
    <t xml:space="preserve">     Electric (MSW)</t>
  </si>
  <si>
    <t xml:space="preserve">     Electric (LFG to Energy)</t>
  </si>
  <si>
    <t xml:space="preserve">     Electric (Imports)</t>
  </si>
  <si>
    <t xml:space="preserve">    Waste (LFG and Digester Gas)</t>
  </si>
  <si>
    <t xml:space="preserve">          Wastewater - Combustion of LFG in flares</t>
  </si>
  <si>
    <t>TOTAL Oxidation Emissions</t>
  </si>
  <si>
    <t xml:space="preserve">    Landfill - Oxidation of MSW in landfill surface cover</t>
  </si>
  <si>
    <t>TOTAL Combustion and Oxidation</t>
  </si>
  <si>
    <t>Natural and Working Lands Summary</t>
  </si>
  <si>
    <t>Forest Land</t>
  </si>
  <si>
    <t>Wetlands</t>
  </si>
  <si>
    <t>Settlements</t>
  </si>
  <si>
    <t>Other Land</t>
  </si>
  <si>
    <t>Net NWL Emissions</t>
  </si>
  <si>
    <t>landfill gas</t>
  </si>
  <si>
    <t>Other Biogas (MWRA)</t>
  </si>
  <si>
    <t>Begin MWRA data 2005</t>
  </si>
  <si>
    <t>Ethanol</t>
  </si>
  <si>
    <t>Biodiesel</t>
  </si>
  <si>
    <t>Forest Land Remaining Forest Land</t>
  </si>
  <si>
    <t>Forest Carbon Stock Change</t>
  </si>
  <si>
    <t>Land Converted to Forest Land</t>
  </si>
  <si>
    <t>Land Converted to Forest Land Carbon Stock Change</t>
  </si>
  <si>
    <t>Crop/Grassland Remaining Crop/Grassland</t>
  </si>
  <si>
    <t>Cropland Agricultural Soil Carbon Stock Change</t>
  </si>
  <si>
    <t>Grassland Agricultural Soil Carbon Stock Change</t>
  </si>
  <si>
    <t>Land Converted to Crop/Grassland</t>
  </si>
  <si>
    <t>Land Converted to Cropland Carbon Stock Change</t>
  </si>
  <si>
    <t>Land Converted to Grassland Carbon Stock Change</t>
  </si>
  <si>
    <t>Coastal Wetlands Ecosystem Carbon Flux</t>
  </si>
  <si>
    <t>Land Converted to Wetlands Carbon Stock Change</t>
  </si>
  <si>
    <t>Settlements Remaining Settlements</t>
  </si>
  <si>
    <t>Settlement Tree Carbon Stock Change</t>
  </si>
  <si>
    <t>Settlement Soil Carbon Stock Change</t>
  </si>
  <si>
    <t>Landfilled Food Scraps Carbon Stock Change</t>
  </si>
  <si>
    <t>Land Converted to Settlements</t>
  </si>
  <si>
    <t>Land Converted to Settlements Carbon Stock Change</t>
  </si>
  <si>
    <t>Total Net NWL Emissions</t>
  </si>
  <si>
    <t>Massachusetts Clean Energy and Climate Plan for 2025 and 2030 - Appendix C</t>
  </si>
  <si>
    <t>Methodology Report: Inventory of U.S. Greenhouse Gas Emissions and Sinks by State: 1990-2022 - Chapter 5 Land Use, Land-Use Change, and Forestry</t>
  </si>
  <si>
    <t>Inventory of U.S. Greenhouse Gas Emissions and Sinks: 1990-2022 - Chapter 6 Land Use, Land-Use Change, and Forestry</t>
  </si>
  <si>
    <t>Jet Fuel, Naphtha (1990-1998)</t>
  </si>
  <si>
    <t xml:space="preserve">     Residential (Wood)</t>
  </si>
  <si>
    <t xml:space="preserve">     Residential (Biodiesel)</t>
  </si>
  <si>
    <t xml:space="preserve">     Transportation (Ethanol)</t>
  </si>
  <si>
    <t xml:space="preserve">     Transportation (Biodiesel)</t>
  </si>
  <si>
    <t xml:space="preserve">     Commercial (Wood)</t>
  </si>
  <si>
    <t xml:space="preserve">     Commercial (Ethanol)</t>
  </si>
  <si>
    <t xml:space="preserve">     Commercial (Biogas)</t>
  </si>
  <si>
    <t xml:space="preserve">     Industrial (Wood)</t>
  </si>
  <si>
    <t xml:space="preserve">     Industrial (Ethanol)</t>
  </si>
  <si>
    <t xml:space="preserve">     Industrial (MSW through 2022)</t>
  </si>
  <si>
    <t>EPA State Inventory and Projection Tool (Land Use, Land Use Change, and Forestry module, v. 2025.1; default values for Massachusetts)</t>
  </si>
  <si>
    <t>n/a</t>
  </si>
  <si>
    <t>Carbide Production and Consumption</t>
  </si>
  <si>
    <t>Urea Consumption for Non-Agricultural Uses</t>
  </si>
  <si>
    <t>Glass Production</t>
  </si>
  <si>
    <t>Lime Production</t>
  </si>
  <si>
    <t>Substitution of Ozone Depleting Substances</t>
  </si>
  <si>
    <t>Micro-Electro-Mechanical Devices</t>
  </si>
  <si>
    <t>Photovoltaics</t>
  </si>
  <si>
    <t>Semiconductor Manufacture</t>
  </si>
  <si>
    <t>Electrical Equipment</t>
  </si>
  <si>
    <t>Micro-Electro-Mechanical Devices and Other Product Use</t>
  </si>
  <si>
    <r>
      <t>B</t>
    </r>
    <r>
      <rPr>
        <b/>
        <vertAlign val="subscript"/>
        <sz val="12"/>
        <color theme="1"/>
        <rFont val="Aptos"/>
        <family val="2"/>
      </rPr>
      <t>o</t>
    </r>
  </si>
  <si>
    <t>variable</t>
  </si>
  <si>
    <t>value</t>
  </si>
  <si>
    <t>units</t>
  </si>
  <si>
    <t>percent</t>
  </si>
  <si>
    <t>MA Population on Septic</t>
  </si>
  <si>
    <t>Methane Correction Factor (MCF)</t>
  </si>
  <si>
    <t>Biochemical Oxygen Demand (BOD)</t>
  </si>
  <si>
    <t>annual variables</t>
  </si>
  <si>
    <t>calculations</t>
  </si>
  <si>
    <t>Type</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</si>
  <si>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</si>
  <si>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</si>
  <si>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</si>
  <si>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</si>
  <si>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</si>
  <si>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</si>
  <si>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</si>
  <si>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</si>
  <si>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</si>
  <si>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</si>
  <si>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</si>
  <si>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</si>
  <si>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</si>
  <si>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</si>
  <si>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</si>
  <si>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</si>
  <si>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</si>
  <si>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</si>
  <si>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</si>
  <si>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</si>
  <si>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</si>
  <si>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</si>
  <si>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</si>
  <si>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</si>
  <si>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</si>
  <si>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</si>
  <si>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</si>
  <si>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</si>
  <si>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</si>
  <si>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</si>
  <si>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</si>
  <si>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</si>
  <si>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</si>
  <si>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</si>
  <si>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</si>
  <si>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</si>
  <si>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F_Fertilizer (beginning 2010)</t>
  </si>
  <si>
    <t xml:space="preserve">Protein consumed </t>
  </si>
  <si>
    <t>Link:</t>
  </si>
  <si>
    <t xml:space="preserve">Note: </t>
  </si>
  <si>
    <t>Document:</t>
  </si>
  <si>
    <t xml:space="preserve">Page: </t>
  </si>
  <si>
    <t xml:space="preserve">Variable: </t>
  </si>
  <si>
    <t>Variable:</t>
  </si>
  <si>
    <t xml:space="preserve"> F_Fertilizer</t>
  </si>
  <si>
    <t>Page 19 of 135</t>
  </si>
  <si>
    <t>Page 730 of 881</t>
  </si>
  <si>
    <t>U.S. Inventory of GHG Emissions and Sinks: 1990-2021, April 2023</t>
  </si>
  <si>
    <t>Page:</t>
  </si>
  <si>
    <t>2019 Refinement IPCC, Chapter 6 Wastewater Treatment and Discharge</t>
  </si>
  <si>
    <t>Page 20 of 72 (Table 6.3)</t>
  </si>
  <si>
    <t>Page 121 of 135</t>
  </si>
  <si>
    <t>Page 28 of 72</t>
  </si>
  <si>
    <t>The fraction of the population managing their septic tank in compliance with the sludge removal instruction of their septic system (according to IPCC Ch. 1 Vol. 5: Waste of the 2019 Refinement to the 2006 Guidelines for National GHG Inventories).</t>
  </si>
  <si>
    <t>Note:</t>
  </si>
  <si>
    <t>GHG</t>
  </si>
  <si>
    <t>value missing</t>
  </si>
  <si>
    <r>
      <t>In-State Electric Power CO</t>
    </r>
    <r>
      <rPr>
        <b/>
        <vertAlign val="subscript"/>
        <sz val="12"/>
        <rFont val="Aptos"/>
        <family val="2"/>
      </rPr>
      <t>2</t>
    </r>
    <r>
      <rPr>
        <b/>
        <sz val="12"/>
        <rFont val="Aptos"/>
        <family val="2"/>
      </rPr>
      <t xml:space="preserve"> Total</t>
    </r>
  </si>
  <si>
    <r>
      <t>Transportation CO</t>
    </r>
    <r>
      <rPr>
        <b/>
        <vertAlign val="subscript"/>
        <sz val="12"/>
        <rFont val="Aptos"/>
        <family val="2"/>
      </rPr>
      <t>2</t>
    </r>
    <r>
      <rPr>
        <b/>
        <sz val="12"/>
        <rFont val="Aptos"/>
        <family val="2"/>
      </rPr>
      <t xml:space="preserve"> Total</t>
    </r>
  </si>
  <si>
    <r>
      <t>Industrial CO</t>
    </r>
    <r>
      <rPr>
        <b/>
        <vertAlign val="subscript"/>
        <sz val="12"/>
        <rFont val="Aptos"/>
        <family val="2"/>
      </rPr>
      <t>2</t>
    </r>
    <r>
      <rPr>
        <b/>
        <sz val="12"/>
        <rFont val="Aptos"/>
        <family val="2"/>
      </rPr>
      <t xml:space="preserve"> Total</t>
    </r>
  </si>
  <si>
    <r>
      <t>Commercial CO</t>
    </r>
    <r>
      <rPr>
        <b/>
        <vertAlign val="subscript"/>
        <sz val="12"/>
        <rFont val="Aptos"/>
        <family val="2"/>
      </rPr>
      <t>2</t>
    </r>
    <r>
      <rPr>
        <b/>
        <sz val="12"/>
        <rFont val="Aptos"/>
        <family val="2"/>
      </rPr>
      <t xml:space="preserve"> Total</t>
    </r>
  </si>
  <si>
    <r>
      <t>Residential CO</t>
    </r>
    <r>
      <rPr>
        <b/>
        <vertAlign val="subscript"/>
        <sz val="12"/>
        <rFont val="Aptos"/>
        <family val="2"/>
      </rPr>
      <t>2</t>
    </r>
    <r>
      <rPr>
        <b/>
        <sz val="12"/>
        <rFont val="Aptos"/>
        <family val="2"/>
      </rPr>
      <t xml:space="preserve"> Total</t>
    </r>
  </si>
  <si>
    <t>Mcf (1997+ from EIA-176 data)</t>
  </si>
  <si>
    <t>BBTU (1990-1996 from SEDS code NGPZB)</t>
  </si>
  <si>
    <t>**additional Commercial sector emissions from Fuel Cells from conversion of natural gas to hydrogen by commercial facilities</t>
  </si>
  <si>
    <t>*additional Industrial category for use of natural gas by natural gas transmission and distribution companies for space heating, combustion in compressors, and liquefaction/vaporization of LNG</t>
  </si>
  <si>
    <t>Notes:</t>
  </si>
  <si>
    <t>next update</t>
  </si>
  <si>
    <r>
      <t>CO</t>
    </r>
    <r>
      <rPr>
        <b/>
        <vertAlign val="subscript"/>
        <sz val="12"/>
        <color indexed="8"/>
        <rFont val="Aptos"/>
        <family val="2"/>
      </rPr>
      <t>2</t>
    </r>
    <r>
      <rPr>
        <b/>
        <sz val="12"/>
        <color indexed="8"/>
        <rFont val="Aptos"/>
        <family val="2"/>
      </rPr>
      <t>e from Energy</t>
    </r>
  </si>
  <si>
    <r>
      <t>Residential CO</t>
    </r>
    <r>
      <rPr>
        <b/>
        <vertAlign val="subscript"/>
        <sz val="12"/>
        <rFont val="Aptos"/>
        <family val="2"/>
      </rPr>
      <t>2</t>
    </r>
    <r>
      <rPr>
        <b/>
        <sz val="12"/>
        <rFont val="Aptos"/>
        <family val="2"/>
      </rPr>
      <t>e from Fuel Combustion</t>
    </r>
  </si>
  <si>
    <r>
      <t>Residential CO</t>
    </r>
    <r>
      <rPr>
        <vertAlign val="subscript"/>
        <sz val="12"/>
        <rFont val="Aptos"/>
        <family val="2"/>
      </rPr>
      <t>2</t>
    </r>
  </si>
  <si>
    <r>
      <t>Commercial CO</t>
    </r>
    <r>
      <rPr>
        <b/>
        <vertAlign val="subscript"/>
        <sz val="12"/>
        <rFont val="Aptos"/>
        <family val="2"/>
      </rPr>
      <t>2</t>
    </r>
    <r>
      <rPr>
        <b/>
        <sz val="12"/>
        <rFont val="Aptos"/>
        <family val="2"/>
      </rPr>
      <t>e from Fuel Combustion</t>
    </r>
  </si>
  <si>
    <r>
      <t>Commercial CO</t>
    </r>
    <r>
      <rPr>
        <vertAlign val="subscript"/>
        <sz val="12"/>
        <rFont val="Aptos"/>
        <family val="2"/>
      </rPr>
      <t>2</t>
    </r>
  </si>
  <si>
    <r>
      <t>Commercial CO</t>
    </r>
    <r>
      <rPr>
        <b/>
        <vertAlign val="subscript"/>
        <sz val="12"/>
        <rFont val="Aptos"/>
        <family val="2"/>
      </rPr>
      <t>2</t>
    </r>
    <r>
      <rPr>
        <b/>
        <sz val="12"/>
        <rFont val="Aptos"/>
        <family val="2"/>
      </rPr>
      <t xml:space="preserve"> from Fossil Fuel Use by Fuel Cells</t>
    </r>
  </si>
  <si>
    <r>
      <t>Industrial CO</t>
    </r>
    <r>
      <rPr>
        <b/>
        <vertAlign val="subscript"/>
        <sz val="12"/>
        <rFont val="Aptos"/>
        <family val="2"/>
      </rPr>
      <t>2</t>
    </r>
    <r>
      <rPr>
        <b/>
        <sz val="12"/>
        <rFont val="Aptos"/>
        <family val="2"/>
      </rPr>
      <t>e from Fuel Combustion</t>
    </r>
  </si>
  <si>
    <r>
      <t>Industrial CO</t>
    </r>
    <r>
      <rPr>
        <vertAlign val="subscript"/>
        <sz val="12"/>
        <rFont val="Aptos"/>
        <family val="2"/>
      </rPr>
      <t>2</t>
    </r>
  </si>
  <si>
    <r>
      <t>Transportation CO</t>
    </r>
    <r>
      <rPr>
        <b/>
        <vertAlign val="subscript"/>
        <sz val="12"/>
        <rFont val="Aptos"/>
        <family val="2"/>
      </rPr>
      <t>2</t>
    </r>
    <r>
      <rPr>
        <b/>
        <sz val="12"/>
        <rFont val="Aptos"/>
        <family val="2"/>
      </rPr>
      <t>e from Fuel Combustion</t>
    </r>
  </si>
  <si>
    <r>
      <t>Transportation CO</t>
    </r>
    <r>
      <rPr>
        <vertAlign val="subscript"/>
        <sz val="12"/>
        <rFont val="Aptos"/>
        <family val="2"/>
      </rPr>
      <t>2</t>
    </r>
  </si>
  <si>
    <r>
      <t>Electricity Total CO</t>
    </r>
    <r>
      <rPr>
        <b/>
        <vertAlign val="subscript"/>
        <sz val="12"/>
        <color indexed="8"/>
        <rFont val="Aptos"/>
        <family val="2"/>
      </rPr>
      <t>2</t>
    </r>
    <r>
      <rPr>
        <b/>
        <sz val="12"/>
        <color indexed="8"/>
        <rFont val="Aptos"/>
        <family val="2"/>
      </rPr>
      <t>e from Fuel Combustion</t>
    </r>
  </si>
  <si>
    <r>
      <t>Electric Generation CO</t>
    </r>
    <r>
      <rPr>
        <vertAlign val="subscript"/>
        <sz val="12"/>
        <rFont val="Aptos"/>
        <family val="2"/>
      </rPr>
      <t>2</t>
    </r>
  </si>
  <si>
    <r>
      <t>Natural Gas Systems (CO</t>
    </r>
    <r>
      <rPr>
        <b/>
        <vertAlign val="subscript"/>
        <sz val="12"/>
        <color rgb="FF000000"/>
        <rFont val="Aptos"/>
        <family val="2"/>
      </rPr>
      <t>2</t>
    </r>
    <r>
      <rPr>
        <b/>
        <sz val="12"/>
        <color indexed="8"/>
        <rFont val="Aptos"/>
        <family val="2"/>
      </rPr>
      <t>e)</t>
    </r>
  </si>
  <si>
    <r>
      <t>Industrial Processes (CO</t>
    </r>
    <r>
      <rPr>
        <b/>
        <vertAlign val="subscript"/>
        <sz val="12"/>
        <color rgb="FF000000"/>
        <rFont val="Aptos"/>
        <family val="2"/>
      </rPr>
      <t>2</t>
    </r>
    <r>
      <rPr>
        <b/>
        <sz val="12"/>
        <color indexed="8"/>
        <rFont val="Aptos"/>
        <family val="2"/>
      </rPr>
      <t>e)</t>
    </r>
  </si>
  <si>
    <r>
      <t>Waste (CO</t>
    </r>
    <r>
      <rPr>
        <b/>
        <vertAlign val="subscript"/>
        <sz val="12"/>
        <color rgb="FF000000"/>
        <rFont val="Aptos"/>
        <family val="2"/>
      </rPr>
      <t>2</t>
    </r>
    <r>
      <rPr>
        <b/>
        <sz val="12"/>
        <color indexed="8"/>
        <rFont val="Aptos"/>
        <family val="2"/>
      </rPr>
      <t>e)</t>
    </r>
  </si>
  <si>
    <r>
      <t>Commercial CO</t>
    </r>
    <r>
      <rPr>
        <b/>
        <vertAlign val="subscript"/>
        <sz val="12"/>
        <rFont val="Aptos"/>
        <family val="2"/>
      </rPr>
      <t>2</t>
    </r>
    <r>
      <rPr>
        <b/>
        <sz val="12"/>
        <rFont val="Aptos"/>
        <family val="2"/>
      </rPr>
      <t>e from Fuel Combustion and Fuel Cell</t>
    </r>
  </si>
  <si>
    <r>
      <t>Commercial CO</t>
    </r>
    <r>
      <rPr>
        <vertAlign val="subscript"/>
        <sz val="12"/>
        <rFont val="Aptos"/>
        <family val="2"/>
      </rPr>
      <t>2</t>
    </r>
    <r>
      <rPr>
        <sz val="12"/>
        <rFont val="Aptos"/>
        <family val="2"/>
      </rPr>
      <t xml:space="preserve"> from Fossil Fuel Use by Fuel Cells</t>
    </r>
  </si>
  <si>
    <r>
      <t>Lime, Dolomite, Soda Ash, Urea, Carbide, Glass, other uses of carbonates and carbon dioxide (CO</t>
    </r>
    <r>
      <rPr>
        <vertAlign val="subscript"/>
        <sz val="12"/>
        <rFont val="Aptos"/>
        <family val="2"/>
      </rPr>
      <t>2</t>
    </r>
    <r>
      <rPr>
        <sz val="12"/>
        <rFont val="Aptos"/>
        <family val="2"/>
      </rPr>
      <t>)</t>
    </r>
  </si>
  <si>
    <t>2026</t>
  </si>
  <si>
    <t>2027</t>
  </si>
  <si>
    <t>2028</t>
  </si>
  <si>
    <t>2029</t>
  </si>
  <si>
    <t>2030</t>
  </si>
  <si>
    <t>Biogenic Emissions Summary Table</t>
  </si>
  <si>
    <r>
      <rPr>
        <i/>
        <vertAlign val="superscript"/>
        <sz val="12"/>
        <color theme="1"/>
        <rFont val="Aptos"/>
        <family val="2"/>
      </rPr>
      <t>a</t>
    </r>
    <r>
      <rPr>
        <sz val="12"/>
        <color theme="1"/>
        <rFont val="Aptos"/>
        <family val="2"/>
      </rPr>
      <t xml:space="preserve"> source for Harvested Wood Products Carbon Stock Change:</t>
    </r>
  </si>
  <si>
    <r>
      <rPr>
        <i/>
        <vertAlign val="superscript"/>
        <sz val="12"/>
        <rFont val="Aptos"/>
        <family val="2"/>
      </rPr>
      <t xml:space="preserve">b </t>
    </r>
    <r>
      <rPr>
        <sz val="12"/>
        <rFont val="Aptos"/>
        <family val="2"/>
      </rPr>
      <t>This also includes emissions from EPA category "Flooded Lands Remaining Flooded Lands"</t>
    </r>
  </si>
  <si>
    <r>
      <rPr>
        <i/>
        <vertAlign val="superscript"/>
        <sz val="12"/>
        <rFont val="Aptos"/>
        <family val="2"/>
      </rPr>
      <t xml:space="preserve">c </t>
    </r>
    <r>
      <rPr>
        <sz val="12"/>
        <rFont val="Aptos"/>
        <family val="2"/>
      </rPr>
      <t>This also includes emissions from EPA category "Land Converted to Flooded Lands"</t>
    </r>
  </si>
  <si>
    <r>
      <rPr>
        <i/>
        <vertAlign val="superscript"/>
        <sz val="12"/>
        <rFont val="Aptos"/>
        <family val="2"/>
      </rPr>
      <t xml:space="preserve">d </t>
    </r>
    <r>
      <rPr>
        <sz val="12"/>
        <rFont val="Aptos"/>
        <family val="2"/>
      </rPr>
      <t>Emissions for Other Land (including Land Converted to Other Land) are have not been estimated and are assumed to be zero, following EPA's approach for the national GHG inventory.</t>
    </r>
  </si>
  <si>
    <t>State GHG Emissions and Removals | US EPA</t>
  </si>
  <si>
    <r>
      <t xml:space="preserve">Source for all categories </t>
    </r>
    <r>
      <rPr>
        <i/>
        <sz val="12"/>
        <color theme="1"/>
        <rFont val="Aptos"/>
        <family val="2"/>
      </rPr>
      <t>except</t>
    </r>
    <r>
      <rPr>
        <sz val="12"/>
        <color theme="1"/>
        <rFont val="Aptos"/>
        <family val="2"/>
      </rPr>
      <t xml:space="preserve"> where noted: EPA State GHG Emissions and Removals (1990-2023).</t>
    </r>
  </si>
  <si>
    <t>Table Notes</t>
  </si>
  <si>
    <r>
      <t>CO</t>
    </r>
    <r>
      <rPr>
        <b/>
        <vertAlign val="subscript"/>
        <sz val="16"/>
        <rFont val="Aptos"/>
        <family val="2"/>
      </rPr>
      <t>2</t>
    </r>
    <r>
      <rPr>
        <b/>
        <sz val="16"/>
        <rFont val="Aptos"/>
        <family val="2"/>
      </rPr>
      <t xml:space="preserve"> Emissions from Combustion of Fossil Fuels - MA Summary</t>
    </r>
    <r>
      <rPr>
        <b/>
        <sz val="16"/>
        <color rgb="FFFF0000"/>
        <rFont val="Aptos"/>
        <family val="2"/>
      </rPr>
      <t xml:space="preserve"> </t>
    </r>
  </si>
  <si>
    <r>
      <t>CH</t>
    </r>
    <r>
      <rPr>
        <vertAlign val="subscript"/>
        <sz val="12"/>
        <color indexed="8"/>
        <rFont val="Aptos"/>
        <family val="2"/>
      </rPr>
      <t>4</t>
    </r>
  </si>
  <si>
    <r>
      <t>N</t>
    </r>
    <r>
      <rPr>
        <vertAlign val="subscript"/>
        <sz val="12"/>
        <color indexed="8"/>
        <rFont val="Aptos"/>
        <family val="2"/>
      </rPr>
      <t>2</t>
    </r>
    <r>
      <rPr>
        <sz val="12"/>
        <color theme="1"/>
        <rFont val="Aptos"/>
        <family val="2"/>
      </rPr>
      <t>O</t>
    </r>
  </si>
  <si>
    <r>
      <t>SF</t>
    </r>
    <r>
      <rPr>
        <vertAlign val="subscript"/>
        <sz val="12"/>
        <color theme="1"/>
        <rFont val="Aptos"/>
        <family val="2"/>
      </rPr>
      <t>6</t>
    </r>
  </si>
  <si>
    <r>
      <t>CO</t>
    </r>
    <r>
      <rPr>
        <vertAlign val="subscript"/>
        <sz val="12"/>
        <rFont val="Aptos"/>
        <family val="2"/>
      </rPr>
      <t>2</t>
    </r>
    <r>
      <rPr>
        <sz val="12"/>
        <rFont val="Aptos"/>
        <family val="2"/>
      </rPr>
      <t xml:space="preserve"> </t>
    </r>
  </si>
  <si>
    <r>
      <t>CH</t>
    </r>
    <r>
      <rPr>
        <vertAlign val="subscript"/>
        <sz val="12"/>
        <rFont val="Aptos"/>
        <family val="2"/>
      </rPr>
      <t xml:space="preserve">4 </t>
    </r>
  </si>
  <si>
    <r>
      <t>N</t>
    </r>
    <r>
      <rPr>
        <vertAlign val="subscript"/>
        <sz val="12"/>
        <rFont val="Aptos"/>
        <family val="2"/>
      </rPr>
      <t>2</t>
    </r>
    <r>
      <rPr>
        <sz val="12"/>
        <rFont val="Aptos"/>
        <family val="2"/>
      </rPr>
      <t xml:space="preserve">O </t>
    </r>
  </si>
  <si>
    <t xml:space="preserve"> 2007 Fourth Assessment Report (AR4), 100-year</t>
  </si>
  <si>
    <t xml:space="preserve"> 2007 Fourth Assessment Report (AR4), 20-year</t>
  </si>
  <si>
    <t xml:space="preserve"> 2014 Fifth Assessment Report (AR5), 100-year</t>
  </si>
  <si>
    <t xml:space="preserve"> 2014 Fifth Assessment Report (AR5), 20-year</t>
  </si>
  <si>
    <t xml:space="preserve"> 2021 Sixth Assessment Report (AR6), 100-year</t>
  </si>
  <si>
    <t xml:space="preserve"> 2021 Sixth Assessment Report (AR6), 20-year</t>
  </si>
  <si>
    <r>
      <t>CO</t>
    </r>
    <r>
      <rPr>
        <b/>
        <vertAlign val="subscript"/>
        <sz val="12"/>
        <rFont val="Aptos"/>
        <family val="2"/>
      </rPr>
      <t>2</t>
    </r>
    <r>
      <rPr>
        <b/>
        <sz val="12"/>
        <rFont val="Aptos"/>
        <family val="2"/>
      </rPr>
      <t xml:space="preserve"> Total</t>
    </r>
  </si>
  <si>
    <r>
      <t>CH</t>
    </r>
    <r>
      <rPr>
        <b/>
        <vertAlign val="subscript"/>
        <sz val="12"/>
        <rFont val="Aptos"/>
        <family val="2"/>
      </rPr>
      <t>4</t>
    </r>
    <r>
      <rPr>
        <b/>
        <sz val="12"/>
        <rFont val="Aptos"/>
        <family val="2"/>
      </rPr>
      <t xml:space="preserve"> Total</t>
    </r>
  </si>
  <si>
    <r>
      <t>CO</t>
    </r>
    <r>
      <rPr>
        <vertAlign val="subscript"/>
        <sz val="12"/>
        <rFont val="Aptos"/>
        <family val="2"/>
      </rPr>
      <t>2</t>
    </r>
    <r>
      <rPr>
        <sz val="12"/>
        <rFont val="Aptos"/>
        <family val="2"/>
      </rPr>
      <t xml:space="preserve"> Total</t>
    </r>
  </si>
  <si>
    <r>
      <t>CH</t>
    </r>
    <r>
      <rPr>
        <vertAlign val="subscript"/>
        <sz val="12"/>
        <rFont val="Aptos"/>
        <family val="2"/>
      </rPr>
      <t>4</t>
    </r>
    <r>
      <rPr>
        <sz val="12"/>
        <rFont val="Aptos"/>
        <family val="2"/>
      </rPr>
      <t xml:space="preserve"> Total</t>
    </r>
  </si>
  <si>
    <r>
      <t>N</t>
    </r>
    <r>
      <rPr>
        <vertAlign val="subscript"/>
        <sz val="12"/>
        <rFont val="Aptos"/>
        <family val="2"/>
      </rPr>
      <t>2</t>
    </r>
    <r>
      <rPr>
        <sz val="12"/>
        <rFont val="Aptos"/>
        <family val="2"/>
      </rPr>
      <t>O Total</t>
    </r>
  </si>
  <si>
    <r>
      <t>CO</t>
    </r>
    <r>
      <rPr>
        <vertAlign val="subscript"/>
        <sz val="12"/>
        <rFont val="Aptos"/>
        <family val="2"/>
      </rPr>
      <t>2</t>
    </r>
    <r>
      <rPr>
        <sz val="12"/>
        <rFont val="Aptos"/>
        <family val="2"/>
      </rPr>
      <t xml:space="preserve"> (Metric Tons CO</t>
    </r>
    <r>
      <rPr>
        <vertAlign val="subscript"/>
        <sz val="12"/>
        <rFont val="Aptos"/>
        <family val="2"/>
      </rPr>
      <t>2</t>
    </r>
    <r>
      <rPr>
        <sz val="12"/>
        <rFont val="Aptos"/>
        <family val="2"/>
      </rPr>
      <t>)</t>
    </r>
  </si>
  <si>
    <r>
      <t>CH</t>
    </r>
    <r>
      <rPr>
        <vertAlign val="subscript"/>
        <sz val="12"/>
        <rFont val="Aptos"/>
        <family val="2"/>
      </rPr>
      <t xml:space="preserve">4 </t>
    </r>
    <r>
      <rPr>
        <sz val="12"/>
        <rFont val="Aptos"/>
        <family val="2"/>
      </rPr>
      <t>(Metric Tons CH</t>
    </r>
    <r>
      <rPr>
        <vertAlign val="subscript"/>
        <sz val="12"/>
        <rFont val="Aptos"/>
        <family val="2"/>
      </rPr>
      <t>4</t>
    </r>
    <r>
      <rPr>
        <sz val="12"/>
        <rFont val="Aptos"/>
        <family val="2"/>
      </rPr>
      <t>)</t>
    </r>
  </si>
  <si>
    <r>
      <t>N</t>
    </r>
    <r>
      <rPr>
        <vertAlign val="subscript"/>
        <sz val="12"/>
        <rFont val="Aptos"/>
        <family val="2"/>
      </rPr>
      <t>2</t>
    </r>
    <r>
      <rPr>
        <sz val="12"/>
        <rFont val="Aptos"/>
        <family val="2"/>
      </rPr>
      <t>O (Metric Tons N</t>
    </r>
    <r>
      <rPr>
        <vertAlign val="subscript"/>
        <sz val="12"/>
        <rFont val="Aptos"/>
        <family val="2"/>
      </rPr>
      <t>2</t>
    </r>
    <r>
      <rPr>
        <sz val="12"/>
        <rFont val="Aptos"/>
        <family val="2"/>
      </rPr>
      <t>O)</t>
    </r>
  </si>
  <si>
    <t>2023 MA GHG Emissions by Gas</t>
  </si>
  <si>
    <t>2023 Methane Emissions in MA: Overlay</t>
  </si>
  <si>
    <t>2023 Methane Emissions in MA: by Sector</t>
  </si>
  <si>
    <t>2023 Methane Emissions in MA: Combustion and Non-Combustion</t>
  </si>
  <si>
    <t>Bcf</t>
  </si>
  <si>
    <t>For detailed methods and discussion:</t>
  </si>
  <si>
    <r>
      <t>Harvested Wood Products Carbon Stock Change</t>
    </r>
    <r>
      <rPr>
        <vertAlign val="superscript"/>
        <sz val="12"/>
        <rFont val="Aptos"/>
        <family val="2"/>
      </rPr>
      <t>a</t>
    </r>
  </si>
  <si>
    <r>
      <t>Wetlands Remaining Wetlands</t>
    </r>
    <r>
      <rPr>
        <b/>
        <vertAlign val="superscript"/>
        <sz val="12"/>
        <rFont val="Aptos"/>
        <family val="2"/>
      </rPr>
      <t>b</t>
    </r>
  </si>
  <si>
    <r>
      <t>Land Converted to Wetlands</t>
    </r>
    <r>
      <rPr>
        <b/>
        <vertAlign val="superscript"/>
        <sz val="12"/>
        <rFont val="Aptos"/>
        <family val="2"/>
      </rPr>
      <t>c</t>
    </r>
  </si>
  <si>
    <r>
      <t>Other Land</t>
    </r>
    <r>
      <rPr>
        <b/>
        <vertAlign val="superscript"/>
        <sz val="12"/>
        <color rgb="FFF2F2F2"/>
        <rFont val="Aptos"/>
        <family val="2"/>
      </rPr>
      <t>d</t>
    </r>
  </si>
  <si>
    <t>Natural Gas Systems Total</t>
  </si>
  <si>
    <t>Post-Meter</t>
  </si>
  <si>
    <t>Distribution</t>
  </si>
  <si>
    <t>Number of MA Customers</t>
  </si>
  <si>
    <t>Data source: EIA</t>
  </si>
  <si>
    <t>Data sources: Mains Total + Miles of Services Total for 1990-2009, from PHMSA for 2010+</t>
  </si>
  <si>
    <t>Data source: PHMSA</t>
  </si>
  <si>
    <t>Number of Services</t>
  </si>
  <si>
    <t>Miles of Pipeline</t>
  </si>
  <si>
    <t>For Blowdowns and Mishaps</t>
  </si>
  <si>
    <t>TOTAL (Miles of Pipeline + Miles of Services)</t>
  </si>
  <si>
    <t>Miles of Services (for each company 1990-2009)</t>
  </si>
  <si>
    <t>Total Post-Meter Methane Leak Emissions</t>
  </si>
  <si>
    <t>Services - Unprotected Steel includes Cast/Wrought/Ductile Iron and Other</t>
  </si>
  <si>
    <t>Natural Gas used by Industry</t>
  </si>
  <si>
    <t>Segment</t>
  </si>
  <si>
    <t>conversion factor for kilograms to metric tons</t>
  </si>
  <si>
    <t>Pipeline (and for Pipeline Venting)</t>
  </si>
  <si>
    <t>Station Totals (and for Station Venting)</t>
  </si>
  <si>
    <t>LNG Stations (eq. leaks, compressors, flares, blowdowns)</t>
  </si>
  <si>
    <t>LNG Import Terminals (eq. leaks, compressors, flares, blowdowns)</t>
  </si>
  <si>
    <t>Pipeline (Transmission)</t>
  </si>
  <si>
    <t>Distrigas has operated continuously. Operation of the 2 offshore terminals [Northeast Gateway/Excelerate and Neptune/ENGIE] determined by EIA-176 data.</t>
  </si>
  <si>
    <t>2021: 6 pneumatic intermittent-bleed devices from Weymouth.</t>
  </si>
  <si>
    <t>2000: Whately - new in 2000</t>
  </si>
  <si>
    <t>2011 Reciprocation Compressor: The change from 3 to 1 reciprocating compressor probably happened in earlier years but we do not have data. (FLIGHT began in 2011)</t>
  </si>
  <si>
    <t>Station Venting (Transmission)</t>
  </si>
  <si>
    <t>Pipeline venting (Routine Maintenance/Upsets)</t>
  </si>
  <si>
    <t>Station Totals (used 1990-2010)</t>
  </si>
  <si>
    <t>Station + Compressors (used beginning 2011)</t>
  </si>
  <si>
    <t>Reciprocating Compressor (used beginning 2011)</t>
  </si>
  <si>
    <t>Pneumatic Devices Transmission (used 1990-2010)</t>
  </si>
  <si>
    <t>Centrifugal Compressor (wet seals) (used beginning 2011)</t>
  </si>
  <si>
    <t>Centrifugal Compressor (dry seals) (used beginning 2011)</t>
  </si>
  <si>
    <t>Beginning 2016, pipeline miles subtracted for companies that report to EPA FLIGHT and methane emissions from transmission pipeline venting reported to FLIGHT are added back in.</t>
  </si>
  <si>
    <t>Beginning 2015, number of stations is subtracted for stations that report to EPA FLIGHT and methane emissions from station venting reported to FLIGHT are added back in.</t>
  </si>
  <si>
    <t xml:space="preserve">Beginning 2015, number of stations is subtracted for stations that report to EPA FLIGHT and methane emissions from Other Station Leaks reported to FLIGHT are added back in. </t>
  </si>
  <si>
    <t>Beginning 2015, number of reciprocating compressors is subtracted for stations that report to EPA FLIGHT and methane emissions from compressor leaks reported to FLIGHT are added back in.</t>
  </si>
  <si>
    <t xml:space="preserve">Beginning 2015, number of centrifugal wet seal compressors is subtracted for stations that report to EPA FLIGHT and methane emissions from centrifugal wet seal compressor leaks reported to FLIGHT are added back in. </t>
  </si>
  <si>
    <t xml:space="preserve">Beginning 2015, number of centrifugal dry seal compressors is subtracted for stations that report to EPA FLIGHT and methane emissions from centrifugal dry seal compressor leaks reported to FLIGHT are added back in. </t>
  </si>
  <si>
    <t>GHGI emission factors are used for all pneumatic devices since the emissions reported to FLIGHT use the same per device EF.</t>
  </si>
  <si>
    <t>(High Bleed) (used beginning 2011)</t>
  </si>
  <si>
    <t>(Intermittent Bleed) (used beginning 2011)</t>
  </si>
  <si>
    <t>(Low Bleed) (used beginning 2011)</t>
  </si>
  <si>
    <t>Total Transmission and Storage Methane Leak Emissions</t>
  </si>
  <si>
    <t xml:space="preserve">Beginning 2011, number of terminals is subtracted for terminals that report to EPA FLIGHT and methane emissions from terminal blowdowns reported to FLIGHT are added back in. </t>
  </si>
  <si>
    <t xml:space="preserve">Beginning 2014, number of terminals is subtracted for terminals that report to EPA FLIGHT and methane emissions from terminal leaks reported to FLIGHT are added back in. </t>
  </si>
  <si>
    <t xml:space="preserve"> 2011: Switch to equipment-specific values where available.</t>
  </si>
  <si>
    <t>Beginning 2016, pipeline miles subtracted for companies that report to EPA FLIGHT and carbon dioxide emissions from transmission pipeline venting reported to FLIGHT are added back in.</t>
  </si>
  <si>
    <t>Electric Sector Emissions from Waste Combustion</t>
  </si>
  <si>
    <t>lbs per kilogram</t>
  </si>
  <si>
    <t>Conversion Factors</t>
  </si>
  <si>
    <t>Value</t>
  </si>
  <si>
    <t>Emission and Conversion Factors for combustion of industrial MSW (2 Tables)</t>
  </si>
  <si>
    <t>kg/MMBTU</t>
  </si>
  <si>
    <t>lb/MMBTU</t>
  </si>
  <si>
    <t>EPA GHG Reporting Table C-1 for 1990</t>
  </si>
  <si>
    <t>IPCC Emission Factors (HHV) for 1990</t>
  </si>
  <si>
    <t>lb per kilogram</t>
  </si>
  <si>
    <t xml:space="preserve">Emission Factors for municipal solid waste </t>
  </si>
  <si>
    <t>EPA GHG Reporting Table C-1 and C-2 for 1991+</t>
  </si>
  <si>
    <t>BBTU</t>
  </si>
  <si>
    <t>MMBTU</t>
  </si>
  <si>
    <t>lb</t>
  </si>
  <si>
    <t>Heat Input Consumed</t>
  </si>
  <si>
    <r>
      <t>CH</t>
    </r>
    <r>
      <rPr>
        <vertAlign val="subscript"/>
        <sz val="12"/>
        <color indexed="8"/>
        <rFont val="Aptos"/>
        <family val="2"/>
      </rPr>
      <t>4</t>
    </r>
    <r>
      <rPr>
        <sz val="12"/>
        <color indexed="8"/>
        <rFont val="Aptos"/>
        <family val="2"/>
      </rPr>
      <t xml:space="preserve"> and N</t>
    </r>
    <r>
      <rPr>
        <vertAlign val="subscript"/>
        <sz val="12"/>
        <color indexed="8"/>
        <rFont val="Aptos"/>
        <family val="2"/>
      </rPr>
      <t>2</t>
    </r>
    <r>
      <rPr>
        <sz val="12"/>
        <color indexed="8"/>
        <rFont val="Aptos"/>
        <family val="2"/>
      </rPr>
      <t>O from MSB are calculated on the Solid Waste tab for the Industrial Sector.</t>
    </r>
  </si>
  <si>
    <r>
      <t>CH</t>
    </r>
    <r>
      <rPr>
        <b/>
        <vertAlign val="subscript"/>
        <sz val="12"/>
        <rFont val="Aptos"/>
        <family val="2"/>
      </rPr>
      <t>4</t>
    </r>
  </si>
  <si>
    <r>
      <t>N</t>
    </r>
    <r>
      <rPr>
        <b/>
        <vertAlign val="subscript"/>
        <sz val="12"/>
        <rFont val="Aptos"/>
        <family val="2"/>
      </rPr>
      <t>2</t>
    </r>
    <r>
      <rPr>
        <b/>
        <sz val="12"/>
        <rFont val="Aptos"/>
        <family val="2"/>
      </rPr>
      <t>O</t>
    </r>
  </si>
  <si>
    <t>Biogenic Combustion Calculations for: Electric, Commercial, Industrial, Residential, Transportation and Wastewater Sectors</t>
  </si>
  <si>
    <t>Biogenic Fuels include: Wood (WD), Landfill Gas (LFG), the Biomass component of Municipal Solid Waste (MSB), Ethanol (EM), Biodiesel (BD) and Other Biogas (OBG)</t>
  </si>
  <si>
    <t>Heat Input</t>
  </si>
  <si>
    <t>Heat Input is from SEDS (WDEIB from 1990-2012) and Form 923 (2013+).</t>
  </si>
  <si>
    <t>1990-1998 MSB heat input values were calculated from EIA 867 MSW values using EIA national MSN/MSB split (6 facilities; MSW does not include Tires)</t>
  </si>
  <si>
    <t>Beginning 2001 EIA 923 provides MSB data directly as MSW/MLG code through 2004 (Non Biogenic is MSW/OTH) and MSB beginning 2005.</t>
  </si>
  <si>
    <t>For 1999-2000 there is no data available so MSB was calculated using 2001 MSW value and 1998 EIA national MSN/MSB splits. So ALL 1990-2009 calcs here are from 923 data (6 electricity generating MWCs only.)</t>
  </si>
  <si>
    <t>There is no heat input data for 1999-2000 so the average of 1998 and 2001 is shown.</t>
  </si>
  <si>
    <t>Heat Input (SEDS WDICB)</t>
  </si>
  <si>
    <t>Heat Input (SEDS EMCCB)</t>
  </si>
  <si>
    <t>Heat Input (SEDS WDCCB)</t>
  </si>
  <si>
    <t>Beginning 2001, EIA 923 LFG heat input is used.</t>
  </si>
  <si>
    <t>Heat Input (from Solid Waste tab)</t>
  </si>
  <si>
    <t>The last Industrial sector MSW facility shut down in 2022.</t>
  </si>
  <si>
    <t>Heat Input (SEDS EMICB)</t>
  </si>
  <si>
    <t>Heat Input (SEDS WDRCB)</t>
  </si>
  <si>
    <t>Heat Input (SEDS 1/2 BDACB)</t>
  </si>
  <si>
    <t>Heat input for the Residential Sector is 50% of all Biodiesel from SEDS (BDACB).</t>
  </si>
  <si>
    <t>Heat Input (SEDS EMACB)</t>
  </si>
  <si>
    <t>Heat input for the Transportation Sector is 50% of all Biodiesel from SEDS (BDACB).</t>
  </si>
  <si>
    <t>Heat Input is from 923 (OBG 2000-2004) and from MWRA beginning 2005</t>
  </si>
  <si>
    <t>Heat Input (from MWRA beginning 2005)</t>
  </si>
  <si>
    <t>Emission Factors are from EPA GHG Reporting Rule Table C-1 and C-2 to Subpart C of 40 CFR Part 98 published in 2023 except where noted.</t>
  </si>
  <si>
    <t>NMISA Generation (MWh)</t>
  </si>
  <si>
    <t>ISO ME Generation (MWh)</t>
  </si>
  <si>
    <t>Total ME Generation (MWh)</t>
  </si>
  <si>
    <t>Environment Canada, National Inventory Report, 1990-2013: Greenhouse Gas Sources and Sinks in Canada (April 2015), Tables A11-5 and -6: Electricity Generation and GHG Emission Details for each province.</t>
  </si>
  <si>
    <t>Average % (2000 to 2008)</t>
  </si>
  <si>
    <t>ISO Generation data was used for New England States 2000-2008. ISO Load data was used for New England States for 1990-2008.</t>
  </si>
  <si>
    <t>ISO ME Generation data from ISO-NE.</t>
  </si>
  <si>
    <t>NMISA Generation data from NMISA on 4/3/2009.</t>
  </si>
  <si>
    <t>Average EF (2000 to 2008)</t>
  </si>
  <si>
    <t>No data available 1990-1999</t>
  </si>
  <si>
    <t>ISO Adjusted</t>
  </si>
  <si>
    <t>MA Basic Information (Columns B through G)</t>
  </si>
  <si>
    <t>MA Share of NE Imports (Columns I and J)</t>
  </si>
  <si>
    <t>MA Emissions from Extra-NE Imports (Columns O through R)</t>
  </si>
  <si>
    <t>EPA + EIA (manual entering into SIT)</t>
  </si>
  <si>
    <t>ISO + EPA + EIA (manual entering into SIT)</t>
  </si>
  <si>
    <t>Calculation of an Average EF for Extra-NE Imports (All Gases) for 1990-1999</t>
  </si>
  <si>
    <t>A placeholder average was used as the emissions factor for extra-NE imports in the years 1990-1999 (Calculation of an Average EF for Extra-NE Emissions).</t>
  </si>
  <si>
    <t>ME (Columns V through AF)</t>
  </si>
  <si>
    <t>NH (Columns AH through AR)</t>
  </si>
  <si>
    <t>VT (Columns AT through BD)</t>
  </si>
  <si>
    <t>CT (Columns BF through BP)</t>
  </si>
  <si>
    <t>RI (Columns BR through CB)</t>
  </si>
  <si>
    <t>NY (Columns CD through CN)</t>
  </si>
  <si>
    <t>NB (Columns CP through CT)</t>
  </si>
  <si>
    <t>Quebec (Columns CV through CZ)</t>
  </si>
  <si>
    <t>New England (Columns DB through DJ)</t>
  </si>
  <si>
    <t>MA</t>
  </si>
  <si>
    <t>MA Total Imports (MWh) - Assigned (Columns K through M)</t>
  </si>
  <si>
    <t>SAR</t>
  </si>
  <si>
    <t>GWP used</t>
  </si>
  <si>
    <t>Appendix D</t>
  </si>
  <si>
    <t>Appendix E</t>
  </si>
  <si>
    <t>Appendix F</t>
  </si>
  <si>
    <t>Appendix G</t>
  </si>
  <si>
    <t>Appendix H</t>
  </si>
  <si>
    <t>Appendix I</t>
  </si>
  <si>
    <t>Appendix J</t>
  </si>
  <si>
    <t>Appendix K</t>
  </si>
  <si>
    <t>Appendix L</t>
  </si>
  <si>
    <t>Appendix M</t>
  </si>
  <si>
    <t>Appendix N</t>
  </si>
  <si>
    <t>Appendix O</t>
  </si>
  <si>
    <t>Appendix P</t>
  </si>
  <si>
    <t>Appendix Q</t>
  </si>
  <si>
    <t>Appendix R</t>
  </si>
  <si>
    <t>Appendix S</t>
  </si>
  <si>
    <t>Appendix T</t>
  </si>
  <si>
    <t>Appendix U</t>
  </si>
  <si>
    <t>Appendix V</t>
  </si>
  <si>
    <t>Appendix W</t>
  </si>
  <si>
    <t>Appendix X</t>
  </si>
  <si>
    <t>Appendix Y</t>
  </si>
  <si>
    <t>Appendix Z</t>
  </si>
  <si>
    <t>Industrial Sector Emissions from Waste Combustion (1990-2022)</t>
  </si>
  <si>
    <t>Sector/Fuel Type</t>
  </si>
  <si>
    <t>Sector/Specific Fuel</t>
  </si>
  <si>
    <t>Sector/Gas</t>
  </si>
  <si>
    <t>Sector</t>
  </si>
  <si>
    <t>Jan. 2025</t>
  </si>
  <si>
    <t>Sept. 2025</t>
  </si>
  <si>
    <t>Version</t>
  </si>
  <si>
    <t>EPA State-Level</t>
  </si>
  <si>
    <t>1991+</t>
  </si>
  <si>
    <t>Data Source</t>
  </si>
  <si>
    <t>SIT Wastewater</t>
  </si>
  <si>
    <t>1991-1999</t>
  </si>
  <si>
    <t>2000+</t>
  </si>
  <si>
    <t>Methodology</t>
  </si>
  <si>
    <t>this tab</t>
  </si>
  <si>
    <t>2010+</t>
  </si>
  <si>
    <t>EPA FLIGHT</t>
  </si>
  <si>
    <t>Gas/Subsector</t>
  </si>
  <si>
    <t>Sector/Fuel</t>
  </si>
  <si>
    <t>Sector/Subsector/Category</t>
  </si>
  <si>
    <t>1990+</t>
  </si>
  <si>
    <t>Information on Worksheet</t>
  </si>
  <si>
    <t>Sector/Subcategory</t>
  </si>
  <si>
    <t>Gas</t>
  </si>
  <si>
    <t>1991+ Emission Factors</t>
  </si>
  <si>
    <t>EPA GHGI Annex 3.6</t>
  </si>
  <si>
    <t>1990 Emission Factors</t>
  </si>
  <si>
    <t>as noted</t>
  </si>
  <si>
    <t>NOTES on Variables and Values for Updates</t>
  </si>
  <si>
    <t>Emissions from Natural Gas Systems - MA Summary and Distribution and Post-Meter Emissions</t>
  </si>
  <si>
    <t>lbs per kilogram (for 1990)</t>
  </si>
  <si>
    <t>1990*</t>
  </si>
  <si>
    <t>SIT CO2FFC</t>
  </si>
  <si>
    <t>SIT Mobile</t>
  </si>
  <si>
    <t>SIT Stationary</t>
  </si>
  <si>
    <t>SIT IP</t>
  </si>
  <si>
    <t>SIT Agriculture</t>
  </si>
  <si>
    <t>SIT Solid Waste</t>
  </si>
  <si>
    <t>Population Data and Calculations for Updated Methodology (beginning 2000)</t>
  </si>
  <si>
    <t>Category</t>
  </si>
  <si>
    <t>GHG/Subsector</t>
  </si>
  <si>
    <t>Distribution: Miles of Pipeline</t>
  </si>
  <si>
    <t>Distribution: Number of Services</t>
  </si>
  <si>
    <r>
      <t>Fuel Combustion CO</t>
    </r>
    <r>
      <rPr>
        <vertAlign val="subscript"/>
        <sz val="12"/>
        <rFont val="Aptos"/>
        <family val="2"/>
      </rPr>
      <t>2</t>
    </r>
    <r>
      <rPr>
        <sz val="12"/>
        <rFont val="Aptos"/>
        <family val="2"/>
      </rPr>
      <t xml:space="preserve"> Emissions by Sector</t>
    </r>
  </si>
  <si>
    <r>
      <t>Fuel Combustion CO</t>
    </r>
    <r>
      <rPr>
        <vertAlign val="subscript"/>
        <sz val="12"/>
        <rFont val="Aptos"/>
        <family val="2"/>
      </rPr>
      <t>2</t>
    </r>
    <r>
      <rPr>
        <sz val="12"/>
        <rFont val="Aptos"/>
        <family val="2"/>
      </rPr>
      <t xml:space="preserve"> Emissions as Total and by Sector</t>
    </r>
  </si>
  <si>
    <r>
      <t>N</t>
    </r>
    <r>
      <rPr>
        <b/>
        <vertAlign val="subscript"/>
        <sz val="12"/>
        <rFont val="Aptos"/>
        <family val="2"/>
      </rPr>
      <t>2</t>
    </r>
    <r>
      <rPr>
        <b/>
        <sz val="12"/>
        <rFont val="Aptos"/>
        <family val="2"/>
      </rPr>
      <t>O Total</t>
    </r>
  </si>
  <si>
    <t>Algonquin data not available in FLIGHT after 2021.</t>
  </si>
  <si>
    <t>Algonquin Gas Pipeline (2016-2021)</t>
  </si>
  <si>
    <t>Tennessee Gas Pipeline (Begins 2016)</t>
  </si>
  <si>
    <t>Total Transmission Pipeline (Begins 2016)</t>
  </si>
  <si>
    <t>2023 GHG Emissions by Gas in MA</t>
  </si>
  <si>
    <t>Sector/Subsector</t>
  </si>
  <si>
    <t>Agawam (Begins 2015)</t>
  </si>
  <si>
    <t>Charlton (Begins 2015)</t>
  </si>
  <si>
    <t>Mendon (2016-2021)</t>
  </si>
  <si>
    <t>Blowdowns (Begins 2011)</t>
  </si>
  <si>
    <t>Blowdown Emissions (Begins 2011)</t>
  </si>
  <si>
    <t>Emissions from Other Leaks (Begins 2014)</t>
  </si>
  <si>
    <t>LNG Import Terminals reporting to FLIGHT (Begins 1990)</t>
  </si>
  <si>
    <t>Compressor (Gas Service, vapor Recovery Compressor) - Emissions from Source (Begins 2014)</t>
  </si>
  <si>
    <t>Other leaks (valves, connectors, pumps, seals, other) (Begins 2014)</t>
  </si>
  <si>
    <t xml:space="preserve">2011: Switch to equipment-specific values where available. </t>
  </si>
  <si>
    <t>kilograms to metric tons</t>
  </si>
  <si>
    <t>Return to Contents Worksheet</t>
  </si>
  <si>
    <t>MA Greenhouse Gas Baseline and Inventory</t>
  </si>
  <si>
    <t>Summary Worksheet</t>
  </si>
  <si>
    <t>Adjustable GWP Summary Worksheet</t>
  </si>
  <si>
    <t>Summary by Gas Worksheet</t>
  </si>
  <si>
    <t>Sector Sublimits Worksheet</t>
  </si>
  <si>
    <t>Process Worksheet</t>
  </si>
  <si>
    <t>Combustion CO2 Worksheet</t>
  </si>
  <si>
    <t>Stationary CH4 and N2O Worksheet</t>
  </si>
  <si>
    <t>Mobile CH4 and N2O Worksheet</t>
  </si>
  <si>
    <t>Industrial Process Worksheet</t>
  </si>
  <si>
    <t>Agriculture Worksheet</t>
  </si>
  <si>
    <t>Wastewater Worksheet</t>
  </si>
  <si>
    <t>Solid Waste Worksheet</t>
  </si>
  <si>
    <t>Biogenic Summary Worksheet</t>
  </si>
  <si>
    <t>Biogenic Combustion Worksheet</t>
  </si>
  <si>
    <t>MA 2025 and 2030 GHG Emission Limits and Sublimits Letter of Determination</t>
  </si>
  <si>
    <t>IPCC Reports, Time Horizons and Global Warming Potentials</t>
  </si>
  <si>
    <t>Year, IPCC Report and Time Horizon</t>
  </si>
  <si>
    <t>Adjustable Summary of Massachusetts Emissions by Greenhouse Gas</t>
  </si>
  <si>
    <t>Summary of Massachusetts Emissions by Greenhouse Gas</t>
  </si>
  <si>
    <t>Summary of Massachusetts Greenhouse Gas Emissions</t>
  </si>
  <si>
    <t>Sector/Subsector/Percent Change/Sublimits</t>
  </si>
  <si>
    <t>Statement of Compliance with 2020 Limit</t>
  </si>
  <si>
    <t>Go to Data on Stationary CH4 and N2O Worksheet</t>
  </si>
  <si>
    <t>Massachusetts Clean Energy and Climate Plan for 2050 (December 21, 2022):</t>
  </si>
  <si>
    <t>Massachusetts Clean Energy and Climate Plan for 2025 and 2030 (June 30, 2022):</t>
  </si>
  <si>
    <t>Clean Energy and Climate Plan for 2050</t>
  </si>
  <si>
    <t>Clean Energy and Climate Plan for 2025 and 2030</t>
  </si>
  <si>
    <t>Letter of Determination for 2025 and 2030 Limits and Sector Sublimits (June 30, 2022):</t>
  </si>
  <si>
    <t>Summary Tables</t>
  </si>
  <si>
    <t>Data Input Tables</t>
  </si>
  <si>
    <t>Data Input Tables/Summary Tables</t>
  </si>
  <si>
    <t>Data Input Tables/Calculations</t>
  </si>
  <si>
    <t>Aircraft (Domestic) 1990: Value will be 36,762 with corrections to international/domestic jet fuel split (which have already been implemented for 1991+)</t>
  </si>
  <si>
    <r>
      <t>Biogenic CO</t>
    </r>
    <r>
      <rPr>
        <b/>
        <vertAlign val="subscript"/>
        <sz val="16"/>
        <rFont val="Aptos"/>
        <family val="2"/>
      </rPr>
      <t>2</t>
    </r>
    <r>
      <rPr>
        <b/>
        <sz val="16"/>
        <rFont val="Aptos"/>
        <family val="2"/>
      </rPr>
      <t xml:space="preserve"> Emissions from Combustion - MA Summary</t>
    </r>
  </si>
  <si>
    <t>Electricity Import Emissions - MA Summary and 1990-2000 Emissions Calculations</t>
  </si>
  <si>
    <t>Emissions from Wastewater - MA Summary and Emissions Calculations beginning 2000</t>
  </si>
  <si>
    <t>Emissions from Municipal Solid Waste (MSW) - MA Summary and Calculations for Landfills and Combustion</t>
  </si>
  <si>
    <t>IPCC AR4 100-Year GWPs</t>
  </si>
  <si>
    <t>Gas/Info</t>
  </si>
  <si>
    <t>Other Process Uses of Carbonates*</t>
  </si>
  <si>
    <t>Non-EOR Carbon Dioxide Utilization**</t>
  </si>
  <si>
    <t>Carbon Dioxide Emissions Total</t>
  </si>
  <si>
    <t>Nitrous Oxide Emissions Total</t>
  </si>
  <si>
    <t>Total Natural Gas used by Industry and Power Plants</t>
  </si>
  <si>
    <t>Residential*</t>
  </si>
  <si>
    <t xml:space="preserve">Residential </t>
  </si>
  <si>
    <t xml:space="preserve">Industrial &amp; Power Plants </t>
  </si>
  <si>
    <t>Electric and Industrial sector: EIA SEDS data specifically NGEIP (electric sector) and NGICP (industrial sector)</t>
  </si>
  <si>
    <t>Natural Gas used by Electric Power Plants</t>
  </si>
  <si>
    <t>Natural Gas used by Vehicles</t>
  </si>
  <si>
    <t>Residential: Natural Gas used by Households</t>
  </si>
  <si>
    <t>Go to NG System Summary Tables</t>
  </si>
  <si>
    <t>Natural Gas System Leak Emissions Summary Tables (3 Tables)</t>
  </si>
  <si>
    <t>NG Distribution Tables</t>
  </si>
  <si>
    <t>NG Distribution Activity Data Tables (5 Tables)</t>
  </si>
  <si>
    <t>IPCC GWP and Conversion factor table</t>
  </si>
  <si>
    <t>NG Post-Meter Activity Data Table</t>
  </si>
  <si>
    <t>NG Post-Meter Tables</t>
  </si>
  <si>
    <t>Material Type</t>
  </si>
  <si>
    <t>Miles</t>
  </si>
  <si>
    <t>Size and Type</t>
  </si>
  <si>
    <t>Link to EIA Number of Natural Gas Customers webpage</t>
  </si>
  <si>
    <t>Type/Material Type</t>
  </si>
  <si>
    <t>Type/Size</t>
  </si>
  <si>
    <t>NG Transmission and Storage Activity Data Tables (5 Tables)</t>
  </si>
  <si>
    <t>Miles of Transmission Pipeline</t>
  </si>
  <si>
    <t>Stations/Compressor Types</t>
  </si>
  <si>
    <t>Compressor Stations</t>
  </si>
  <si>
    <t>Pneumatic Devices</t>
  </si>
  <si>
    <t>Devices/Controller Type</t>
  </si>
  <si>
    <t>Stations</t>
  </si>
  <si>
    <t>Terminals</t>
  </si>
  <si>
    <t>Pipeline and Pipeline Venting</t>
  </si>
  <si>
    <t>LNG Storage Leaks/Blowdowns</t>
  </si>
  <si>
    <t>LNG Import Terminal Leaks/Blowdowns</t>
  </si>
  <si>
    <t>Station and Compressor Total</t>
  </si>
  <si>
    <t>Stations, Compressors and Venting</t>
  </si>
  <si>
    <t>Devices and Controllers</t>
  </si>
  <si>
    <t>Device and Controller Total</t>
  </si>
  <si>
    <t>LNG Station Leaks and Blowdowns</t>
  </si>
  <si>
    <t>LNG Import Terminals Leaks and Blowdowns</t>
  </si>
  <si>
    <t>Pipeline and Blowdown Details</t>
  </si>
  <si>
    <t>Station, Compressor and Blowdown Details</t>
  </si>
  <si>
    <t>Total TGP Compressor Stations (Begins 2015)</t>
  </si>
  <si>
    <t>EPA FLIGHT Subpart W Activity and Emissions Data (2011-2023) (8 Tables)</t>
  </si>
  <si>
    <t>Transmission Pipeline (3 Tables)</t>
  </si>
  <si>
    <t>TGP Compressor Stations (4 Tables)</t>
  </si>
  <si>
    <t>Distrigas LNG Import Terminal (1 Table)</t>
  </si>
  <si>
    <t>Transmission Pipelines (2016-2023) (3 Tables)</t>
  </si>
  <si>
    <t xml:space="preserve">TGP Compressor Stations (2015-2023) (4 Tables) </t>
  </si>
  <si>
    <t>Distrigas LNG Import Station (Begins 2011*) (1 Table)</t>
  </si>
  <si>
    <t>Region or Town</t>
  </si>
  <si>
    <t>Total Population on other AD (Begins 2014)</t>
  </si>
  <si>
    <t xml:space="preserve">Review of industrial landfills indicates only one active (limestone) industrial landfill in MA. Limestone does not decompose, and therefore does not produce methane emissions, so the percent of methane from industrial landfills in the SIT Solid Waste module has been set to zero. </t>
  </si>
  <si>
    <t>MSW Landfill (3 Tables)</t>
  </si>
  <si>
    <t>MSW Combustion: Electric Sector (1 Table)</t>
  </si>
  <si>
    <t>MSW Combustion: Industrial Sector (3 Tables)</t>
  </si>
  <si>
    <t>Gas/Type</t>
  </si>
  <si>
    <t>MSW Combustion: Industrial Sector (1990-2022) (3 Tables)</t>
  </si>
  <si>
    <t>Flare Combustion data from FLIGHT beginning 2010.</t>
  </si>
  <si>
    <t>Emissions from combustion of LFG in flares, engines and turbines at Landfills not already accounted for in Electric sector.</t>
  </si>
  <si>
    <t>Determination of the Biogenic (MSB) and Non-Biogenic (MSN) portions of MSW from Industrial sector (1990-2009)</t>
  </si>
  <si>
    <t>Industrial Sector Emissions (lbs) from Waste Combustion (1990-2009)</t>
  </si>
  <si>
    <t>Sources</t>
  </si>
  <si>
    <t>For EPA SIT Waste module 1990-2009, tons of trash from Covanta Pittsfield removed and included in the Industrial sector tables.</t>
  </si>
  <si>
    <t>EIA Heat Input Consumed (BBtu)*</t>
  </si>
  <si>
    <t xml:space="preserve">1990-1998 values are determined using MSW fuels from EIA 867 Non-Utility Data and calculating MSB and MSN from EIA percentages. </t>
  </si>
  <si>
    <t>Type of Solid Waste</t>
  </si>
  <si>
    <t>EPA FLIGHT data is used beginning 2010.</t>
  </si>
  <si>
    <t>Summary Tables/Data Input Tables/Calculations</t>
  </si>
  <si>
    <t>this worksheet</t>
  </si>
  <si>
    <t xml:space="preserve">Notes: </t>
  </si>
  <si>
    <t>Massachusetts Table: MA Basic Info, MA Import Need, MA Share of NE Imports, MA Total Imports, MA Emissions from Intra-NE Imports, MA Emissions from Extra-NE Imports, MA Electricity Import Emissions, MA Electricity Consumption Emissions (Columns A through T)</t>
  </si>
  <si>
    <t>Intra-ISO-NE Electricity Imports: ME, NH, VT, CT, RI (Columns V through CB)</t>
  </si>
  <si>
    <t>Extra-ISO-NE Electricity Imports: NY, NB, Quebec (Columns CD through CZ)</t>
  </si>
  <si>
    <t>MA electricity consumption emissions based on region-wide generation and imports: New England (Columns DB through DJ)</t>
  </si>
  <si>
    <t>Massachusetts Table (8 Sections beginning Column A)</t>
  </si>
  <si>
    <t>Intra-ISO-NE Electricity Imports (5 Tables beginning Column V)</t>
  </si>
  <si>
    <t>Extra-ISO-NE Electricity Imports (3 Tables beginning Column CD))</t>
  </si>
  <si>
    <t>MA electricity consumption emissions based on region-wide generation and imports (1 Table beginning Column DB)</t>
  </si>
  <si>
    <t>MA Electricity Import Emissions Tables for 1990-2000 (Columns A through DJ)</t>
  </si>
  <si>
    <t>Go to MA Electricity Import Emissions Tables for 1990-2000 (Columns A through DJ)</t>
  </si>
  <si>
    <t>MA Electricity Import Emissions 1990-2000 Tables</t>
  </si>
  <si>
    <t>MA Electricity Import Emissions 1990-2000 Supporting Tables</t>
  </si>
  <si>
    <t>Go to MA Electricity Import Emissions 1990-2000 Supporting Tables</t>
  </si>
  <si>
    <t>EIA Generation Data Adjustment (7 Tables from Column A to AX)</t>
  </si>
  <si>
    <t>Canadian Provinces' Electricity Generation Greenhouse Gas Intensity (2 tables from Column A to G)</t>
  </si>
  <si>
    <t>EIA Annual Generation by State</t>
  </si>
  <si>
    <t>The data was obtained from ISO-NE and EIA websites.</t>
  </si>
  <si>
    <t>ISO-NE Energy, Load, and Demand Reports</t>
  </si>
  <si>
    <t>Whole ISO-NE Adjustment</t>
  </si>
  <si>
    <t>MA Adjustment</t>
  </si>
  <si>
    <t>ME Adjustment</t>
  </si>
  <si>
    <t>NH Adjustment</t>
  </si>
  <si>
    <t>VT Adjustment</t>
  </si>
  <si>
    <t>CT Adjustment</t>
  </si>
  <si>
    <t>RI Adjustment</t>
  </si>
  <si>
    <t>EIA Generation data was used for New England States for 1990-1999 (as adjusted in EIA Generation Data Adjustment tables) and for NY for all years.</t>
  </si>
  <si>
    <t>Electric Sector (3 Tables: Wood, Solid Waste, LFG*)</t>
  </si>
  <si>
    <t>Global Warming Potentials (GWPs)</t>
  </si>
  <si>
    <t>Commercial Sector (3 Tables: Wood, Ethanol*, Other Biogas*)</t>
  </si>
  <si>
    <t>Industrial Sector (3 Tables: Wood, Solid Waste, Ethanol*)</t>
  </si>
  <si>
    <t>Residential Sector (2 Tables: Wood, 1/2 Biodiesel*)</t>
  </si>
  <si>
    <t>Transportation Sector (2 Tables: Ethanol, 1/2 Biodiesel)</t>
  </si>
  <si>
    <t>Wastewater Sector (1 Table: Other Biogas*)</t>
  </si>
  <si>
    <t>Emission Factors by Fuel Type</t>
  </si>
  <si>
    <t>Landfill Gas (LFG) and Other Biogas (OBG)</t>
  </si>
  <si>
    <t>Municipal Solid Waste</t>
  </si>
  <si>
    <t>Municipal Solid Waste (for 1990)*</t>
  </si>
  <si>
    <t>2006 IPCC Guidelines for National Greenhouse Gas Inventories, Volume 2: Energy, Chapter 2: Stationary Combustion</t>
  </si>
  <si>
    <r>
      <t>CH</t>
    </r>
    <r>
      <rPr>
        <vertAlign val="subscript"/>
        <sz val="12"/>
        <color indexed="8"/>
        <rFont val="Aptos"/>
        <family val="2"/>
      </rPr>
      <t>4</t>
    </r>
    <r>
      <rPr>
        <sz val="12"/>
        <color indexed="8"/>
        <rFont val="Aptos"/>
        <family val="2"/>
      </rPr>
      <t xml:space="preserve"> and N</t>
    </r>
    <r>
      <rPr>
        <vertAlign val="subscript"/>
        <sz val="12"/>
        <color indexed="8"/>
        <rFont val="Aptos"/>
        <family val="2"/>
      </rPr>
      <t>2</t>
    </r>
    <r>
      <rPr>
        <sz val="12"/>
        <color indexed="8"/>
        <rFont val="Aptos"/>
        <family val="2"/>
      </rPr>
      <t>O from Wood are calculated in Stationary Combustion for the Electric Sector.</t>
    </r>
  </si>
  <si>
    <t>1993-1998 LF/LFG heat input data is from EIA 867.</t>
  </si>
  <si>
    <r>
      <t>CH</t>
    </r>
    <r>
      <rPr>
        <vertAlign val="subscript"/>
        <sz val="12"/>
        <color indexed="8"/>
        <rFont val="Aptos"/>
        <family val="2"/>
      </rPr>
      <t>4</t>
    </r>
    <r>
      <rPr>
        <sz val="12"/>
        <color indexed="8"/>
        <rFont val="Aptos"/>
        <family val="2"/>
      </rPr>
      <t xml:space="preserve"> and N</t>
    </r>
    <r>
      <rPr>
        <vertAlign val="subscript"/>
        <sz val="12"/>
        <color indexed="8"/>
        <rFont val="Aptos"/>
        <family val="2"/>
      </rPr>
      <t>2</t>
    </r>
    <r>
      <rPr>
        <sz val="12"/>
        <color indexed="8"/>
        <rFont val="Aptos"/>
        <family val="2"/>
      </rPr>
      <t>O from Wood are calculated in Stationary Combustion for the Residential Sector.</t>
    </r>
  </si>
  <si>
    <r>
      <t>CH</t>
    </r>
    <r>
      <rPr>
        <vertAlign val="subscript"/>
        <sz val="12"/>
        <rFont val="Aptos"/>
        <family val="2"/>
      </rPr>
      <t>4</t>
    </r>
    <r>
      <rPr>
        <sz val="12"/>
        <rFont val="Aptos"/>
        <family val="2"/>
      </rPr>
      <t xml:space="preserve"> and N</t>
    </r>
    <r>
      <rPr>
        <vertAlign val="subscript"/>
        <sz val="12"/>
        <rFont val="Aptos"/>
        <family val="2"/>
      </rPr>
      <t>2</t>
    </r>
    <r>
      <rPr>
        <sz val="12"/>
        <rFont val="Aptos"/>
        <family val="2"/>
      </rPr>
      <t>O from Ethanol are included in Mobile for the Transportation Sector.</t>
    </r>
  </si>
  <si>
    <r>
      <t>CH</t>
    </r>
    <r>
      <rPr>
        <vertAlign val="subscript"/>
        <sz val="12"/>
        <rFont val="Aptos"/>
        <family val="2"/>
      </rPr>
      <t>4</t>
    </r>
    <r>
      <rPr>
        <sz val="12"/>
        <rFont val="Aptos"/>
        <family val="2"/>
      </rPr>
      <t xml:space="preserve"> and N</t>
    </r>
    <r>
      <rPr>
        <vertAlign val="subscript"/>
        <sz val="12"/>
        <rFont val="Aptos"/>
        <family val="2"/>
      </rPr>
      <t>2</t>
    </r>
    <r>
      <rPr>
        <sz val="12"/>
        <rFont val="Aptos"/>
        <family val="2"/>
      </rPr>
      <t>O from Biodiesel are included in Mobile for the Transportation Sector.</t>
    </r>
  </si>
  <si>
    <t>Natural Working Lands</t>
  </si>
  <si>
    <t>Update Date</t>
  </si>
  <si>
    <t>Vehicles: MA Inspection &amp; Maintenance Program Vehicle Inspection Database (VID) beginning in 2018</t>
  </si>
  <si>
    <t>Stations/Compressor Types/Venting</t>
  </si>
  <si>
    <t>Blowdowns (Compressors, Emergency Shutdowns, Scrubbers/Strainers and Other)</t>
  </si>
  <si>
    <t>Septic Management Compliance (F)</t>
  </si>
  <si>
    <t>*SEDS Heat Input unit and method changes from 1990-2009:</t>
  </si>
  <si>
    <t>State-by-State generation data is not available from ISO-NE for the years 1990-1999. The tables adjust EIA generation data for these years to ameliorate any systematic discrepancies between the two datasets. Whole ISO-NE generation values for 1990-1999 (Column H: EIA Total NE generation') are the sum of the state-by-state adjustments.</t>
  </si>
  <si>
    <t>United Nations Climate Change National Inventory Submissions 2015</t>
  </si>
  <si>
    <t>See the Solid Waste tab for details on heat input values for Industrial sector MSB (1990-2009).</t>
  </si>
  <si>
    <t>Go to Tables on Summary Worksheet</t>
  </si>
  <si>
    <t>Go to Tables on Adjustable GWP Summary Worksheet</t>
  </si>
  <si>
    <t>Go to Tables on Summary By Gas Worksheet</t>
  </si>
  <si>
    <t>Go to Tables on Sector Sublimits Worksheet</t>
  </si>
  <si>
    <t>Go to Data on the Combustion CO2 Worksheet</t>
  </si>
  <si>
    <t>Go to Data on Mobile CH4 and N2O Worksheet</t>
  </si>
  <si>
    <t>Go to Data on Industrial Process Worksheet</t>
  </si>
  <si>
    <t>Go to Data on Agriculture Worksheet</t>
  </si>
  <si>
    <t>Go to Data on Wastewater Worksheet</t>
  </si>
  <si>
    <t>Go to Data on Solid Waste Worksheet</t>
  </si>
  <si>
    <t>Go to Electricity Import Summary Table</t>
  </si>
  <si>
    <t>Go to Tables on Biogenic Summary Worksheet</t>
  </si>
  <si>
    <t>Go to Data on Biogenic Combustion Worksheet</t>
  </si>
  <si>
    <t>Return to Contents Worksheet link</t>
  </si>
  <si>
    <t>TOTAL Stationary</t>
  </si>
  <si>
    <t>Year(s)</t>
  </si>
  <si>
    <r>
      <t>CO</t>
    </r>
    <r>
      <rPr>
        <vertAlign val="subscript"/>
        <sz val="12"/>
        <rFont val="Aptos"/>
        <family val="2"/>
      </rPr>
      <t>2</t>
    </r>
    <r>
      <rPr>
        <sz val="12"/>
        <rFont val="Aptos"/>
        <family val="2"/>
      </rPr>
      <t xml:space="preserve"> Emissions from MA in-state power plants by Fuel Type</t>
    </r>
  </si>
  <si>
    <r>
      <t>CO</t>
    </r>
    <r>
      <rPr>
        <vertAlign val="subscript"/>
        <sz val="12"/>
        <rFont val="Aptos"/>
        <family val="2"/>
      </rPr>
      <t>2</t>
    </r>
    <r>
      <rPr>
        <sz val="12"/>
        <rFont val="Aptos"/>
        <family val="2"/>
      </rPr>
      <t xml:space="preserve"> Emissions from Transportation (Total and Major Fuel Types)</t>
    </r>
  </si>
  <si>
    <r>
      <t>Transportation CO</t>
    </r>
    <r>
      <rPr>
        <vertAlign val="subscript"/>
        <sz val="12"/>
        <rFont val="Aptos"/>
        <family val="2"/>
      </rPr>
      <t>2</t>
    </r>
    <r>
      <rPr>
        <sz val="12"/>
        <rFont val="Aptos"/>
        <family val="2"/>
      </rPr>
      <t xml:space="preserve"> Emissions (Minor Fuel Types)</t>
    </r>
  </si>
  <si>
    <r>
      <t>Residential CO</t>
    </r>
    <r>
      <rPr>
        <vertAlign val="subscript"/>
        <sz val="12"/>
        <rFont val="Aptos"/>
        <family val="2"/>
      </rPr>
      <t>2</t>
    </r>
    <r>
      <rPr>
        <sz val="12"/>
        <rFont val="Aptos"/>
        <family val="2"/>
      </rPr>
      <t xml:space="preserve"> Emissions by Fuel Type </t>
    </r>
  </si>
  <si>
    <r>
      <t>Commercial CO</t>
    </r>
    <r>
      <rPr>
        <vertAlign val="subscript"/>
        <sz val="12"/>
        <rFont val="Aptos"/>
        <family val="2"/>
      </rPr>
      <t>2</t>
    </r>
    <r>
      <rPr>
        <sz val="12"/>
        <rFont val="Aptos"/>
        <family val="2"/>
      </rPr>
      <t xml:space="preserve"> Emissions by Fuel Type </t>
    </r>
  </si>
  <si>
    <r>
      <t>Industrial CO</t>
    </r>
    <r>
      <rPr>
        <vertAlign val="subscript"/>
        <sz val="12"/>
        <rFont val="Aptos"/>
        <family val="2"/>
      </rPr>
      <t>2</t>
    </r>
    <r>
      <rPr>
        <sz val="12"/>
        <rFont val="Aptos"/>
        <family val="2"/>
      </rPr>
      <t xml:space="preserve"> Emissions by Fuel Type </t>
    </r>
  </si>
  <si>
    <t>*1990 values will be included with next baseline update.</t>
  </si>
  <si>
    <t>Updated Methodology for Wastewater Calculations (beginning 2000)</t>
  </si>
  <si>
    <t>Updated Methodology for Wastewater Calculations (beginning 2020)</t>
  </si>
  <si>
    <t>Electric Sector-Wood</t>
  </si>
  <si>
    <t>Electric Sector-LFG</t>
  </si>
  <si>
    <t>Commercial Sector-Wood</t>
  </si>
  <si>
    <t>Commercial Sector-Ethanol</t>
  </si>
  <si>
    <t>Commercial Sector-OBG</t>
  </si>
  <si>
    <t>Industrial Sector-Wood</t>
  </si>
  <si>
    <t>Industrial Sector-MSB</t>
  </si>
  <si>
    <t>Industrial Sector-Ethanol</t>
  </si>
  <si>
    <t>Residential Sector-Wood</t>
  </si>
  <si>
    <t>Residential Sector-Biodiesel</t>
  </si>
  <si>
    <t>Transportation Sector-Ethanol</t>
  </si>
  <si>
    <t>Transportation Sector-Biodiesel</t>
  </si>
  <si>
    <t>Wastewater-Flared OBG</t>
  </si>
  <si>
    <t>Emission Factors by Biogenic Fuel Type</t>
  </si>
  <si>
    <t>Heat Input/Gas</t>
  </si>
  <si>
    <t>Fuel Type</t>
  </si>
  <si>
    <t>Electric Sector-MSB</t>
  </si>
  <si>
    <t>Quebec GHG Intensity (1990-2008)</t>
  </si>
  <si>
    <t>New Brunswick GHG Intensity (1990-2008)</t>
  </si>
  <si>
    <t>IPCC AR4 100-Year GWP and Conversion Factors</t>
  </si>
  <si>
    <t>Item</t>
  </si>
  <si>
    <t>Natural Gas Post-Meter</t>
  </si>
  <si>
    <t>Natural Gas Distribution</t>
  </si>
  <si>
    <t>NG Sum Distribution PostMeter Worksheet</t>
  </si>
  <si>
    <t>NG Transmission Storage Worksheet</t>
  </si>
  <si>
    <t>1990-2023 Sector Charts Worksheet</t>
  </si>
  <si>
    <t>Electricity Imports Worksheet</t>
  </si>
  <si>
    <t>Environment Canada Data in Canadian Provinces Electricity Generation Data Tables for Quebec and New Brunswick</t>
  </si>
  <si>
    <t>Combustion emissions values for all combustion sectors except Landfill Combustion and Electricity Imports are from 'Biogenic Combustion' worksheet. Landfill Combustion values are from the 'Solid Waste' worksheet. Electricity Imports values are from the 'Electricity Import' worksheet.</t>
  </si>
  <si>
    <r>
      <t>Industrial Processes (CO</t>
    </r>
    <r>
      <rPr>
        <vertAlign val="subscript"/>
        <sz val="12"/>
        <rFont val="Aptos"/>
        <family val="2"/>
      </rPr>
      <t>2</t>
    </r>
    <r>
      <rPr>
        <sz val="12"/>
        <rFont val="Aptos"/>
        <family val="2"/>
      </rPr>
      <t>)</t>
    </r>
  </si>
  <si>
    <r>
      <t>Industrial Processes (N</t>
    </r>
    <r>
      <rPr>
        <vertAlign val="subscript"/>
        <sz val="12"/>
        <rFont val="Aptos"/>
        <family val="2"/>
      </rPr>
      <t>2</t>
    </r>
    <r>
      <rPr>
        <sz val="12"/>
        <rFont val="Aptos"/>
        <family val="2"/>
      </rPr>
      <t>O)</t>
    </r>
  </si>
  <si>
    <r>
      <t>Industrial Processes (HFCs, PFCs, NF</t>
    </r>
    <r>
      <rPr>
        <vertAlign val="subscript"/>
        <sz val="12"/>
        <rFont val="Aptos"/>
        <family val="2"/>
      </rPr>
      <t>3</t>
    </r>
    <r>
      <rPr>
        <sz val="12"/>
        <rFont val="Aptos"/>
        <family val="2"/>
      </rPr>
      <t>, SF</t>
    </r>
    <r>
      <rPr>
        <vertAlign val="subscript"/>
        <sz val="12"/>
        <rFont val="Aptos"/>
        <family val="2"/>
      </rPr>
      <t>6</t>
    </r>
    <r>
      <rPr>
        <sz val="12"/>
        <rFont val="Aptos"/>
        <family val="2"/>
      </rPr>
      <t>)</t>
    </r>
  </si>
  <si>
    <r>
      <t>MA Emissions by Sector and Subsectors (MMTCO</t>
    </r>
    <r>
      <rPr>
        <b/>
        <vertAlign val="subscript"/>
        <sz val="12"/>
        <color theme="1"/>
        <rFont val="Aptos"/>
        <family val="2"/>
      </rPr>
      <t>2</t>
    </r>
    <r>
      <rPr>
        <b/>
        <sz val="12"/>
        <color theme="1"/>
        <rFont val="Aptos"/>
        <family val="2"/>
      </rPr>
      <t>e)</t>
    </r>
  </si>
  <si>
    <r>
      <t>Electric Generation from MSW (CO</t>
    </r>
    <r>
      <rPr>
        <vertAlign val="subscript"/>
        <sz val="12"/>
        <rFont val="Aptos"/>
        <family val="2"/>
      </rPr>
      <t>2</t>
    </r>
    <r>
      <rPr>
        <sz val="12"/>
        <rFont val="Aptos"/>
        <family val="2"/>
      </rPr>
      <t>, CH</t>
    </r>
    <r>
      <rPr>
        <vertAlign val="subscript"/>
        <sz val="12"/>
        <rFont val="Aptos"/>
        <family val="2"/>
      </rPr>
      <t>4</t>
    </r>
    <r>
      <rPr>
        <sz val="12"/>
        <rFont val="Aptos"/>
        <family val="2"/>
      </rPr>
      <t>, N</t>
    </r>
    <r>
      <rPr>
        <vertAlign val="subscript"/>
        <sz val="12"/>
        <rFont val="Aptos"/>
        <family val="2"/>
      </rPr>
      <t>2</t>
    </r>
    <r>
      <rPr>
        <sz val="12"/>
        <rFont val="Aptos"/>
        <family val="2"/>
      </rPr>
      <t>O)</t>
    </r>
  </si>
  <si>
    <r>
      <t>Electric Generation Other Gases (CH</t>
    </r>
    <r>
      <rPr>
        <vertAlign val="subscript"/>
        <sz val="12"/>
        <rFont val="Aptos"/>
        <family val="2"/>
      </rPr>
      <t>4</t>
    </r>
    <r>
      <rPr>
        <sz val="12"/>
        <rFont val="Aptos"/>
        <family val="2"/>
      </rPr>
      <t>, N</t>
    </r>
    <r>
      <rPr>
        <vertAlign val="subscript"/>
        <sz val="12"/>
        <rFont val="Aptos"/>
        <family val="2"/>
      </rPr>
      <t>2</t>
    </r>
    <r>
      <rPr>
        <sz val="12"/>
        <rFont val="Aptos"/>
        <family val="2"/>
      </rPr>
      <t>O)</t>
    </r>
  </si>
  <si>
    <r>
      <t>Industrial from MSW 1990-2022 (CO</t>
    </r>
    <r>
      <rPr>
        <vertAlign val="subscript"/>
        <sz val="12"/>
        <rFont val="Aptos"/>
        <family val="2"/>
      </rPr>
      <t>2</t>
    </r>
    <r>
      <rPr>
        <sz val="12"/>
        <rFont val="Aptos"/>
        <family val="2"/>
      </rPr>
      <t>, CH</t>
    </r>
    <r>
      <rPr>
        <vertAlign val="subscript"/>
        <sz val="12"/>
        <rFont val="Aptos"/>
        <family val="2"/>
      </rPr>
      <t>4</t>
    </r>
    <r>
      <rPr>
        <sz val="12"/>
        <rFont val="Aptos"/>
        <family val="2"/>
      </rPr>
      <t>, N</t>
    </r>
    <r>
      <rPr>
        <vertAlign val="subscript"/>
        <sz val="12"/>
        <rFont val="Aptos"/>
        <family val="2"/>
      </rPr>
      <t>2</t>
    </r>
    <r>
      <rPr>
        <sz val="12"/>
        <rFont val="Aptos"/>
        <family val="2"/>
      </rPr>
      <t>O)</t>
    </r>
  </si>
  <si>
    <r>
      <t>Industrial from Nat Gas System (CO</t>
    </r>
    <r>
      <rPr>
        <vertAlign val="subscript"/>
        <sz val="12"/>
        <rFont val="Aptos"/>
        <family val="2"/>
      </rPr>
      <t>2</t>
    </r>
    <r>
      <rPr>
        <sz val="12"/>
        <rFont val="Aptos"/>
        <family val="2"/>
      </rPr>
      <t>, CH</t>
    </r>
    <r>
      <rPr>
        <vertAlign val="subscript"/>
        <sz val="12"/>
        <rFont val="Aptos"/>
        <family val="2"/>
      </rPr>
      <t>4</t>
    </r>
    <r>
      <rPr>
        <sz val="12"/>
        <rFont val="Aptos"/>
        <family val="2"/>
      </rPr>
      <t>, N</t>
    </r>
    <r>
      <rPr>
        <vertAlign val="subscript"/>
        <sz val="12"/>
        <rFont val="Aptos"/>
        <family val="2"/>
      </rPr>
      <t>2</t>
    </r>
    <r>
      <rPr>
        <sz val="12"/>
        <rFont val="Aptos"/>
        <family val="2"/>
      </rPr>
      <t>O)</t>
    </r>
  </si>
  <si>
    <r>
      <t>SF</t>
    </r>
    <r>
      <rPr>
        <vertAlign val="subscript"/>
        <sz val="12"/>
        <rFont val="Aptos"/>
        <family val="2"/>
      </rPr>
      <t>6</t>
    </r>
    <r>
      <rPr>
        <sz val="12"/>
        <rFont val="Aptos"/>
        <family val="2"/>
      </rPr>
      <t xml:space="preserve"> (from Electric Power Trans. and Dist. Services)</t>
    </r>
  </si>
  <si>
    <r>
      <t>CH</t>
    </r>
    <r>
      <rPr>
        <b/>
        <vertAlign val="subscript"/>
        <sz val="12"/>
        <color theme="1"/>
        <rFont val="Aptos"/>
        <family val="2"/>
      </rPr>
      <t>4</t>
    </r>
    <r>
      <rPr>
        <b/>
        <sz val="12"/>
        <color theme="1"/>
        <rFont val="Aptos"/>
        <family val="2"/>
      </rPr>
      <t xml:space="preserve"> GWPs</t>
    </r>
  </si>
  <si>
    <r>
      <t>N</t>
    </r>
    <r>
      <rPr>
        <b/>
        <vertAlign val="subscript"/>
        <sz val="12"/>
        <color theme="1"/>
        <rFont val="Aptos"/>
        <family val="2"/>
      </rPr>
      <t>2</t>
    </r>
    <r>
      <rPr>
        <b/>
        <sz val="12"/>
        <color theme="1"/>
        <rFont val="Aptos"/>
        <family val="2"/>
      </rPr>
      <t>O GWPs</t>
    </r>
  </si>
  <si>
    <r>
      <t>SF</t>
    </r>
    <r>
      <rPr>
        <b/>
        <vertAlign val="subscript"/>
        <sz val="12"/>
        <color theme="1"/>
        <rFont val="Aptos"/>
        <family val="2"/>
      </rPr>
      <t>6</t>
    </r>
    <r>
      <rPr>
        <b/>
        <sz val="12"/>
        <color theme="1"/>
        <rFont val="Aptos"/>
        <family val="2"/>
      </rPr>
      <t xml:space="preserve"> GWPs</t>
    </r>
  </si>
  <si>
    <r>
      <t>MA Adjustable Emissions by Gas (MMTCO</t>
    </r>
    <r>
      <rPr>
        <vertAlign val="subscript"/>
        <sz val="12"/>
        <rFont val="Aptos"/>
        <family val="2"/>
      </rPr>
      <t>2</t>
    </r>
    <r>
      <rPr>
        <sz val="12"/>
        <rFont val="Aptos"/>
        <family val="2"/>
      </rPr>
      <t>e)</t>
    </r>
  </si>
  <si>
    <r>
      <t>MA Adjustable Emissions by Gas (MMTCO</t>
    </r>
    <r>
      <rPr>
        <b/>
        <vertAlign val="subscript"/>
        <sz val="12"/>
        <rFont val="Aptos"/>
        <family val="2"/>
      </rPr>
      <t>2</t>
    </r>
    <r>
      <rPr>
        <b/>
        <sz val="12"/>
        <rFont val="Aptos"/>
        <family val="2"/>
      </rPr>
      <t>e)</t>
    </r>
  </si>
  <si>
    <r>
      <t>CO</t>
    </r>
    <r>
      <rPr>
        <vertAlign val="subscript"/>
        <sz val="12"/>
        <color theme="1"/>
        <rFont val="Aptos"/>
        <family val="2"/>
      </rPr>
      <t>2</t>
    </r>
    <r>
      <rPr>
        <sz val="12"/>
        <color theme="1"/>
        <rFont val="Aptos"/>
        <family val="2"/>
      </rPr>
      <t xml:space="preserve"> </t>
    </r>
  </si>
  <si>
    <r>
      <t>CH</t>
    </r>
    <r>
      <rPr>
        <vertAlign val="subscript"/>
        <sz val="12"/>
        <color theme="1"/>
        <rFont val="Aptos"/>
        <family val="2"/>
      </rPr>
      <t>4</t>
    </r>
  </si>
  <si>
    <r>
      <t>N</t>
    </r>
    <r>
      <rPr>
        <vertAlign val="subscript"/>
        <sz val="12"/>
        <color theme="1"/>
        <rFont val="Aptos"/>
        <family val="2"/>
      </rPr>
      <t>2</t>
    </r>
    <r>
      <rPr>
        <sz val="12"/>
        <color theme="1"/>
        <rFont val="Aptos"/>
        <family val="2"/>
      </rPr>
      <t>O</t>
    </r>
  </si>
  <si>
    <t>Clinton and Lancaster</t>
  </si>
  <si>
    <t>MA 1990-2023 Total Chart Worksheet</t>
  </si>
  <si>
    <t>Natural and Working Lands (NWL) Net Greenhouse Gas Emissions - MA Summary</t>
  </si>
  <si>
    <t>Go to Data on Natural and Working Lands Worksheet</t>
  </si>
  <si>
    <t>Natural and Working Lands Worksheet</t>
  </si>
  <si>
    <r>
      <t>*SF</t>
    </r>
    <r>
      <rPr>
        <vertAlign val="subscript"/>
        <sz val="12"/>
        <rFont val="Aptos"/>
        <family val="2"/>
      </rPr>
      <t>6</t>
    </r>
    <r>
      <rPr>
        <sz val="12"/>
        <rFont val="Aptos"/>
        <family val="2"/>
      </rPr>
      <t xml:space="preserve"> and Other GHG Gases (MMTCO</t>
    </r>
    <r>
      <rPr>
        <vertAlign val="subscript"/>
        <sz val="12"/>
        <rFont val="Aptos"/>
        <family val="2"/>
      </rPr>
      <t>2</t>
    </r>
    <r>
      <rPr>
        <sz val="12"/>
        <rFont val="Aptos"/>
        <family val="2"/>
      </rPr>
      <t>e)</t>
    </r>
  </si>
  <si>
    <r>
      <t>*Imported Electric Power (CO</t>
    </r>
    <r>
      <rPr>
        <vertAlign val="subscript"/>
        <sz val="12"/>
        <rFont val="Aptos"/>
        <family val="2"/>
      </rPr>
      <t>2</t>
    </r>
    <r>
      <rPr>
        <sz val="12"/>
        <rFont val="Aptos"/>
        <family val="2"/>
      </rPr>
      <t>, CH</t>
    </r>
    <r>
      <rPr>
        <vertAlign val="subscript"/>
        <sz val="12"/>
        <rFont val="Aptos"/>
        <family val="2"/>
      </rPr>
      <t>4</t>
    </r>
    <r>
      <rPr>
        <sz val="12"/>
        <rFont val="Aptos"/>
        <family val="2"/>
      </rPr>
      <t xml:space="preserve"> and N</t>
    </r>
    <r>
      <rPr>
        <vertAlign val="subscript"/>
        <sz val="12"/>
        <rFont val="Aptos"/>
        <family val="2"/>
      </rPr>
      <t>2</t>
    </r>
    <r>
      <rPr>
        <sz val="12"/>
        <rFont val="Aptos"/>
        <family val="2"/>
      </rPr>
      <t>O combined) MMTCO</t>
    </r>
    <r>
      <rPr>
        <vertAlign val="subscript"/>
        <sz val="12"/>
        <rFont val="Aptos"/>
        <family val="2"/>
      </rPr>
      <t>2</t>
    </r>
    <r>
      <rPr>
        <sz val="12"/>
        <rFont val="Aptos"/>
        <family val="2"/>
      </rPr>
      <t>e</t>
    </r>
  </si>
  <si>
    <r>
      <t>SF</t>
    </r>
    <r>
      <rPr>
        <vertAlign val="subscript"/>
        <sz val="12"/>
        <color theme="1"/>
        <rFont val="Aptos"/>
        <family val="2"/>
      </rPr>
      <t>6</t>
    </r>
    <r>
      <rPr>
        <sz val="12"/>
        <color theme="1"/>
        <rFont val="Aptos"/>
        <family val="2"/>
      </rPr>
      <t xml:space="preserve"> and Other GHG Gases</t>
    </r>
  </si>
  <si>
    <r>
      <t>Imported Electric Power (CO</t>
    </r>
    <r>
      <rPr>
        <vertAlign val="subscript"/>
        <sz val="12"/>
        <color theme="1"/>
        <rFont val="Aptos"/>
        <family val="2"/>
      </rPr>
      <t>2</t>
    </r>
    <r>
      <rPr>
        <sz val="12"/>
        <color theme="1"/>
        <rFont val="Aptos"/>
        <family val="2"/>
      </rPr>
      <t>, CH</t>
    </r>
    <r>
      <rPr>
        <vertAlign val="subscript"/>
        <sz val="12"/>
        <color theme="1"/>
        <rFont val="Aptos"/>
        <family val="2"/>
      </rPr>
      <t>4</t>
    </r>
    <r>
      <rPr>
        <sz val="12"/>
        <color theme="1"/>
        <rFont val="Aptos"/>
        <family val="2"/>
      </rPr>
      <t xml:space="preserve"> and N</t>
    </r>
    <r>
      <rPr>
        <vertAlign val="subscript"/>
        <sz val="12"/>
        <color theme="1"/>
        <rFont val="Aptos"/>
        <family val="2"/>
      </rPr>
      <t>2</t>
    </r>
    <r>
      <rPr>
        <sz val="12"/>
        <color theme="1"/>
        <rFont val="Aptos"/>
        <family val="2"/>
      </rPr>
      <t>O)</t>
    </r>
  </si>
  <si>
    <t>Percent Change from 1990</t>
  </si>
  <si>
    <t>Percent Change from previous year</t>
  </si>
  <si>
    <t>Percent of Total GHG Emissions by Sector (2023)</t>
  </si>
  <si>
    <t>Percent of Total GHG Emissions by Alternate Sector (2023)</t>
  </si>
  <si>
    <t>Percent of Total GHG Emissions by Sector (1990)</t>
  </si>
  <si>
    <t>Percent of Total GHG Emissions by Alternate Sector (1990)</t>
  </si>
  <si>
    <t>Municipal Solid Waste Combustion (Electric and Industrial)</t>
  </si>
  <si>
    <r>
      <t>SF</t>
    </r>
    <r>
      <rPr>
        <b/>
        <vertAlign val="subscript"/>
        <sz val="12"/>
        <rFont val="Aptos"/>
        <family val="2"/>
      </rPr>
      <t>6</t>
    </r>
    <r>
      <rPr>
        <b/>
        <sz val="12"/>
        <rFont val="Aptos"/>
        <family val="2"/>
      </rPr>
      <t xml:space="preserve"> and Other GHG Gases Total</t>
    </r>
  </si>
  <si>
    <r>
      <t>Imported Electric Power (CO</t>
    </r>
    <r>
      <rPr>
        <vertAlign val="subscript"/>
        <sz val="12"/>
        <rFont val="Aptos"/>
        <family val="2"/>
      </rPr>
      <t>2</t>
    </r>
    <r>
      <rPr>
        <sz val="12"/>
        <rFont val="Aptos"/>
        <family val="2"/>
      </rPr>
      <t>, CH</t>
    </r>
    <r>
      <rPr>
        <vertAlign val="subscript"/>
        <sz val="12"/>
        <rFont val="Aptos"/>
        <family val="2"/>
      </rPr>
      <t>4</t>
    </r>
    <r>
      <rPr>
        <sz val="12"/>
        <rFont val="Aptos"/>
        <family val="2"/>
      </rPr>
      <t xml:space="preserve"> and N</t>
    </r>
    <r>
      <rPr>
        <vertAlign val="subscript"/>
        <sz val="12"/>
        <rFont val="Aptos"/>
        <family val="2"/>
      </rPr>
      <t>2</t>
    </r>
    <r>
      <rPr>
        <sz val="12"/>
        <rFont val="Aptos"/>
        <family val="2"/>
      </rPr>
      <t>O combined)</t>
    </r>
  </si>
  <si>
    <r>
      <t>Electricity Imports (CO</t>
    </r>
    <r>
      <rPr>
        <vertAlign val="subscript"/>
        <sz val="12"/>
        <color indexed="8"/>
        <rFont val="Aptos"/>
        <family val="2"/>
      </rPr>
      <t>2</t>
    </r>
    <r>
      <rPr>
        <sz val="12"/>
        <color indexed="8"/>
        <rFont val="Aptos"/>
        <family val="2"/>
      </rPr>
      <t>, CH</t>
    </r>
    <r>
      <rPr>
        <vertAlign val="subscript"/>
        <sz val="12"/>
        <color indexed="8"/>
        <rFont val="Aptos"/>
        <family val="2"/>
      </rPr>
      <t>4</t>
    </r>
    <r>
      <rPr>
        <sz val="12"/>
        <color indexed="8"/>
        <rFont val="Aptos"/>
        <family val="2"/>
      </rPr>
      <t xml:space="preserve"> and N</t>
    </r>
    <r>
      <rPr>
        <vertAlign val="subscript"/>
        <sz val="12"/>
        <color indexed="8"/>
        <rFont val="Aptos"/>
        <family val="2"/>
      </rPr>
      <t>2</t>
    </r>
    <r>
      <rPr>
        <sz val="12"/>
        <color indexed="8"/>
        <rFont val="Aptos"/>
        <family val="2"/>
      </rPr>
      <t>O)</t>
    </r>
  </si>
  <si>
    <r>
      <t>Agriculture (CO</t>
    </r>
    <r>
      <rPr>
        <b/>
        <vertAlign val="subscript"/>
        <sz val="12"/>
        <rFont val="Aptos"/>
        <family val="2"/>
      </rPr>
      <t>2</t>
    </r>
    <r>
      <rPr>
        <b/>
        <sz val="12"/>
        <rFont val="Aptos"/>
        <family val="2"/>
      </rPr>
      <t>e)</t>
    </r>
  </si>
  <si>
    <r>
      <t>Industrial from MSW (CO</t>
    </r>
    <r>
      <rPr>
        <vertAlign val="subscript"/>
        <sz val="12"/>
        <rFont val="Aptos"/>
        <family val="2"/>
      </rPr>
      <t>2</t>
    </r>
    <r>
      <rPr>
        <sz val="12"/>
        <rFont val="Aptos"/>
        <family val="2"/>
      </rPr>
      <t>, CH</t>
    </r>
    <r>
      <rPr>
        <vertAlign val="subscript"/>
        <sz val="12"/>
        <rFont val="Aptos"/>
        <family val="2"/>
      </rPr>
      <t>4</t>
    </r>
    <r>
      <rPr>
        <sz val="12"/>
        <rFont val="Aptos"/>
        <family val="2"/>
      </rPr>
      <t xml:space="preserve"> and N</t>
    </r>
    <r>
      <rPr>
        <vertAlign val="subscript"/>
        <sz val="12"/>
        <rFont val="Aptos"/>
        <family val="2"/>
      </rPr>
      <t>2</t>
    </r>
    <r>
      <rPr>
        <sz val="12"/>
        <rFont val="Aptos"/>
        <family val="2"/>
      </rPr>
      <t>O)</t>
    </r>
  </si>
  <si>
    <r>
      <t>Industrial from Nat Gas System (CO</t>
    </r>
    <r>
      <rPr>
        <vertAlign val="subscript"/>
        <sz val="12"/>
        <rFont val="Aptos"/>
        <family val="2"/>
      </rPr>
      <t>2</t>
    </r>
    <r>
      <rPr>
        <sz val="12"/>
        <rFont val="Aptos"/>
        <family val="2"/>
      </rPr>
      <t>, CH</t>
    </r>
    <r>
      <rPr>
        <vertAlign val="subscript"/>
        <sz val="12"/>
        <rFont val="Aptos"/>
        <family val="2"/>
      </rPr>
      <t>4</t>
    </r>
    <r>
      <rPr>
        <sz val="12"/>
        <rFont val="Aptos"/>
        <family val="2"/>
      </rPr>
      <t xml:space="preserve"> and N</t>
    </r>
    <r>
      <rPr>
        <vertAlign val="subscript"/>
        <sz val="12"/>
        <rFont val="Aptos"/>
        <family val="2"/>
      </rPr>
      <t>2</t>
    </r>
    <r>
      <rPr>
        <sz val="12"/>
        <rFont val="Aptos"/>
        <family val="2"/>
      </rPr>
      <t>O)</t>
    </r>
  </si>
  <si>
    <r>
      <t>Electric Generation Other Gases (CH</t>
    </r>
    <r>
      <rPr>
        <vertAlign val="subscript"/>
        <sz val="12"/>
        <rFont val="Aptos"/>
        <family val="2"/>
      </rPr>
      <t>4</t>
    </r>
    <r>
      <rPr>
        <sz val="12"/>
        <rFont val="Aptos"/>
        <family val="2"/>
      </rPr>
      <t xml:space="preserve"> and N</t>
    </r>
    <r>
      <rPr>
        <vertAlign val="subscript"/>
        <sz val="12"/>
        <rFont val="Aptos"/>
        <family val="2"/>
      </rPr>
      <t>2</t>
    </r>
    <r>
      <rPr>
        <sz val="12"/>
        <rFont val="Aptos"/>
        <family val="2"/>
      </rPr>
      <t>O)</t>
    </r>
  </si>
  <si>
    <r>
      <t>Electric Generation from MSW (CO</t>
    </r>
    <r>
      <rPr>
        <vertAlign val="subscript"/>
        <sz val="12"/>
        <rFont val="Aptos"/>
        <family val="2"/>
      </rPr>
      <t>2</t>
    </r>
    <r>
      <rPr>
        <sz val="12"/>
        <rFont val="Aptos"/>
        <family val="2"/>
      </rPr>
      <t>, CH</t>
    </r>
    <r>
      <rPr>
        <vertAlign val="subscript"/>
        <sz val="12"/>
        <rFont val="Aptos"/>
        <family val="2"/>
      </rPr>
      <t>4</t>
    </r>
    <r>
      <rPr>
        <sz val="12"/>
        <rFont val="Aptos"/>
        <family val="2"/>
      </rPr>
      <t xml:space="preserve"> and N</t>
    </r>
    <r>
      <rPr>
        <vertAlign val="subscript"/>
        <sz val="12"/>
        <rFont val="Aptos"/>
        <family val="2"/>
      </rPr>
      <t>2</t>
    </r>
    <r>
      <rPr>
        <sz val="12"/>
        <rFont val="Aptos"/>
        <family val="2"/>
      </rPr>
      <t>O)</t>
    </r>
  </si>
  <si>
    <t xml:space="preserve">Emissions from Natural Gas Distribution and Post-Meter leaks are calculated on this worksheet; emissions from Natural Gas Transmission and Storage are calculated on the next worksheet in this workbook. </t>
  </si>
  <si>
    <t>MR &gt;300</t>
  </si>
  <si>
    <t>MR 100-300</t>
  </si>
  <si>
    <t>MR &lt;100</t>
  </si>
  <si>
    <t>Data Sources for Transmission and Storage Activity Data: PHMSA, EPA FLIGHT, Tennessee Gas Pipeline (TGP)[ 7/10/20 - TGP: no dehydrator vents or station flaring.]</t>
  </si>
  <si>
    <t xml:space="preserve">TOTAL from Agriculture </t>
  </si>
  <si>
    <t xml:space="preserve">          Landfill - Combustion of LFG in flares, engines and turbines</t>
  </si>
  <si>
    <t>Cropland and Grassland</t>
  </si>
  <si>
    <t>Go to Data on Worksheet link</t>
  </si>
  <si>
    <t>Go to Tables on Worksheet link</t>
  </si>
  <si>
    <t>Order of Worksheets and links</t>
  </si>
  <si>
    <t>Number of Pneumatic Devices = 25</t>
  </si>
  <si>
    <t>Total from Customer Meters</t>
  </si>
  <si>
    <t>Total Routine Maintenance and Upsets</t>
  </si>
  <si>
    <t>Total Metering and Regulating Stations</t>
  </si>
  <si>
    <t>Total from Services</t>
  </si>
  <si>
    <t>Total from Pipeline</t>
  </si>
  <si>
    <t>*Linear interpolation used for emissions from 1991 through 2014 due to lack of MR Station data.</t>
  </si>
  <si>
    <t>Meter/Regulator (MR) Stations (City Gates)</t>
  </si>
  <si>
    <t>MMcf</t>
  </si>
  <si>
    <r>
      <t>SF</t>
    </r>
    <r>
      <rPr>
        <vertAlign val="subscript"/>
        <sz val="12"/>
        <color rgb="FF000000"/>
        <rFont val="Aptos"/>
        <family val="2"/>
      </rPr>
      <t>6</t>
    </r>
    <r>
      <rPr>
        <sz val="12"/>
        <color rgb="FF000000"/>
        <rFont val="Aptos"/>
        <family val="2"/>
      </rPr>
      <t xml:space="preserve"> and Other GHGs (MMTCO</t>
    </r>
    <r>
      <rPr>
        <vertAlign val="subscript"/>
        <sz val="12"/>
        <color rgb="FF000000"/>
        <rFont val="Aptos"/>
        <family val="2"/>
      </rPr>
      <t>2</t>
    </r>
    <r>
      <rPr>
        <sz val="12"/>
        <color rgb="FF000000"/>
        <rFont val="Aptos"/>
        <family val="2"/>
      </rPr>
      <t>e)</t>
    </r>
  </si>
  <si>
    <r>
      <t>CO</t>
    </r>
    <r>
      <rPr>
        <vertAlign val="subscript"/>
        <sz val="12"/>
        <color theme="1"/>
        <rFont val="Aptos"/>
        <family val="2"/>
      </rPr>
      <t>2</t>
    </r>
    <r>
      <rPr>
        <sz val="12"/>
        <color theme="1"/>
        <rFont val="Aptos"/>
        <family val="2"/>
      </rPr>
      <t xml:space="preserve"> as MMTCO</t>
    </r>
    <r>
      <rPr>
        <vertAlign val="subscript"/>
        <sz val="12"/>
        <color theme="1"/>
        <rFont val="Aptos"/>
        <family val="2"/>
      </rPr>
      <t>2</t>
    </r>
    <r>
      <rPr>
        <sz val="12"/>
        <color theme="1"/>
        <rFont val="Aptos"/>
        <family val="2"/>
      </rPr>
      <t>e</t>
    </r>
  </si>
  <si>
    <r>
      <t>MA CO</t>
    </r>
    <r>
      <rPr>
        <vertAlign val="subscript"/>
        <sz val="12"/>
        <color theme="1"/>
        <rFont val="Aptos"/>
        <family val="2"/>
      </rPr>
      <t>2</t>
    </r>
    <r>
      <rPr>
        <sz val="12"/>
        <color theme="1"/>
        <rFont val="Aptos"/>
        <family val="2"/>
      </rPr>
      <t xml:space="preserve"> Emissions by Sector (MMTCO</t>
    </r>
    <r>
      <rPr>
        <vertAlign val="subscript"/>
        <sz val="12"/>
        <color theme="1"/>
        <rFont val="Aptos"/>
        <family val="2"/>
      </rPr>
      <t>2</t>
    </r>
    <r>
      <rPr>
        <sz val="12"/>
        <color theme="1"/>
        <rFont val="Aptos"/>
        <family val="2"/>
      </rPr>
      <t>e)</t>
    </r>
  </si>
  <si>
    <r>
      <t>MA CH</t>
    </r>
    <r>
      <rPr>
        <vertAlign val="subscript"/>
        <sz val="12"/>
        <color theme="1"/>
        <rFont val="Aptos"/>
        <family val="2"/>
      </rPr>
      <t>4</t>
    </r>
    <r>
      <rPr>
        <sz val="12"/>
        <color theme="1"/>
        <rFont val="Aptos"/>
        <family val="2"/>
      </rPr>
      <t xml:space="preserve"> Emissions by Sector (MMTCO</t>
    </r>
    <r>
      <rPr>
        <vertAlign val="subscript"/>
        <sz val="12"/>
        <color theme="1"/>
        <rFont val="Aptos"/>
        <family val="2"/>
      </rPr>
      <t>2</t>
    </r>
    <r>
      <rPr>
        <sz val="12"/>
        <color theme="1"/>
        <rFont val="Aptos"/>
        <family val="2"/>
      </rPr>
      <t>e)</t>
    </r>
  </si>
  <si>
    <r>
      <t>MA N</t>
    </r>
    <r>
      <rPr>
        <vertAlign val="subscript"/>
        <sz val="12"/>
        <color theme="1"/>
        <rFont val="Aptos"/>
        <family val="2"/>
      </rPr>
      <t>2</t>
    </r>
    <r>
      <rPr>
        <sz val="12"/>
        <color theme="1"/>
        <rFont val="Aptos"/>
        <family val="2"/>
      </rPr>
      <t>O Emissions by Sector (MMTCO</t>
    </r>
    <r>
      <rPr>
        <vertAlign val="subscript"/>
        <sz val="12"/>
        <color theme="1"/>
        <rFont val="Aptos"/>
        <family val="2"/>
      </rPr>
      <t>2</t>
    </r>
    <r>
      <rPr>
        <sz val="12"/>
        <color theme="1"/>
        <rFont val="Aptos"/>
        <family val="2"/>
      </rPr>
      <t>e)</t>
    </r>
  </si>
  <si>
    <r>
      <t>MA SF</t>
    </r>
    <r>
      <rPr>
        <vertAlign val="subscript"/>
        <sz val="12"/>
        <color theme="1"/>
        <rFont val="Aptos"/>
        <family val="2"/>
      </rPr>
      <t>6</t>
    </r>
    <r>
      <rPr>
        <sz val="12"/>
        <color theme="1"/>
        <rFont val="Aptos"/>
        <family val="2"/>
      </rPr>
      <t xml:space="preserve"> and Other Gas Emissions by Sector (MMTCO</t>
    </r>
    <r>
      <rPr>
        <vertAlign val="subscript"/>
        <sz val="12"/>
        <color theme="1"/>
        <rFont val="Aptos"/>
        <family val="2"/>
      </rPr>
      <t>2</t>
    </r>
    <r>
      <rPr>
        <sz val="12"/>
        <color theme="1"/>
        <rFont val="Aptos"/>
        <family val="2"/>
      </rPr>
      <t>e)</t>
    </r>
  </si>
  <si>
    <r>
      <t>MA Total Emissions by Gas (MMTCO</t>
    </r>
    <r>
      <rPr>
        <vertAlign val="subscript"/>
        <sz val="12"/>
        <color theme="1"/>
        <rFont val="Aptos"/>
        <family val="2"/>
      </rPr>
      <t>2</t>
    </r>
    <r>
      <rPr>
        <sz val="12"/>
        <color theme="1"/>
        <rFont val="Aptos"/>
        <family val="2"/>
      </rPr>
      <t>e)</t>
    </r>
  </si>
  <si>
    <r>
      <t>MA Emissions as Metric Tons of CO</t>
    </r>
    <r>
      <rPr>
        <vertAlign val="subscript"/>
        <sz val="12"/>
        <color theme="1"/>
        <rFont val="Aptos"/>
        <family val="2"/>
      </rPr>
      <t>2</t>
    </r>
    <r>
      <rPr>
        <sz val="12"/>
        <color theme="1"/>
        <rFont val="Aptos"/>
        <family val="2"/>
      </rPr>
      <t>, CH</t>
    </r>
    <r>
      <rPr>
        <vertAlign val="subscript"/>
        <sz val="12"/>
        <color theme="1"/>
        <rFont val="Aptos"/>
        <family val="2"/>
      </rPr>
      <t>4</t>
    </r>
    <r>
      <rPr>
        <sz val="12"/>
        <color theme="1"/>
        <rFont val="Aptos"/>
        <family val="2"/>
      </rPr>
      <t xml:space="preserve"> and N</t>
    </r>
    <r>
      <rPr>
        <vertAlign val="subscript"/>
        <sz val="12"/>
        <color theme="1"/>
        <rFont val="Aptos"/>
        <family val="2"/>
      </rPr>
      <t>2</t>
    </r>
    <r>
      <rPr>
        <sz val="12"/>
        <color theme="1"/>
        <rFont val="Aptos"/>
        <family val="2"/>
      </rPr>
      <t>O</t>
    </r>
  </si>
  <si>
    <r>
      <t>MA SF</t>
    </r>
    <r>
      <rPr>
        <b/>
        <vertAlign val="subscript"/>
        <sz val="12"/>
        <rFont val="Aptos"/>
        <family val="2"/>
      </rPr>
      <t>6</t>
    </r>
    <r>
      <rPr>
        <b/>
        <sz val="12"/>
        <rFont val="Aptos"/>
        <family val="2"/>
      </rPr>
      <t xml:space="preserve"> and Other Gas Emissions by Sector (MMTCO</t>
    </r>
    <r>
      <rPr>
        <b/>
        <vertAlign val="subscript"/>
        <sz val="12"/>
        <rFont val="Aptos"/>
        <family val="2"/>
      </rPr>
      <t>2</t>
    </r>
    <r>
      <rPr>
        <b/>
        <sz val="12"/>
        <rFont val="Aptos"/>
        <family val="2"/>
      </rPr>
      <t>e)</t>
    </r>
  </si>
  <si>
    <r>
      <t>ODS Substitutes, Semiconductor Mfg., Electricity Trans., Micro-Electro-Mechanical Devices, Other Product Use (HFCs, PFCs, NF</t>
    </r>
    <r>
      <rPr>
        <vertAlign val="subscript"/>
        <sz val="12"/>
        <rFont val="Aptos"/>
        <family val="2"/>
      </rPr>
      <t>3</t>
    </r>
    <r>
      <rPr>
        <sz val="12"/>
        <rFont val="Aptos"/>
        <family val="2"/>
      </rPr>
      <t>, SF</t>
    </r>
    <r>
      <rPr>
        <vertAlign val="subscript"/>
        <sz val="12"/>
        <rFont val="Aptos"/>
        <family val="2"/>
      </rPr>
      <t>6</t>
    </r>
    <r>
      <rPr>
        <sz val="12"/>
        <rFont val="Aptos"/>
        <family val="2"/>
      </rPr>
      <t>)</t>
    </r>
  </si>
  <si>
    <r>
      <t>HFC, PFC, NF</t>
    </r>
    <r>
      <rPr>
        <vertAlign val="subscript"/>
        <sz val="12"/>
        <color theme="1"/>
        <rFont val="Aptos"/>
        <family val="2"/>
      </rPr>
      <t>3</t>
    </r>
    <r>
      <rPr>
        <sz val="12"/>
        <color theme="1"/>
        <rFont val="Aptos"/>
        <family val="2"/>
      </rPr>
      <t xml:space="preserve"> and SF</t>
    </r>
    <r>
      <rPr>
        <vertAlign val="subscript"/>
        <sz val="12"/>
        <color theme="1"/>
        <rFont val="Aptos"/>
        <family val="2"/>
      </rPr>
      <t>6</t>
    </r>
    <r>
      <rPr>
        <sz val="12"/>
        <color theme="1"/>
        <rFont val="Aptos"/>
        <family val="2"/>
      </rPr>
      <t xml:space="preserve"> Emissions by Sector</t>
    </r>
  </si>
  <si>
    <r>
      <t>HFC, PFC, NF</t>
    </r>
    <r>
      <rPr>
        <vertAlign val="subscript"/>
        <sz val="12"/>
        <rFont val="Aptos"/>
        <family val="2"/>
      </rPr>
      <t>3</t>
    </r>
    <r>
      <rPr>
        <sz val="12"/>
        <rFont val="Aptos"/>
        <family val="2"/>
      </rPr>
      <t xml:space="preserve"> and SF</t>
    </r>
    <r>
      <rPr>
        <vertAlign val="subscript"/>
        <sz val="12"/>
        <rFont val="Aptos"/>
        <family val="2"/>
      </rPr>
      <t>6</t>
    </r>
    <r>
      <rPr>
        <sz val="12"/>
        <rFont val="Aptos"/>
        <family val="2"/>
      </rPr>
      <t xml:space="preserve"> Emissions Total</t>
    </r>
  </si>
  <si>
    <r>
      <t>N</t>
    </r>
    <r>
      <rPr>
        <vertAlign val="subscript"/>
        <sz val="12"/>
        <color theme="1"/>
        <rFont val="Aptos"/>
        <family val="2"/>
      </rPr>
      <t>2</t>
    </r>
    <r>
      <rPr>
        <sz val="12"/>
        <color theme="1"/>
        <rFont val="Aptos"/>
        <family val="2"/>
      </rPr>
      <t>O from Product Uses</t>
    </r>
  </si>
  <si>
    <r>
      <t>SF</t>
    </r>
    <r>
      <rPr>
        <vertAlign val="subscript"/>
        <sz val="12"/>
        <color theme="1"/>
        <rFont val="Aptos"/>
        <family val="2"/>
      </rPr>
      <t>6</t>
    </r>
    <r>
      <rPr>
        <sz val="12"/>
        <color theme="1"/>
        <rFont val="Aptos"/>
        <family val="2"/>
      </rPr>
      <t xml:space="preserve"> and PFCs from other product use</t>
    </r>
  </si>
  <si>
    <r>
      <t>N</t>
    </r>
    <r>
      <rPr>
        <vertAlign val="subscript"/>
        <sz val="12"/>
        <color rgb="FF000000"/>
        <rFont val="Aptos"/>
        <family val="2"/>
      </rPr>
      <t>2</t>
    </r>
    <r>
      <rPr>
        <sz val="12"/>
        <color rgb="FF000000"/>
        <rFont val="Aptos"/>
        <family val="2"/>
      </rPr>
      <t>O (MMTCO</t>
    </r>
    <r>
      <rPr>
        <vertAlign val="subscript"/>
        <sz val="12"/>
        <color rgb="FF000000"/>
        <rFont val="Aptos"/>
        <family val="2"/>
      </rPr>
      <t>2</t>
    </r>
    <r>
      <rPr>
        <sz val="12"/>
        <color rgb="FF000000"/>
        <rFont val="Aptos"/>
        <family val="2"/>
      </rPr>
      <t>e)</t>
    </r>
  </si>
  <si>
    <r>
      <t>MA N</t>
    </r>
    <r>
      <rPr>
        <b/>
        <vertAlign val="subscript"/>
        <sz val="12"/>
        <rFont val="Aptos"/>
        <family val="2"/>
      </rPr>
      <t>2</t>
    </r>
    <r>
      <rPr>
        <b/>
        <sz val="12"/>
        <rFont val="Aptos"/>
        <family val="2"/>
      </rPr>
      <t>O Emissions by Sector (MMTCO</t>
    </r>
    <r>
      <rPr>
        <b/>
        <vertAlign val="subscript"/>
        <sz val="12"/>
        <rFont val="Aptos"/>
        <family val="2"/>
      </rPr>
      <t>2</t>
    </r>
    <r>
      <rPr>
        <b/>
        <sz val="12"/>
        <rFont val="Aptos"/>
        <family val="2"/>
      </rPr>
      <t>e)</t>
    </r>
  </si>
  <si>
    <r>
      <t>MA CO</t>
    </r>
    <r>
      <rPr>
        <b/>
        <vertAlign val="subscript"/>
        <sz val="12"/>
        <rFont val="Aptos"/>
        <family val="2"/>
      </rPr>
      <t>2</t>
    </r>
    <r>
      <rPr>
        <b/>
        <sz val="12"/>
        <rFont val="Aptos"/>
        <family val="2"/>
      </rPr>
      <t xml:space="preserve"> Emissions by Sector (MMTCO</t>
    </r>
    <r>
      <rPr>
        <b/>
        <vertAlign val="subscript"/>
        <sz val="12"/>
        <rFont val="Aptos"/>
        <family val="2"/>
      </rPr>
      <t>2</t>
    </r>
    <r>
      <rPr>
        <b/>
        <sz val="12"/>
        <rFont val="Aptos"/>
        <family val="2"/>
      </rPr>
      <t>e)</t>
    </r>
  </si>
  <si>
    <r>
      <t>MA CH</t>
    </r>
    <r>
      <rPr>
        <b/>
        <vertAlign val="subscript"/>
        <sz val="12"/>
        <rFont val="Aptos"/>
        <family val="2"/>
      </rPr>
      <t>4</t>
    </r>
    <r>
      <rPr>
        <b/>
        <sz val="12"/>
        <rFont val="Aptos"/>
        <family val="2"/>
      </rPr>
      <t xml:space="preserve"> Emissions by Sector (MMTCO</t>
    </r>
    <r>
      <rPr>
        <b/>
        <vertAlign val="subscript"/>
        <sz val="12"/>
        <rFont val="Aptos"/>
        <family val="2"/>
      </rPr>
      <t>2</t>
    </r>
    <r>
      <rPr>
        <b/>
        <sz val="12"/>
        <rFont val="Aptos"/>
        <family val="2"/>
      </rPr>
      <t>e)</t>
    </r>
  </si>
  <si>
    <r>
      <t>MA Emissions as Metric Tons of CO</t>
    </r>
    <r>
      <rPr>
        <b/>
        <vertAlign val="subscript"/>
        <sz val="12"/>
        <rFont val="Aptos"/>
        <family val="2"/>
      </rPr>
      <t>2</t>
    </r>
    <r>
      <rPr>
        <b/>
        <sz val="12"/>
        <rFont val="Aptos"/>
        <family val="2"/>
      </rPr>
      <t>, CH</t>
    </r>
    <r>
      <rPr>
        <b/>
        <vertAlign val="subscript"/>
        <sz val="12"/>
        <rFont val="Aptos"/>
        <family val="2"/>
      </rPr>
      <t>4</t>
    </r>
    <r>
      <rPr>
        <b/>
        <sz val="12"/>
        <rFont val="Aptos"/>
        <family val="2"/>
      </rPr>
      <t xml:space="preserve"> and N</t>
    </r>
    <r>
      <rPr>
        <b/>
        <vertAlign val="subscript"/>
        <sz val="12"/>
        <rFont val="Aptos"/>
        <family val="2"/>
      </rPr>
      <t>2</t>
    </r>
    <r>
      <rPr>
        <b/>
        <sz val="12"/>
        <rFont val="Aptos"/>
        <family val="2"/>
      </rPr>
      <t>O</t>
    </r>
  </si>
  <si>
    <r>
      <t>There are no CH</t>
    </r>
    <r>
      <rPr>
        <vertAlign val="subscript"/>
        <sz val="12"/>
        <rFont val="Aptos"/>
        <family val="2"/>
      </rPr>
      <t>4</t>
    </r>
    <r>
      <rPr>
        <sz val="12"/>
        <rFont val="Aptos"/>
        <family val="2"/>
      </rPr>
      <t xml:space="preserve"> or N</t>
    </r>
    <r>
      <rPr>
        <vertAlign val="subscript"/>
        <sz val="12"/>
        <rFont val="Aptos"/>
        <family val="2"/>
      </rPr>
      <t>2</t>
    </r>
    <r>
      <rPr>
        <sz val="12"/>
        <rFont val="Aptos"/>
        <family val="2"/>
      </rPr>
      <t>O emissions from this process.</t>
    </r>
  </si>
  <si>
    <r>
      <t>CH</t>
    </r>
    <r>
      <rPr>
        <b/>
        <vertAlign val="subscript"/>
        <sz val="16"/>
        <rFont val="Aptos"/>
        <family val="2"/>
      </rPr>
      <t>4</t>
    </r>
    <r>
      <rPr>
        <b/>
        <sz val="16"/>
        <rFont val="Aptos"/>
        <family val="2"/>
      </rPr>
      <t xml:space="preserve"> and N</t>
    </r>
    <r>
      <rPr>
        <b/>
        <vertAlign val="subscript"/>
        <sz val="16"/>
        <rFont val="Aptos"/>
        <family val="2"/>
      </rPr>
      <t>2</t>
    </r>
    <r>
      <rPr>
        <b/>
        <sz val="16"/>
        <rFont val="Aptos"/>
        <family val="2"/>
      </rPr>
      <t>O Emissions from Stationary Combustion - MA Summary</t>
    </r>
  </si>
  <si>
    <r>
      <t>CH</t>
    </r>
    <r>
      <rPr>
        <vertAlign val="subscript"/>
        <sz val="12"/>
        <rFont val="Aptos"/>
        <family val="2"/>
      </rPr>
      <t>4</t>
    </r>
    <r>
      <rPr>
        <sz val="12"/>
        <rFont val="Aptos"/>
        <family val="2"/>
      </rPr>
      <t xml:space="preserve"> and N</t>
    </r>
    <r>
      <rPr>
        <vertAlign val="subscript"/>
        <sz val="12"/>
        <rFont val="Aptos"/>
        <family val="2"/>
      </rPr>
      <t>2</t>
    </r>
    <r>
      <rPr>
        <sz val="12"/>
        <rFont val="Aptos"/>
        <family val="2"/>
      </rPr>
      <t>O from Stationary Combustion</t>
    </r>
  </si>
  <si>
    <r>
      <t>Summary Data from EPA SIT: Stationary CH</t>
    </r>
    <r>
      <rPr>
        <vertAlign val="subscript"/>
        <sz val="12"/>
        <rFont val="Aptos"/>
        <family val="2"/>
      </rPr>
      <t>4</t>
    </r>
    <r>
      <rPr>
        <sz val="12"/>
        <rFont val="Aptos"/>
        <family val="2"/>
      </rPr>
      <t xml:space="preserve"> and N</t>
    </r>
    <r>
      <rPr>
        <vertAlign val="subscript"/>
        <sz val="12"/>
        <rFont val="Aptos"/>
        <family val="2"/>
      </rPr>
      <t>2</t>
    </r>
    <r>
      <rPr>
        <sz val="12"/>
        <rFont val="Aptos"/>
        <family val="2"/>
      </rPr>
      <t>O Emissions (MMTCO</t>
    </r>
    <r>
      <rPr>
        <vertAlign val="subscript"/>
        <sz val="12"/>
        <rFont val="Aptos"/>
        <family val="2"/>
      </rPr>
      <t>2</t>
    </r>
    <r>
      <rPr>
        <sz val="12"/>
        <rFont val="Aptos"/>
        <family val="2"/>
      </rPr>
      <t>e)</t>
    </r>
  </si>
  <si>
    <r>
      <t>Summary Data from Biogenic Combustion Worksheet: CH</t>
    </r>
    <r>
      <rPr>
        <vertAlign val="subscript"/>
        <sz val="12"/>
        <rFont val="Aptos"/>
        <family val="2"/>
      </rPr>
      <t>4</t>
    </r>
    <r>
      <rPr>
        <sz val="12"/>
        <rFont val="Aptos"/>
        <family val="2"/>
      </rPr>
      <t xml:space="preserve"> and N</t>
    </r>
    <r>
      <rPr>
        <vertAlign val="subscript"/>
        <sz val="12"/>
        <rFont val="Aptos"/>
        <family val="2"/>
      </rPr>
      <t>2</t>
    </r>
    <r>
      <rPr>
        <sz val="12"/>
        <rFont val="Aptos"/>
        <family val="2"/>
      </rPr>
      <t>O (MMTCO</t>
    </r>
    <r>
      <rPr>
        <vertAlign val="subscript"/>
        <sz val="12"/>
        <rFont val="Aptos"/>
        <family val="2"/>
      </rPr>
      <t>2</t>
    </r>
    <r>
      <rPr>
        <sz val="12"/>
        <rFont val="Aptos"/>
        <family val="2"/>
      </rPr>
      <t>e)</t>
    </r>
  </si>
  <si>
    <r>
      <t>CH</t>
    </r>
    <r>
      <rPr>
        <vertAlign val="subscript"/>
        <sz val="12"/>
        <rFont val="Aptos"/>
        <family val="2"/>
      </rPr>
      <t>4</t>
    </r>
    <r>
      <rPr>
        <sz val="12"/>
        <rFont val="Aptos"/>
        <family val="2"/>
      </rPr>
      <t xml:space="preserve"> and N</t>
    </r>
    <r>
      <rPr>
        <vertAlign val="subscript"/>
        <sz val="12"/>
        <rFont val="Aptos"/>
        <family val="2"/>
      </rPr>
      <t>2</t>
    </r>
    <r>
      <rPr>
        <sz val="12"/>
        <rFont val="Aptos"/>
        <family val="2"/>
      </rPr>
      <t>O Totals by Sector (MMTCO</t>
    </r>
    <r>
      <rPr>
        <vertAlign val="subscript"/>
        <sz val="12"/>
        <rFont val="Aptos"/>
        <family val="2"/>
      </rPr>
      <t>2</t>
    </r>
    <r>
      <rPr>
        <sz val="12"/>
        <rFont val="Aptos"/>
        <family val="2"/>
      </rPr>
      <t>e)</t>
    </r>
  </si>
  <si>
    <r>
      <t>Additional CH</t>
    </r>
    <r>
      <rPr>
        <vertAlign val="subscript"/>
        <sz val="12"/>
        <rFont val="Aptos"/>
        <family val="2"/>
      </rPr>
      <t>4</t>
    </r>
    <r>
      <rPr>
        <sz val="12"/>
        <rFont val="Aptos"/>
        <family val="2"/>
      </rPr>
      <t xml:space="preserve"> and N</t>
    </r>
    <r>
      <rPr>
        <vertAlign val="subscript"/>
        <sz val="12"/>
        <rFont val="Aptos"/>
        <family val="2"/>
      </rPr>
      <t>2</t>
    </r>
    <r>
      <rPr>
        <sz val="12"/>
        <rFont val="Aptos"/>
        <family val="2"/>
      </rPr>
      <t>O Emissions from Other Data Sources (1 Table)</t>
    </r>
  </si>
  <si>
    <r>
      <t>Fuel Specific Summary Data from EPA SIT: Stationary CH</t>
    </r>
    <r>
      <rPr>
        <vertAlign val="subscript"/>
        <sz val="12"/>
        <rFont val="Aptos"/>
        <family val="2"/>
      </rPr>
      <t>4</t>
    </r>
    <r>
      <rPr>
        <sz val="12"/>
        <rFont val="Aptos"/>
        <family val="2"/>
      </rPr>
      <t xml:space="preserve"> and N</t>
    </r>
    <r>
      <rPr>
        <vertAlign val="subscript"/>
        <sz val="12"/>
        <rFont val="Aptos"/>
        <family val="2"/>
      </rPr>
      <t>2</t>
    </r>
    <r>
      <rPr>
        <sz val="12"/>
        <rFont val="Aptos"/>
        <family val="2"/>
      </rPr>
      <t>O Emissions (MMTCO</t>
    </r>
    <r>
      <rPr>
        <vertAlign val="subscript"/>
        <sz val="12"/>
        <rFont val="Aptos"/>
        <family val="2"/>
      </rPr>
      <t>2</t>
    </r>
    <r>
      <rPr>
        <sz val="12"/>
        <rFont val="Aptos"/>
        <family val="2"/>
      </rPr>
      <t>e)</t>
    </r>
  </si>
  <si>
    <r>
      <t>Fuel Specific Summary Data from Biogenic Combustion Worksheet: CH</t>
    </r>
    <r>
      <rPr>
        <vertAlign val="subscript"/>
        <sz val="12"/>
        <rFont val="Aptos"/>
        <family val="2"/>
      </rPr>
      <t>4</t>
    </r>
    <r>
      <rPr>
        <sz val="12"/>
        <rFont val="Aptos"/>
        <family val="2"/>
      </rPr>
      <t xml:space="preserve"> and N</t>
    </r>
    <r>
      <rPr>
        <vertAlign val="subscript"/>
        <sz val="12"/>
        <rFont val="Aptos"/>
        <family val="2"/>
      </rPr>
      <t>2</t>
    </r>
    <r>
      <rPr>
        <sz val="12"/>
        <rFont val="Aptos"/>
        <family val="2"/>
      </rPr>
      <t>O (MMTCO</t>
    </r>
    <r>
      <rPr>
        <vertAlign val="subscript"/>
        <sz val="12"/>
        <rFont val="Aptos"/>
        <family val="2"/>
      </rPr>
      <t>2</t>
    </r>
    <r>
      <rPr>
        <sz val="12"/>
        <rFont val="Aptos"/>
        <family val="2"/>
      </rPr>
      <t>e)</t>
    </r>
  </si>
  <si>
    <r>
      <t>Summary Data from EPA SIT: Stationary CH</t>
    </r>
    <r>
      <rPr>
        <b/>
        <vertAlign val="subscript"/>
        <sz val="12"/>
        <rFont val="Aptos"/>
        <family val="2"/>
      </rPr>
      <t>4</t>
    </r>
    <r>
      <rPr>
        <b/>
        <sz val="12"/>
        <rFont val="Aptos"/>
        <family val="2"/>
      </rPr>
      <t xml:space="preserve"> and N</t>
    </r>
    <r>
      <rPr>
        <b/>
        <vertAlign val="subscript"/>
        <sz val="12"/>
        <rFont val="Aptos"/>
        <family val="2"/>
      </rPr>
      <t>2</t>
    </r>
    <r>
      <rPr>
        <b/>
        <sz val="12"/>
        <rFont val="Aptos"/>
        <family val="2"/>
      </rPr>
      <t>O Emissions (MMTCO</t>
    </r>
    <r>
      <rPr>
        <b/>
        <vertAlign val="subscript"/>
        <sz val="12"/>
        <rFont val="Aptos"/>
        <family val="2"/>
      </rPr>
      <t>2</t>
    </r>
    <r>
      <rPr>
        <b/>
        <sz val="12"/>
        <rFont val="Aptos"/>
        <family val="2"/>
      </rPr>
      <t>e)</t>
    </r>
  </si>
  <si>
    <r>
      <t>N</t>
    </r>
    <r>
      <rPr>
        <vertAlign val="subscript"/>
        <sz val="12"/>
        <rFont val="Aptos"/>
        <family val="2"/>
      </rPr>
      <t>2</t>
    </r>
    <r>
      <rPr>
        <sz val="12"/>
        <rFont val="Aptos"/>
        <family val="2"/>
      </rPr>
      <t>O</t>
    </r>
  </si>
  <si>
    <r>
      <t>CH</t>
    </r>
    <r>
      <rPr>
        <vertAlign val="subscript"/>
        <sz val="12"/>
        <rFont val="Aptos"/>
        <family val="2"/>
      </rPr>
      <t>4</t>
    </r>
  </si>
  <si>
    <r>
      <t>Summary Data from Biogenic Combustion Worksheet: CH</t>
    </r>
    <r>
      <rPr>
        <b/>
        <vertAlign val="subscript"/>
        <sz val="12"/>
        <rFont val="Aptos"/>
        <family val="2"/>
      </rPr>
      <t>4</t>
    </r>
    <r>
      <rPr>
        <b/>
        <sz val="12"/>
        <rFont val="Aptos"/>
        <family val="2"/>
      </rPr>
      <t xml:space="preserve"> and N</t>
    </r>
    <r>
      <rPr>
        <b/>
        <vertAlign val="subscript"/>
        <sz val="12"/>
        <rFont val="Aptos"/>
        <family val="2"/>
      </rPr>
      <t>2</t>
    </r>
    <r>
      <rPr>
        <b/>
        <sz val="12"/>
        <rFont val="Aptos"/>
        <family val="2"/>
      </rPr>
      <t>O (MMTCO</t>
    </r>
    <r>
      <rPr>
        <b/>
        <vertAlign val="subscript"/>
        <sz val="12"/>
        <rFont val="Aptos"/>
        <family val="2"/>
      </rPr>
      <t>2</t>
    </r>
    <r>
      <rPr>
        <b/>
        <sz val="12"/>
        <rFont val="Aptos"/>
        <family val="2"/>
      </rPr>
      <t>e)</t>
    </r>
  </si>
  <si>
    <r>
      <t>CH</t>
    </r>
    <r>
      <rPr>
        <b/>
        <vertAlign val="subscript"/>
        <sz val="12"/>
        <rFont val="Aptos"/>
        <family val="2"/>
      </rPr>
      <t>4</t>
    </r>
    <r>
      <rPr>
        <b/>
        <sz val="12"/>
        <rFont val="Aptos"/>
        <family val="2"/>
      </rPr>
      <t xml:space="preserve"> and N</t>
    </r>
    <r>
      <rPr>
        <b/>
        <vertAlign val="subscript"/>
        <sz val="12"/>
        <rFont val="Aptos"/>
        <family val="2"/>
      </rPr>
      <t>2</t>
    </r>
    <r>
      <rPr>
        <b/>
        <sz val="12"/>
        <rFont val="Aptos"/>
        <family val="2"/>
      </rPr>
      <t>O Totals by Sector (MMTCO</t>
    </r>
    <r>
      <rPr>
        <b/>
        <vertAlign val="subscript"/>
        <sz val="12"/>
        <rFont val="Aptos"/>
        <family val="2"/>
      </rPr>
      <t>2</t>
    </r>
    <r>
      <rPr>
        <b/>
        <sz val="12"/>
        <rFont val="Aptos"/>
        <family val="2"/>
      </rPr>
      <t>e)</t>
    </r>
  </si>
  <si>
    <r>
      <t>Additional CH</t>
    </r>
    <r>
      <rPr>
        <b/>
        <vertAlign val="subscript"/>
        <sz val="12"/>
        <rFont val="Aptos"/>
        <family val="2"/>
      </rPr>
      <t>4</t>
    </r>
    <r>
      <rPr>
        <b/>
        <sz val="12"/>
        <rFont val="Aptos"/>
        <family val="2"/>
      </rPr>
      <t xml:space="preserve"> and N</t>
    </r>
    <r>
      <rPr>
        <b/>
        <vertAlign val="subscript"/>
        <sz val="12"/>
        <rFont val="Aptos"/>
        <family val="2"/>
      </rPr>
      <t>2</t>
    </r>
    <r>
      <rPr>
        <b/>
        <sz val="12"/>
        <rFont val="Aptos"/>
        <family val="2"/>
      </rPr>
      <t>O Emissions from Other Data Sources and Calculations</t>
    </r>
  </si>
  <si>
    <r>
      <t>GHG (MMTCO</t>
    </r>
    <r>
      <rPr>
        <vertAlign val="subscript"/>
        <sz val="12"/>
        <rFont val="Aptos"/>
        <family val="2"/>
      </rPr>
      <t>2</t>
    </r>
    <r>
      <rPr>
        <sz val="12"/>
        <rFont val="Aptos"/>
        <family val="2"/>
      </rPr>
      <t>e)</t>
    </r>
  </si>
  <si>
    <r>
      <t>N</t>
    </r>
    <r>
      <rPr>
        <vertAlign val="subscript"/>
        <sz val="12"/>
        <rFont val="Aptos"/>
        <family val="2"/>
      </rPr>
      <t>2</t>
    </r>
    <r>
      <rPr>
        <sz val="12"/>
        <rFont val="Aptos"/>
        <family val="2"/>
      </rPr>
      <t>O (MMTCO</t>
    </r>
    <r>
      <rPr>
        <vertAlign val="subscript"/>
        <sz val="12"/>
        <rFont val="Aptos"/>
        <family val="2"/>
      </rPr>
      <t>2</t>
    </r>
    <r>
      <rPr>
        <sz val="12"/>
        <rFont val="Aptos"/>
        <family val="2"/>
      </rPr>
      <t>e)</t>
    </r>
  </si>
  <si>
    <r>
      <t>CH</t>
    </r>
    <r>
      <rPr>
        <vertAlign val="subscript"/>
        <sz val="12"/>
        <rFont val="Aptos"/>
        <family val="2"/>
      </rPr>
      <t>4</t>
    </r>
    <r>
      <rPr>
        <sz val="12"/>
        <rFont val="Aptos"/>
        <family val="2"/>
      </rPr>
      <t xml:space="preserve"> (MMTCO</t>
    </r>
    <r>
      <rPr>
        <vertAlign val="subscript"/>
        <sz val="12"/>
        <rFont val="Aptos"/>
        <family val="2"/>
      </rPr>
      <t>2</t>
    </r>
    <r>
      <rPr>
        <sz val="12"/>
        <rFont val="Aptos"/>
        <family val="2"/>
      </rPr>
      <t>e)</t>
    </r>
  </si>
  <si>
    <r>
      <t>BBTU (from Combustion CO</t>
    </r>
    <r>
      <rPr>
        <vertAlign val="subscript"/>
        <sz val="12"/>
        <rFont val="Aptos"/>
        <family val="2"/>
      </rPr>
      <t>2</t>
    </r>
    <r>
      <rPr>
        <sz val="12"/>
        <rFont val="Aptos"/>
        <family val="2"/>
      </rPr>
      <t xml:space="preserve"> Worksheet)</t>
    </r>
  </si>
  <si>
    <r>
      <t>Fuel Specific Summary Data from EPA SIT: Stationary CH</t>
    </r>
    <r>
      <rPr>
        <b/>
        <vertAlign val="subscript"/>
        <sz val="12"/>
        <rFont val="Aptos"/>
        <family val="2"/>
      </rPr>
      <t>4</t>
    </r>
    <r>
      <rPr>
        <b/>
        <sz val="12"/>
        <rFont val="Aptos"/>
        <family val="2"/>
      </rPr>
      <t xml:space="preserve"> and N</t>
    </r>
    <r>
      <rPr>
        <b/>
        <vertAlign val="subscript"/>
        <sz val="12"/>
        <rFont val="Aptos"/>
        <family val="2"/>
      </rPr>
      <t>2</t>
    </r>
    <r>
      <rPr>
        <b/>
        <sz val="12"/>
        <rFont val="Aptos"/>
        <family val="2"/>
      </rPr>
      <t>O Emissions (MMTCO</t>
    </r>
    <r>
      <rPr>
        <b/>
        <vertAlign val="subscript"/>
        <sz val="12"/>
        <rFont val="Aptos"/>
        <family val="2"/>
      </rPr>
      <t>2</t>
    </r>
    <r>
      <rPr>
        <b/>
        <sz val="12"/>
        <rFont val="Aptos"/>
        <family val="2"/>
      </rPr>
      <t>e)</t>
    </r>
  </si>
  <si>
    <r>
      <t>Fuel Specific Summary Data from Biogenic Combustion Worksheet: CH</t>
    </r>
    <r>
      <rPr>
        <b/>
        <vertAlign val="subscript"/>
        <sz val="12"/>
        <rFont val="Aptos"/>
        <family val="2"/>
      </rPr>
      <t>4</t>
    </r>
    <r>
      <rPr>
        <b/>
        <sz val="12"/>
        <rFont val="Aptos"/>
        <family val="2"/>
      </rPr>
      <t xml:space="preserve"> and N</t>
    </r>
    <r>
      <rPr>
        <b/>
        <vertAlign val="subscript"/>
        <sz val="12"/>
        <rFont val="Aptos"/>
        <family val="2"/>
      </rPr>
      <t>2</t>
    </r>
    <r>
      <rPr>
        <b/>
        <sz val="12"/>
        <rFont val="Aptos"/>
        <family val="2"/>
      </rPr>
      <t>O (MMTCO</t>
    </r>
    <r>
      <rPr>
        <b/>
        <vertAlign val="subscript"/>
        <sz val="12"/>
        <rFont val="Aptos"/>
        <family val="2"/>
      </rPr>
      <t>2</t>
    </r>
    <r>
      <rPr>
        <b/>
        <sz val="12"/>
        <rFont val="Aptos"/>
        <family val="2"/>
      </rPr>
      <t>e)</t>
    </r>
  </si>
  <si>
    <t>Jan. 2022</t>
  </si>
  <si>
    <r>
      <t>CH</t>
    </r>
    <r>
      <rPr>
        <vertAlign val="subscript"/>
        <sz val="12"/>
        <color theme="1"/>
        <rFont val="Aptos"/>
        <family val="2"/>
      </rPr>
      <t>4</t>
    </r>
    <r>
      <rPr>
        <sz val="12"/>
        <color theme="1"/>
        <rFont val="Aptos"/>
        <family val="2"/>
      </rPr>
      <t xml:space="preserve"> as MMTCO</t>
    </r>
    <r>
      <rPr>
        <vertAlign val="subscript"/>
        <sz val="12"/>
        <color theme="1"/>
        <rFont val="Aptos"/>
        <family val="2"/>
      </rPr>
      <t>2</t>
    </r>
    <r>
      <rPr>
        <sz val="12"/>
        <color theme="1"/>
        <rFont val="Aptos"/>
        <family val="2"/>
      </rPr>
      <t>e</t>
    </r>
  </si>
  <si>
    <r>
      <t>N</t>
    </r>
    <r>
      <rPr>
        <vertAlign val="subscript"/>
        <sz val="12"/>
        <color theme="1"/>
        <rFont val="Aptos"/>
        <family val="2"/>
      </rPr>
      <t>2</t>
    </r>
    <r>
      <rPr>
        <sz val="12"/>
        <color theme="1"/>
        <rFont val="Aptos"/>
        <family val="2"/>
      </rPr>
      <t>O as MMTCO</t>
    </r>
    <r>
      <rPr>
        <vertAlign val="subscript"/>
        <sz val="12"/>
        <color theme="1"/>
        <rFont val="Aptos"/>
        <family val="2"/>
      </rPr>
      <t>2</t>
    </r>
    <r>
      <rPr>
        <sz val="12"/>
        <color theme="1"/>
        <rFont val="Aptos"/>
        <family val="2"/>
      </rPr>
      <t>e</t>
    </r>
  </si>
  <si>
    <r>
      <t>SF</t>
    </r>
    <r>
      <rPr>
        <vertAlign val="subscript"/>
        <sz val="12"/>
        <color theme="1"/>
        <rFont val="Aptos"/>
        <family val="2"/>
      </rPr>
      <t>6</t>
    </r>
    <r>
      <rPr>
        <sz val="12"/>
        <color theme="1"/>
        <rFont val="Aptos"/>
        <family val="2"/>
      </rPr>
      <t xml:space="preserve"> and Other Gases as MMTCO</t>
    </r>
    <r>
      <rPr>
        <vertAlign val="subscript"/>
        <sz val="12"/>
        <color theme="1"/>
        <rFont val="Aptos"/>
        <family val="2"/>
      </rPr>
      <t>2</t>
    </r>
    <r>
      <rPr>
        <sz val="12"/>
        <color theme="1"/>
        <rFont val="Aptos"/>
        <family val="2"/>
      </rPr>
      <t>e</t>
    </r>
  </si>
  <si>
    <r>
      <t>SF</t>
    </r>
    <r>
      <rPr>
        <vertAlign val="subscript"/>
        <sz val="12"/>
        <color theme="1"/>
        <rFont val="Aptos"/>
        <family val="2"/>
      </rPr>
      <t>6</t>
    </r>
    <r>
      <rPr>
        <sz val="12"/>
        <color theme="1"/>
        <rFont val="Aptos"/>
        <family val="2"/>
      </rPr>
      <t xml:space="preserve"> from Electric Power TD as MMTCO</t>
    </r>
    <r>
      <rPr>
        <vertAlign val="subscript"/>
        <sz val="12"/>
        <color theme="1"/>
        <rFont val="Aptos"/>
        <family val="2"/>
      </rPr>
      <t>2</t>
    </r>
    <r>
      <rPr>
        <sz val="12"/>
        <color theme="1"/>
        <rFont val="Aptos"/>
        <family val="2"/>
      </rPr>
      <t>e</t>
    </r>
  </si>
  <si>
    <t>Methane Emissions in MA: Combustion and Non-Combustion</t>
  </si>
  <si>
    <t>Fossil Fuel Consumption</t>
  </si>
  <si>
    <r>
      <t>Imported Electric Power (CO</t>
    </r>
    <r>
      <rPr>
        <vertAlign val="subscript"/>
        <sz val="12"/>
        <color theme="1"/>
        <rFont val="Aptos"/>
        <family val="2"/>
      </rPr>
      <t>2</t>
    </r>
    <r>
      <rPr>
        <sz val="12"/>
        <color theme="1"/>
        <rFont val="Aptos"/>
        <family val="2"/>
      </rPr>
      <t>, CH</t>
    </r>
    <r>
      <rPr>
        <vertAlign val="subscript"/>
        <sz val="12"/>
        <color theme="1"/>
        <rFont val="Aptos"/>
        <family val="2"/>
      </rPr>
      <t>4</t>
    </r>
    <r>
      <rPr>
        <sz val="12"/>
        <color theme="1"/>
        <rFont val="Aptos"/>
        <family val="2"/>
      </rPr>
      <t xml:space="preserve"> and N</t>
    </r>
    <r>
      <rPr>
        <vertAlign val="subscript"/>
        <sz val="12"/>
        <color theme="1"/>
        <rFont val="Aptos"/>
        <family val="2"/>
      </rPr>
      <t>2</t>
    </r>
    <r>
      <rPr>
        <sz val="12"/>
        <color theme="1"/>
        <rFont val="Aptos"/>
        <family val="2"/>
      </rPr>
      <t>O combined) as MMTCO</t>
    </r>
    <r>
      <rPr>
        <vertAlign val="subscript"/>
        <sz val="12"/>
        <color theme="1"/>
        <rFont val="Aptos"/>
        <family val="2"/>
      </rPr>
      <t>2</t>
    </r>
    <r>
      <rPr>
        <sz val="12"/>
        <color theme="1"/>
        <rFont val="Aptos"/>
        <family val="2"/>
      </rPr>
      <t>e</t>
    </r>
  </si>
  <si>
    <t>Charts/Summary Tables</t>
  </si>
  <si>
    <t>Charts/Data Input Tables/Calculations</t>
  </si>
  <si>
    <t>Charts/Data Input Tables</t>
  </si>
  <si>
    <t>End of table</t>
  </si>
  <si>
    <t>End of Worksheet</t>
  </si>
  <si>
    <t>End of Workbook</t>
  </si>
  <si>
    <t>Tables</t>
  </si>
  <si>
    <t>Tables:</t>
  </si>
  <si>
    <t>Tables for NG Distribution and Post-Meter Emissions</t>
  </si>
  <si>
    <t>Supporting Tables:</t>
  </si>
  <si>
    <t>Table</t>
  </si>
  <si>
    <t>Data for Worksheet</t>
  </si>
  <si>
    <t>Chart Data if separate (Column H)</t>
  </si>
  <si>
    <t>Charts (Line Charts)</t>
  </si>
  <si>
    <t>Go to Table on Process Worksheet</t>
  </si>
  <si>
    <r>
      <t>Data for Stationary CH</t>
    </r>
    <r>
      <rPr>
        <b/>
        <vertAlign val="subscript"/>
        <sz val="12"/>
        <rFont val="Aptos"/>
        <family val="2"/>
      </rPr>
      <t>4</t>
    </r>
    <r>
      <rPr>
        <b/>
        <sz val="12"/>
        <rFont val="Aptos"/>
        <family val="2"/>
      </rPr>
      <t xml:space="preserve"> and N</t>
    </r>
    <r>
      <rPr>
        <b/>
        <vertAlign val="subscript"/>
        <sz val="12"/>
        <rFont val="Aptos"/>
        <family val="2"/>
      </rPr>
      <t>2</t>
    </r>
    <r>
      <rPr>
        <b/>
        <sz val="12"/>
        <rFont val="Aptos"/>
        <family val="2"/>
      </rPr>
      <t>O</t>
    </r>
  </si>
  <si>
    <t>Data for NG Distribution and Post-Meter</t>
  </si>
  <si>
    <t>Data for NG Transmission and Storage</t>
  </si>
  <si>
    <t>Data for Industrial Processes</t>
  </si>
  <si>
    <t>Data for Agriculture</t>
  </si>
  <si>
    <t>Data for Wastewater</t>
  </si>
  <si>
    <t>Data for Solid Waste</t>
  </si>
  <si>
    <t>Data Source Key:</t>
  </si>
  <si>
    <t>Accounted for Elsewhere</t>
  </si>
  <si>
    <t>Result</t>
  </si>
  <si>
    <t>Based on Placeholder Average</t>
  </si>
  <si>
    <t>Adjusted (italics)</t>
  </si>
  <si>
    <t>Data</t>
  </si>
  <si>
    <t>Data for Natural and Working Lands</t>
  </si>
  <si>
    <t>Tables for 1990-2000 Data</t>
  </si>
  <si>
    <t>Go to Tables for 1990-2000 Data on Electricity Imports Worksheet</t>
  </si>
  <si>
    <t>Go to Tables for Post-Meter Leaks</t>
  </si>
  <si>
    <t>MA GHG Emissions by Gas as Percent of Total (2023)</t>
  </si>
  <si>
    <t>Percent of 2023 Total MA GHG Emissions by Sector</t>
  </si>
  <si>
    <t>Percent of Total MA GHG Emissions by Sector (2023)</t>
  </si>
  <si>
    <r>
      <t>CH</t>
    </r>
    <r>
      <rPr>
        <vertAlign val="subscript"/>
        <sz val="12"/>
        <color indexed="8"/>
        <rFont val="Aptos"/>
        <family val="2"/>
      </rPr>
      <t>4</t>
    </r>
    <r>
      <rPr>
        <sz val="12"/>
        <color indexed="8"/>
        <rFont val="Aptos"/>
        <family val="2"/>
      </rPr>
      <t xml:space="preserve"> and N</t>
    </r>
    <r>
      <rPr>
        <vertAlign val="subscript"/>
        <sz val="12"/>
        <color indexed="8"/>
        <rFont val="Aptos"/>
        <family val="2"/>
      </rPr>
      <t>2</t>
    </r>
    <r>
      <rPr>
        <sz val="12"/>
        <color indexed="8"/>
        <rFont val="Aptos"/>
        <family val="2"/>
      </rPr>
      <t>O from Wood are calculated in Stationary Combustion for the Commercial Sector.</t>
    </r>
  </si>
  <si>
    <r>
      <t>CH</t>
    </r>
    <r>
      <rPr>
        <vertAlign val="subscript"/>
        <sz val="12"/>
        <color indexed="8"/>
        <rFont val="Aptos"/>
        <family val="2"/>
      </rPr>
      <t>4</t>
    </r>
    <r>
      <rPr>
        <sz val="12"/>
        <color indexed="8"/>
        <rFont val="Aptos"/>
        <family val="2"/>
      </rPr>
      <t xml:space="preserve"> and N</t>
    </r>
    <r>
      <rPr>
        <vertAlign val="subscript"/>
        <sz val="12"/>
        <color indexed="8"/>
        <rFont val="Aptos"/>
        <family val="2"/>
      </rPr>
      <t>2</t>
    </r>
    <r>
      <rPr>
        <sz val="12"/>
        <color indexed="8"/>
        <rFont val="Aptos"/>
        <family val="2"/>
      </rPr>
      <t>O from Wood are calculated in Stationary Combustion for the Industrial Sector.</t>
    </r>
  </si>
  <si>
    <t>Chart: MA GHG Emissions 1990-2023 showing 2020, 2025 and 2030 Limits</t>
  </si>
  <si>
    <t>Chart (data from Summary Worksheet)</t>
  </si>
  <si>
    <t>Charts (data from Summary, Process and Biogenic Summary Worksheets)</t>
  </si>
  <si>
    <r>
      <t>CH</t>
    </r>
    <r>
      <rPr>
        <vertAlign val="subscript"/>
        <sz val="12"/>
        <rFont val="Aptos"/>
        <family val="2"/>
      </rPr>
      <t>4</t>
    </r>
    <r>
      <rPr>
        <sz val="12"/>
        <rFont val="Aptos"/>
        <family val="2"/>
      </rPr>
      <t xml:space="preserve"> and N</t>
    </r>
    <r>
      <rPr>
        <vertAlign val="subscript"/>
        <sz val="12"/>
        <rFont val="Aptos"/>
        <family val="2"/>
      </rPr>
      <t>2</t>
    </r>
    <r>
      <rPr>
        <sz val="12"/>
        <rFont val="Aptos"/>
        <family val="2"/>
      </rPr>
      <t>O from Mobile Fuel Combustion and Total Stationary*</t>
    </r>
  </si>
  <si>
    <t>*Total Stationary values from the Process Worksheet</t>
  </si>
  <si>
    <t>Overall Biogenic GHGs*</t>
  </si>
  <si>
    <t>*Total Net NWL emissions from Natural and Working Lands Worksheet</t>
  </si>
  <si>
    <t>Title of Worksheet</t>
  </si>
  <si>
    <t>Go to Summary Tables</t>
  </si>
  <si>
    <t>Go to Data on NG Transmission and Storage Emissions Worksheet</t>
  </si>
  <si>
    <t>Go to Data on NG Distribution and Post-Meter Emissions Worksheet</t>
  </si>
  <si>
    <t>Data and Calculations can be found in</t>
  </si>
  <si>
    <t>Location and Information on Each Worksheet</t>
  </si>
  <si>
    <t>Cell A3 on NG Sum Distribution PostMeter and Electricity Imports Worksheets (with Data/Tables links in Cell A4)</t>
  </si>
  <si>
    <t>End of Table</t>
  </si>
  <si>
    <t>2025 Massachusetts Climate Report Card | Mass.gov</t>
  </si>
  <si>
    <t>Massachusetts Climate Report Card</t>
  </si>
  <si>
    <t>Order of Worksheets with links to Worksheets and Information provided on each Worksheet</t>
  </si>
  <si>
    <t>Cell A2 on all worksheets</t>
  </si>
  <si>
    <t>Massachusetts Clean Energy and Climate Dashboard</t>
  </si>
  <si>
    <t>Massachusetts Clean Energy and Climate Metrics | Mass.gov</t>
  </si>
  <si>
    <t>Link</t>
  </si>
  <si>
    <t>Massachusetts GHG Information</t>
  </si>
  <si>
    <t>Massachusetts GHG Inventory webpage and Additional MA GHG Webpages and links</t>
  </si>
  <si>
    <t>Charts - Set 1 of 4 (Columns B through G)</t>
  </si>
  <si>
    <t>Charts - Set 2 of 4 (Columns B through U)</t>
  </si>
  <si>
    <r>
      <t>All GHGs (MMTCO</t>
    </r>
    <r>
      <rPr>
        <vertAlign val="subscript"/>
        <sz val="12"/>
        <color theme="1"/>
        <rFont val="Aptos"/>
        <family val="2"/>
      </rPr>
      <t>2</t>
    </r>
    <r>
      <rPr>
        <sz val="12"/>
        <color theme="1"/>
        <rFont val="Aptos"/>
        <family val="2"/>
      </rPr>
      <t>e)</t>
    </r>
  </si>
  <si>
    <t>Charts - Set 1 of 2 (Columns B through N)</t>
  </si>
  <si>
    <t>Charts - Set 2 of 2 (Columns B through P)</t>
  </si>
  <si>
    <t>Charts - Set 1 of 2 (Column B through Column S)</t>
  </si>
  <si>
    <t>Charts - Set 2 of 2 (Column B through Column AM)</t>
  </si>
  <si>
    <t>Charts - Set 1 of 1 (Columns B through AX)</t>
  </si>
  <si>
    <t>Charts - Set 1 of 2 (Columns B through BB)*</t>
  </si>
  <si>
    <t>Charts - Set 2 of 2 (Columns B through U)</t>
  </si>
  <si>
    <t>Charts - Set 1 of 2 (Columns B through S)</t>
  </si>
  <si>
    <t>Charts - Set 2 of 2 (Columns B through S)</t>
  </si>
  <si>
    <t>Charts - Set 1 of 1 (Columns B through W)</t>
  </si>
  <si>
    <t>Cell A3 on worksheets with Data Input Tables, skips over Worksheet Notes and/or Charts</t>
  </si>
  <si>
    <t>Cell A3 on worksheets with only Summary Tables (no Data Input Tables), skips over Worksheet Notes and/or Charts</t>
  </si>
  <si>
    <t>Chart Data (Column X)</t>
  </si>
  <si>
    <t>Percent</t>
  </si>
  <si>
    <t>Chart Data (both in Column AN)</t>
  </si>
  <si>
    <t>Chart Data (Column AR)</t>
  </si>
  <si>
    <t>Chart Data (Column AV)</t>
  </si>
  <si>
    <t>Canadian Provinces' Electricity Generation Greenhouse Gas Intensity Tables: Quebec (Column A) and New Brunswick (Column E) tables</t>
  </si>
  <si>
    <t>EIA Generation Data Adjustment: Whole ISO-NE (Column A), MA (Column J), ME (Column Q), NH (Column X), VT (Column AE), CT (Column AL) and RI (Column AS) Adjustment tables</t>
  </si>
  <si>
    <t>Charts - Set 1 of 5 (Columns B through AJ)</t>
  </si>
  <si>
    <t>Charts - Set 2 of 5 (Columns B through AI)</t>
  </si>
  <si>
    <t>Charts - Set 3 of 5 (Columns B through AA)</t>
  </si>
  <si>
    <t>Charts - Set 4 of 5 (Columns B through Q)</t>
  </si>
  <si>
    <t>Charts - Set 5 of 5 (Columns B through X)</t>
  </si>
  <si>
    <t>MA GHG Emissions Total (data from Summary Worksheet)</t>
  </si>
  <si>
    <t>MA GHG Emissions By Sector (data from Process Worksheet)</t>
  </si>
  <si>
    <t>MA GHG Emissions As Fuel Combustion (total) v Non-Fuel Combustion (sectors) (data from Summary Worksheet)</t>
  </si>
  <si>
    <t>MA GHG Emissions from Fuel Combustion By Sector (data from Process Worksheet)</t>
  </si>
  <si>
    <t>MA GHG Emissions from Fuel Combustion By Consolidated Sector (data from Summary Worksheet))</t>
  </si>
  <si>
    <t>MA GHG Emissions from Fuel Combustion By Alternate Sector (data from Summary Worksheet)</t>
  </si>
  <si>
    <t>MA GHG Emissions from Non-Fuel Combustion By Sector (data from Process Worksheet)</t>
  </si>
  <si>
    <t>MA GHG Emissions from Non-Fuel Combustion By Subsector (data from Process Worksheet)</t>
  </si>
  <si>
    <t>MA Natural and Working Lands (Chart is also on Biogenic Summary Worksheet.)</t>
  </si>
  <si>
    <t>Information Provided on this Contents Worksheet includes:</t>
  </si>
  <si>
    <t xml:space="preserve">A table with a guide to the order of worksheets (as links) and the type of information found on each Worksheet. </t>
  </si>
  <si>
    <t>Number of Pneumatic devices = 64</t>
  </si>
  <si>
    <t>Maine emissions (Columns AB and AC) were adjusted using placeholder averages to match the geographic scope of the EPA emissions data for Maine to that of ISO generation data.</t>
  </si>
  <si>
    <t xml:space="preserve">General Order of Information Presented on Each Worksheet: </t>
  </si>
  <si>
    <t>Charts/Data Input Tables/Calculations for Natural Gas Systems</t>
  </si>
  <si>
    <t>Charts/Summary Tables/Data Input Tables/Calculations for Natural Gas Systems</t>
  </si>
  <si>
    <t>MA GHG Inventory, Baseline Updates and Appendices:</t>
  </si>
  <si>
    <t>Statement of Compliance with 2020 MA Emissions Limit:</t>
  </si>
  <si>
    <t>The 1990 Baseline data in this file were finalized on December 21, 2022.</t>
  </si>
  <si>
    <t>Apr. 2022</t>
  </si>
  <si>
    <t>Oct. 2025</t>
  </si>
  <si>
    <t>Massachusetts Greenhouse Gas (GHG) Inventory - Contents</t>
  </si>
  <si>
    <t>Natural Gas (EIA Natural Gas Vehicle Fuel Consumption)</t>
  </si>
  <si>
    <t>*Notes: 1990 data will be available when the 1990 Baseline is next updated.</t>
  </si>
  <si>
    <t>Mcf to MMBTU</t>
  </si>
  <si>
    <t>Conversion Factors for Use of Natural Gas (NG) by NG Companies</t>
  </si>
  <si>
    <t>MWh to MMBTU (derived from EIA-923 data)</t>
  </si>
  <si>
    <t>NEPOOL GIS certificates to MWh</t>
  </si>
  <si>
    <t>Conversion Factors for Use of Natural Gas (NG) by Fuel Cells</t>
  </si>
  <si>
    <t>Emission Factors for Use of Natural Gas (NG) by NG Companies</t>
  </si>
  <si>
    <t>*Note: 1990 data will be available when the 1990 Baseline is next updated.</t>
  </si>
  <si>
    <t>*Notes: "Other" includes snowmobiles, small gasoline powered utility equipment, heavy-duty gasoline powered utility equipment, and heavy-duty diesel powered utility equipment.</t>
  </si>
  <si>
    <t>*Residential (using Residential Meters activity data from the NG Distribution sector through 2016; AHS (American Housing Survey) thereafter)</t>
  </si>
  <si>
    <t>**Commercial using Commercial Meters activity data from the NG Distribution sector.</t>
  </si>
  <si>
    <t>Heat Input values are from the U.S. Energy Information Administration (EIA) State Energy Data System (SEDS) or Form-923 Generation and Fuel Consumption Data except where noted.</t>
  </si>
  <si>
    <r>
      <t>MMTCO</t>
    </r>
    <r>
      <rPr>
        <b/>
        <vertAlign val="subscript"/>
        <sz val="12"/>
        <color theme="1"/>
        <rFont val="Aptos"/>
        <family val="2"/>
      </rPr>
      <t>2</t>
    </r>
    <r>
      <rPr>
        <b/>
        <sz val="12"/>
        <color theme="1"/>
        <rFont val="Aptos"/>
        <family val="2"/>
      </rPr>
      <t>e</t>
    </r>
  </si>
  <si>
    <r>
      <t>Photovoltaics, Semiconductor Manufacture, and Other Product Uses (N</t>
    </r>
    <r>
      <rPr>
        <vertAlign val="subscript"/>
        <sz val="12"/>
        <rFont val="Aptos"/>
        <family val="2"/>
      </rPr>
      <t>2</t>
    </r>
    <r>
      <rPr>
        <sz val="12"/>
        <rFont val="Aptos"/>
        <family val="2"/>
      </rPr>
      <t>O)</t>
    </r>
  </si>
  <si>
    <r>
      <t>NG EF factor for MMTCO</t>
    </r>
    <r>
      <rPr>
        <vertAlign val="subscript"/>
        <sz val="12"/>
        <rFont val="Aptos"/>
        <family val="2"/>
      </rPr>
      <t>2</t>
    </r>
    <r>
      <rPr>
        <sz val="12"/>
        <rFont val="Aptos"/>
        <family val="2"/>
      </rPr>
      <t>e of N</t>
    </r>
    <r>
      <rPr>
        <vertAlign val="subscript"/>
        <sz val="12"/>
        <rFont val="Aptos"/>
        <family val="2"/>
      </rPr>
      <t>2</t>
    </r>
    <r>
      <rPr>
        <sz val="12"/>
        <rFont val="Aptos"/>
        <family val="2"/>
      </rPr>
      <t>O/BBTU (from SIT Stationary)</t>
    </r>
  </si>
  <si>
    <r>
      <t>NG EF factor for MMTCO</t>
    </r>
    <r>
      <rPr>
        <vertAlign val="subscript"/>
        <sz val="12"/>
        <rFont val="Aptos"/>
        <family val="2"/>
      </rPr>
      <t>2</t>
    </r>
    <r>
      <rPr>
        <sz val="12"/>
        <rFont val="Aptos"/>
        <family val="2"/>
      </rPr>
      <t>e of CH</t>
    </r>
    <r>
      <rPr>
        <vertAlign val="subscript"/>
        <sz val="12"/>
        <rFont val="Aptos"/>
        <family val="2"/>
      </rPr>
      <t>4</t>
    </r>
    <r>
      <rPr>
        <sz val="12"/>
        <rFont val="Aptos"/>
        <family val="2"/>
      </rPr>
      <t>/BBTU (from SIT Stationary)</t>
    </r>
  </si>
  <si>
    <r>
      <t>CH</t>
    </r>
    <r>
      <rPr>
        <b/>
        <vertAlign val="subscript"/>
        <sz val="16"/>
        <rFont val="Aptos"/>
        <family val="2"/>
      </rPr>
      <t>4</t>
    </r>
    <r>
      <rPr>
        <b/>
        <sz val="16"/>
        <rFont val="Aptos"/>
        <family val="2"/>
      </rPr>
      <t xml:space="preserve"> and N</t>
    </r>
    <r>
      <rPr>
        <b/>
        <vertAlign val="subscript"/>
        <sz val="16"/>
        <rFont val="Aptos"/>
        <family val="2"/>
      </rPr>
      <t>2</t>
    </r>
    <r>
      <rPr>
        <b/>
        <sz val="16"/>
        <rFont val="Aptos"/>
        <family val="2"/>
      </rPr>
      <t>O Emissions from Mobile Combustion - MA Summary</t>
    </r>
  </si>
  <si>
    <r>
      <t>Data for Mobile CH</t>
    </r>
    <r>
      <rPr>
        <b/>
        <vertAlign val="subscript"/>
        <sz val="12"/>
        <rFont val="Aptos"/>
        <family val="2"/>
      </rPr>
      <t>4</t>
    </r>
    <r>
      <rPr>
        <b/>
        <sz val="12"/>
        <rFont val="Aptos"/>
        <family val="2"/>
      </rPr>
      <t xml:space="preserve"> and N</t>
    </r>
    <r>
      <rPr>
        <b/>
        <vertAlign val="subscript"/>
        <sz val="12"/>
        <rFont val="Aptos"/>
        <family val="2"/>
      </rPr>
      <t>2</t>
    </r>
    <r>
      <rPr>
        <b/>
        <sz val="12"/>
        <rFont val="Aptos"/>
        <family val="2"/>
      </rPr>
      <t>O</t>
    </r>
  </si>
  <si>
    <r>
      <t>MMTCO</t>
    </r>
    <r>
      <rPr>
        <vertAlign val="subscript"/>
        <sz val="12"/>
        <color theme="1"/>
        <rFont val="Aptos"/>
        <family val="2"/>
      </rPr>
      <t>2</t>
    </r>
    <r>
      <rPr>
        <sz val="12"/>
        <color theme="1"/>
        <rFont val="Aptos"/>
        <family val="2"/>
      </rPr>
      <t>e</t>
    </r>
  </si>
  <si>
    <r>
      <t>Total CH</t>
    </r>
    <r>
      <rPr>
        <vertAlign val="subscript"/>
        <sz val="12"/>
        <rFont val="Aptos"/>
        <family val="2"/>
      </rPr>
      <t>4</t>
    </r>
    <r>
      <rPr>
        <sz val="12"/>
        <rFont val="Aptos"/>
        <family val="2"/>
      </rPr>
      <t xml:space="preserve"> and N</t>
    </r>
    <r>
      <rPr>
        <vertAlign val="subscript"/>
        <sz val="12"/>
        <rFont val="Aptos"/>
        <family val="2"/>
      </rPr>
      <t>2</t>
    </r>
    <r>
      <rPr>
        <sz val="12"/>
        <rFont val="Aptos"/>
        <family val="2"/>
      </rPr>
      <t>O Emissions from Mobile Sources (MTCO</t>
    </r>
    <r>
      <rPr>
        <vertAlign val="subscript"/>
        <sz val="12"/>
        <rFont val="Aptos"/>
        <family val="2"/>
      </rPr>
      <t>2</t>
    </r>
    <r>
      <rPr>
        <sz val="12"/>
        <rFont val="Aptos"/>
        <family val="2"/>
      </rPr>
      <t>e)</t>
    </r>
  </si>
  <si>
    <r>
      <t>CH</t>
    </r>
    <r>
      <rPr>
        <vertAlign val="subscript"/>
        <sz val="12"/>
        <rFont val="Aptos"/>
        <family val="2"/>
      </rPr>
      <t>4</t>
    </r>
    <r>
      <rPr>
        <sz val="12"/>
        <rFont val="Aptos"/>
        <family val="2"/>
      </rPr>
      <t xml:space="preserve"> Emissions from Mobile Sources (MTCO</t>
    </r>
    <r>
      <rPr>
        <vertAlign val="subscript"/>
        <sz val="12"/>
        <rFont val="Aptos"/>
        <family val="2"/>
      </rPr>
      <t>2</t>
    </r>
    <r>
      <rPr>
        <sz val="12"/>
        <rFont val="Aptos"/>
        <family val="2"/>
      </rPr>
      <t>e)</t>
    </r>
  </si>
  <si>
    <r>
      <t>N</t>
    </r>
    <r>
      <rPr>
        <vertAlign val="subscript"/>
        <sz val="12"/>
        <rFont val="Aptos"/>
        <family val="2"/>
      </rPr>
      <t>2</t>
    </r>
    <r>
      <rPr>
        <sz val="12"/>
        <rFont val="Aptos"/>
        <family val="2"/>
      </rPr>
      <t>O Emissions from Mobile Sources (MTCO</t>
    </r>
    <r>
      <rPr>
        <vertAlign val="subscript"/>
        <sz val="12"/>
        <rFont val="Aptos"/>
        <family val="2"/>
      </rPr>
      <t>2</t>
    </r>
    <r>
      <rPr>
        <sz val="12"/>
        <rFont val="Aptos"/>
        <family val="2"/>
      </rPr>
      <t>e)</t>
    </r>
  </si>
  <si>
    <r>
      <t>Total CH</t>
    </r>
    <r>
      <rPr>
        <b/>
        <vertAlign val="subscript"/>
        <sz val="12"/>
        <rFont val="Aptos"/>
        <family val="2"/>
      </rPr>
      <t>4</t>
    </r>
    <r>
      <rPr>
        <b/>
        <sz val="12"/>
        <rFont val="Aptos"/>
        <family val="2"/>
      </rPr>
      <t xml:space="preserve"> and N</t>
    </r>
    <r>
      <rPr>
        <b/>
        <vertAlign val="subscript"/>
        <sz val="12"/>
        <rFont val="Aptos"/>
        <family val="2"/>
      </rPr>
      <t>2</t>
    </r>
    <r>
      <rPr>
        <b/>
        <sz val="12"/>
        <rFont val="Aptos"/>
        <family val="2"/>
      </rPr>
      <t>O Emissions from Mobile Sources (MTCO</t>
    </r>
    <r>
      <rPr>
        <b/>
        <vertAlign val="subscript"/>
        <sz val="12"/>
        <rFont val="Aptos"/>
        <family val="2"/>
      </rPr>
      <t>2</t>
    </r>
    <r>
      <rPr>
        <b/>
        <sz val="12"/>
        <rFont val="Aptos"/>
        <family val="2"/>
      </rPr>
      <t>e)</t>
    </r>
  </si>
  <si>
    <r>
      <t>For 2023, all mobile CH</t>
    </r>
    <r>
      <rPr>
        <vertAlign val="subscript"/>
        <sz val="12"/>
        <rFont val="Aptos"/>
        <family val="2"/>
      </rPr>
      <t>4</t>
    </r>
    <r>
      <rPr>
        <sz val="12"/>
        <rFont val="Aptos"/>
        <family val="2"/>
      </rPr>
      <t xml:space="preserve"> and N</t>
    </r>
    <r>
      <rPr>
        <vertAlign val="subscript"/>
        <sz val="12"/>
        <rFont val="Aptos"/>
        <family val="2"/>
      </rPr>
      <t>2</t>
    </r>
    <r>
      <rPr>
        <sz val="12"/>
        <rFont val="Aptos"/>
        <family val="2"/>
      </rPr>
      <t>O emissions are from the EPA State-level Inventory, rather than the State Inventory Tool, except for Aircraft emissions, which are calculated from EIA SEDS data by MassDEP.</t>
    </r>
  </si>
  <si>
    <r>
      <t>N</t>
    </r>
    <r>
      <rPr>
        <b/>
        <vertAlign val="subscript"/>
        <sz val="12"/>
        <rFont val="Aptos"/>
        <family val="2"/>
      </rPr>
      <t>2</t>
    </r>
    <r>
      <rPr>
        <b/>
        <sz val="12"/>
        <rFont val="Aptos"/>
        <family val="2"/>
      </rPr>
      <t>O Emissions from Mobile Sources (MTCO</t>
    </r>
    <r>
      <rPr>
        <b/>
        <vertAlign val="subscript"/>
        <sz val="12"/>
        <rFont val="Aptos"/>
        <family val="2"/>
      </rPr>
      <t>2</t>
    </r>
    <r>
      <rPr>
        <b/>
        <sz val="12"/>
        <rFont val="Aptos"/>
        <family val="2"/>
      </rPr>
      <t>e)</t>
    </r>
  </si>
  <si>
    <r>
      <t>N</t>
    </r>
    <r>
      <rPr>
        <vertAlign val="subscript"/>
        <sz val="12"/>
        <color theme="1"/>
        <rFont val="Aptos"/>
        <family val="2"/>
      </rPr>
      <t>2</t>
    </r>
    <r>
      <rPr>
        <sz val="12"/>
        <color theme="1"/>
        <rFont val="Aptos"/>
        <family val="2"/>
      </rPr>
      <t>O Emissions by Sector</t>
    </r>
  </si>
  <si>
    <r>
      <t>Agriculture Emissions by Gas and Category (MMTCO</t>
    </r>
    <r>
      <rPr>
        <vertAlign val="subscript"/>
        <sz val="12"/>
        <rFont val="Aptos"/>
        <family val="2"/>
      </rPr>
      <t>2</t>
    </r>
    <r>
      <rPr>
        <sz val="12"/>
        <rFont val="Aptos"/>
        <family val="2"/>
      </rPr>
      <t>, MMTCH</t>
    </r>
    <r>
      <rPr>
        <vertAlign val="subscript"/>
        <sz val="12"/>
        <rFont val="Aptos"/>
        <family val="2"/>
      </rPr>
      <t>4</t>
    </r>
    <r>
      <rPr>
        <sz val="12"/>
        <rFont val="Aptos"/>
        <family val="2"/>
      </rPr>
      <t xml:space="preserve"> or MMTN</t>
    </r>
    <r>
      <rPr>
        <vertAlign val="subscript"/>
        <sz val="12"/>
        <rFont val="Aptos"/>
        <family val="2"/>
      </rPr>
      <t>2</t>
    </r>
    <r>
      <rPr>
        <sz val="12"/>
        <rFont val="Aptos"/>
        <family val="2"/>
      </rPr>
      <t>O)</t>
    </r>
  </si>
  <si>
    <r>
      <t>Emissions from Agriculture by Gas (MMTCO</t>
    </r>
    <r>
      <rPr>
        <vertAlign val="subscript"/>
        <sz val="12"/>
        <rFont val="Aptos"/>
        <family val="2"/>
      </rPr>
      <t>2</t>
    </r>
    <r>
      <rPr>
        <sz val="12"/>
        <rFont val="Aptos"/>
        <family val="2"/>
      </rPr>
      <t>e)</t>
    </r>
  </si>
  <si>
    <r>
      <t>Agriculture Emissions by Category (MMTCO</t>
    </r>
    <r>
      <rPr>
        <b/>
        <vertAlign val="subscript"/>
        <sz val="12"/>
        <rFont val="Aptos"/>
        <family val="2"/>
      </rPr>
      <t>2</t>
    </r>
    <r>
      <rPr>
        <b/>
        <sz val="12"/>
        <rFont val="Aptos"/>
        <family val="2"/>
      </rPr>
      <t>e)</t>
    </r>
  </si>
  <si>
    <r>
      <t>Agriculture Emissions by Gas (MMTCO</t>
    </r>
    <r>
      <rPr>
        <b/>
        <vertAlign val="subscript"/>
        <sz val="12"/>
        <rFont val="Aptos"/>
        <family val="2"/>
      </rPr>
      <t>2</t>
    </r>
    <r>
      <rPr>
        <b/>
        <sz val="12"/>
        <rFont val="Aptos"/>
        <family val="2"/>
      </rPr>
      <t>, MMTCH</t>
    </r>
    <r>
      <rPr>
        <b/>
        <vertAlign val="subscript"/>
        <sz val="12"/>
        <rFont val="Aptos"/>
        <family val="2"/>
      </rPr>
      <t>4</t>
    </r>
    <r>
      <rPr>
        <b/>
        <sz val="12"/>
        <rFont val="Aptos"/>
        <family val="2"/>
      </rPr>
      <t xml:space="preserve"> or MMTN</t>
    </r>
    <r>
      <rPr>
        <b/>
        <vertAlign val="subscript"/>
        <sz val="12"/>
        <rFont val="Aptos"/>
        <family val="2"/>
      </rPr>
      <t>2</t>
    </r>
    <r>
      <rPr>
        <b/>
        <sz val="12"/>
        <rFont val="Aptos"/>
        <family val="2"/>
      </rPr>
      <t>O)</t>
    </r>
  </si>
  <si>
    <r>
      <t>CO</t>
    </r>
    <r>
      <rPr>
        <b/>
        <vertAlign val="subscript"/>
        <sz val="12"/>
        <rFont val="Aptos"/>
        <family val="2"/>
      </rPr>
      <t>2</t>
    </r>
  </si>
  <si>
    <r>
      <t>Agriculture Emissions by Gas (MMTCO</t>
    </r>
    <r>
      <rPr>
        <b/>
        <vertAlign val="subscript"/>
        <sz val="12"/>
        <rFont val="Aptos"/>
        <family val="2"/>
      </rPr>
      <t>2</t>
    </r>
    <r>
      <rPr>
        <b/>
        <sz val="12"/>
        <rFont val="Aptos"/>
        <family val="2"/>
      </rPr>
      <t>e)</t>
    </r>
  </si>
  <si>
    <r>
      <t>Agriculture Emissions by Category (MMTCO</t>
    </r>
    <r>
      <rPr>
        <vertAlign val="subscript"/>
        <sz val="12"/>
        <rFont val="Aptos"/>
        <family val="2"/>
      </rPr>
      <t>2</t>
    </r>
    <r>
      <rPr>
        <sz val="12"/>
        <rFont val="Aptos"/>
        <family val="2"/>
      </rPr>
      <t>e)</t>
    </r>
  </si>
  <si>
    <r>
      <t>Variables for Septic, CH</t>
    </r>
    <r>
      <rPr>
        <vertAlign val="subscript"/>
        <sz val="12"/>
        <color theme="1"/>
        <rFont val="Aptos"/>
        <family val="2"/>
      </rPr>
      <t>4</t>
    </r>
  </si>
  <si>
    <r>
      <t>Variables for WWTP, CH</t>
    </r>
    <r>
      <rPr>
        <vertAlign val="subscript"/>
        <sz val="12"/>
        <color theme="1"/>
        <rFont val="Aptos"/>
        <family val="2"/>
      </rPr>
      <t>4</t>
    </r>
  </si>
  <si>
    <r>
      <t>Variables for WWTP, N</t>
    </r>
    <r>
      <rPr>
        <vertAlign val="subscript"/>
        <sz val="12"/>
        <color theme="1"/>
        <rFont val="Aptos"/>
        <family val="2"/>
      </rPr>
      <t>2</t>
    </r>
    <r>
      <rPr>
        <sz val="12"/>
        <color theme="1"/>
        <rFont val="Aptos"/>
        <family val="2"/>
      </rPr>
      <t>O</t>
    </r>
  </si>
  <si>
    <r>
      <t>Variables for Effluent, N</t>
    </r>
    <r>
      <rPr>
        <vertAlign val="subscript"/>
        <sz val="12"/>
        <color theme="1"/>
        <rFont val="Aptos"/>
        <family val="2"/>
      </rPr>
      <t>2</t>
    </r>
    <r>
      <rPr>
        <sz val="12"/>
        <color theme="1"/>
        <rFont val="Aptos"/>
        <family val="2"/>
      </rPr>
      <t>O</t>
    </r>
  </si>
  <si>
    <r>
      <t>Wastewater Emissions (MMTCO</t>
    </r>
    <r>
      <rPr>
        <b/>
        <vertAlign val="subscript"/>
        <sz val="12"/>
        <color theme="1"/>
        <rFont val="Aptos"/>
        <family val="2"/>
      </rPr>
      <t>2</t>
    </r>
    <r>
      <rPr>
        <b/>
        <sz val="12"/>
        <color theme="1"/>
        <rFont val="Aptos"/>
        <family val="2"/>
      </rPr>
      <t>e)</t>
    </r>
  </si>
  <si>
    <r>
      <t>Municipal N</t>
    </r>
    <r>
      <rPr>
        <vertAlign val="subscript"/>
        <sz val="12"/>
        <rFont val="Aptos"/>
        <family val="2"/>
      </rPr>
      <t>2</t>
    </r>
    <r>
      <rPr>
        <sz val="12"/>
        <rFont val="Aptos"/>
        <family val="2"/>
      </rPr>
      <t>O (SIT 1990-1999)</t>
    </r>
  </si>
  <si>
    <r>
      <t>Septic (CH</t>
    </r>
    <r>
      <rPr>
        <vertAlign val="subscript"/>
        <sz val="12"/>
        <color theme="1"/>
        <rFont val="Aptos"/>
        <family val="2"/>
      </rPr>
      <t>4</t>
    </r>
    <r>
      <rPr>
        <sz val="12"/>
        <color theme="1"/>
        <rFont val="Aptos"/>
        <family val="2"/>
      </rPr>
      <t>) (Updated Method beginning 2000)</t>
    </r>
  </si>
  <si>
    <r>
      <t>WWTP (CH</t>
    </r>
    <r>
      <rPr>
        <vertAlign val="subscript"/>
        <sz val="12"/>
        <color theme="1"/>
        <rFont val="Aptos"/>
        <family val="2"/>
      </rPr>
      <t>4</t>
    </r>
    <r>
      <rPr>
        <sz val="12"/>
        <color theme="1"/>
        <rFont val="Aptos"/>
        <family val="2"/>
      </rPr>
      <t>) (Updated Method beginning 2000)</t>
    </r>
  </si>
  <si>
    <r>
      <t>WWTP (N</t>
    </r>
    <r>
      <rPr>
        <vertAlign val="subscript"/>
        <sz val="12"/>
        <color theme="1"/>
        <rFont val="Aptos"/>
        <family val="2"/>
      </rPr>
      <t>2</t>
    </r>
    <r>
      <rPr>
        <sz val="12"/>
        <color theme="1"/>
        <rFont val="Aptos"/>
        <family val="2"/>
      </rPr>
      <t>O) (Updated Method beginning 2000)</t>
    </r>
  </si>
  <si>
    <r>
      <t>CH</t>
    </r>
    <r>
      <rPr>
        <vertAlign val="subscript"/>
        <sz val="12"/>
        <rFont val="Aptos"/>
        <family val="2"/>
      </rPr>
      <t>4</t>
    </r>
    <r>
      <rPr>
        <sz val="12"/>
        <rFont val="Aptos"/>
        <family val="2"/>
      </rPr>
      <t xml:space="preserve"> from MWRA Flare (beginning 2005)</t>
    </r>
  </si>
  <si>
    <r>
      <t>N</t>
    </r>
    <r>
      <rPr>
        <vertAlign val="subscript"/>
        <sz val="12"/>
        <rFont val="Aptos"/>
        <family val="2"/>
      </rPr>
      <t>2</t>
    </r>
    <r>
      <rPr>
        <sz val="12"/>
        <rFont val="Aptos"/>
        <family val="2"/>
      </rPr>
      <t>O from MWRA Flare (beginning 2005)</t>
    </r>
  </si>
  <si>
    <r>
      <t>Total CH</t>
    </r>
    <r>
      <rPr>
        <vertAlign val="subscript"/>
        <sz val="12"/>
        <rFont val="Aptos"/>
        <family val="2"/>
      </rPr>
      <t>4</t>
    </r>
  </si>
  <si>
    <r>
      <t>Total N</t>
    </r>
    <r>
      <rPr>
        <vertAlign val="subscript"/>
        <sz val="12"/>
        <rFont val="Aptos"/>
        <family val="2"/>
      </rPr>
      <t>2</t>
    </r>
    <r>
      <rPr>
        <sz val="12"/>
        <rFont val="Aptos"/>
        <family val="2"/>
      </rPr>
      <t>O</t>
    </r>
  </si>
  <si>
    <r>
      <t>Total Emissions (MMTCO</t>
    </r>
    <r>
      <rPr>
        <b/>
        <vertAlign val="subscript"/>
        <sz val="12"/>
        <rFont val="Aptos"/>
        <family val="2"/>
      </rPr>
      <t>2</t>
    </r>
    <r>
      <rPr>
        <b/>
        <sz val="12"/>
        <rFont val="Aptos"/>
        <family val="2"/>
      </rPr>
      <t>e)</t>
    </r>
  </si>
  <si>
    <r>
      <t>CH</t>
    </r>
    <r>
      <rPr>
        <vertAlign val="subscript"/>
        <sz val="12"/>
        <rFont val="Aptos"/>
        <family val="2"/>
      </rPr>
      <t>4</t>
    </r>
    <r>
      <rPr>
        <sz val="12"/>
        <rFont val="Aptos"/>
        <family val="2"/>
      </rPr>
      <t xml:space="preserve"> emissions were calculated after subtracting the population of MA served by MWRA from the total MA population beginning with 2000, and from Pittsfield, Clinton, Rockland, and Greater Lawrence WWTFs beginning 2014. </t>
    </r>
  </si>
  <si>
    <r>
      <t>CH</t>
    </r>
    <r>
      <rPr>
        <vertAlign val="subscript"/>
        <sz val="12"/>
        <rFont val="Aptos"/>
        <family val="2"/>
      </rPr>
      <t>4</t>
    </r>
    <r>
      <rPr>
        <sz val="12"/>
        <rFont val="Aptos"/>
        <family val="2"/>
      </rPr>
      <t xml:space="preserve"> and N</t>
    </r>
    <r>
      <rPr>
        <vertAlign val="subscript"/>
        <sz val="12"/>
        <rFont val="Aptos"/>
        <family val="2"/>
      </rPr>
      <t>2</t>
    </r>
    <r>
      <rPr>
        <sz val="12"/>
        <rFont val="Aptos"/>
        <family val="2"/>
      </rPr>
      <t>O from the combustion of MWRA biogas flared (instead of combusted for electricity) is added to Wastewater emissions beginning with 2005. (MWRA Biogas combusted for electricity is reported to EIA and is included in the Commercial sector.)</t>
    </r>
  </si>
  <si>
    <r>
      <t>Protein Consumed (beginning 2020) for Effluent N</t>
    </r>
    <r>
      <rPr>
        <vertAlign val="subscript"/>
        <sz val="12"/>
        <rFont val="Aptos"/>
        <family val="2"/>
      </rPr>
      <t>2</t>
    </r>
    <r>
      <rPr>
        <sz val="12"/>
        <rFont val="Aptos"/>
        <family val="2"/>
      </rPr>
      <t>O</t>
    </r>
  </si>
  <si>
    <r>
      <t>Variables for Septic, CH</t>
    </r>
    <r>
      <rPr>
        <b/>
        <vertAlign val="subscript"/>
        <sz val="12"/>
        <color theme="1"/>
        <rFont val="Aptos"/>
        <family val="2"/>
      </rPr>
      <t>4</t>
    </r>
  </si>
  <si>
    <r>
      <t>kg CH</t>
    </r>
    <r>
      <rPr>
        <vertAlign val="subscript"/>
        <sz val="12"/>
        <color theme="1"/>
        <rFont val="Aptos"/>
        <family val="2"/>
      </rPr>
      <t>4</t>
    </r>
    <r>
      <rPr>
        <sz val="12"/>
        <color theme="1"/>
        <rFont val="Aptos"/>
        <family val="2"/>
      </rPr>
      <t xml:space="preserve"> / kg BOD</t>
    </r>
  </si>
  <si>
    <r>
      <t>Variables for WWTP, CH</t>
    </r>
    <r>
      <rPr>
        <b/>
        <vertAlign val="subscript"/>
        <sz val="12"/>
        <color theme="1"/>
        <rFont val="Aptos"/>
        <family val="2"/>
      </rPr>
      <t>4</t>
    </r>
  </si>
  <si>
    <r>
      <t>Variables for WWTP, N</t>
    </r>
    <r>
      <rPr>
        <b/>
        <vertAlign val="subscript"/>
        <sz val="12"/>
        <color theme="1"/>
        <rFont val="Aptos"/>
        <family val="2"/>
      </rPr>
      <t>2</t>
    </r>
    <r>
      <rPr>
        <b/>
        <sz val="12"/>
        <color theme="1"/>
        <rFont val="Aptos"/>
        <family val="2"/>
      </rPr>
      <t>O</t>
    </r>
  </si>
  <si>
    <r>
      <t>g N</t>
    </r>
    <r>
      <rPr>
        <vertAlign val="subscript"/>
        <sz val="12"/>
        <color theme="1"/>
        <rFont val="Aptos"/>
        <family val="2"/>
      </rPr>
      <t>2</t>
    </r>
    <r>
      <rPr>
        <sz val="12"/>
        <color theme="1"/>
        <rFont val="Aptos"/>
        <family val="2"/>
      </rPr>
      <t>O / cap / year</t>
    </r>
  </si>
  <si>
    <r>
      <t>Variables for Effluent, N</t>
    </r>
    <r>
      <rPr>
        <b/>
        <vertAlign val="subscript"/>
        <sz val="12"/>
        <color theme="1"/>
        <rFont val="Aptos"/>
        <family val="2"/>
      </rPr>
      <t>2</t>
    </r>
    <r>
      <rPr>
        <b/>
        <sz val="12"/>
        <color theme="1"/>
        <rFont val="Aptos"/>
        <family val="2"/>
      </rPr>
      <t>O</t>
    </r>
  </si>
  <si>
    <r>
      <t>kg N</t>
    </r>
    <r>
      <rPr>
        <vertAlign val="subscript"/>
        <sz val="12"/>
        <color theme="1"/>
        <rFont val="Aptos"/>
        <family val="2"/>
      </rPr>
      <t>2</t>
    </r>
    <r>
      <rPr>
        <sz val="12"/>
        <color theme="1"/>
        <rFont val="Aptos"/>
        <family val="2"/>
      </rPr>
      <t>O-N / kg sewage-N produced</t>
    </r>
  </si>
  <si>
    <r>
      <t>CH</t>
    </r>
    <r>
      <rPr>
        <b/>
        <vertAlign val="subscript"/>
        <sz val="12"/>
        <color theme="1"/>
        <rFont val="Aptos"/>
        <family val="2"/>
      </rPr>
      <t>4</t>
    </r>
  </si>
  <si>
    <r>
      <t>N</t>
    </r>
    <r>
      <rPr>
        <b/>
        <vertAlign val="subscript"/>
        <sz val="12"/>
        <color theme="1"/>
        <rFont val="Aptos"/>
        <family val="2"/>
      </rPr>
      <t>2</t>
    </r>
    <r>
      <rPr>
        <b/>
        <sz val="12"/>
        <color theme="1"/>
        <rFont val="Aptos"/>
        <family val="2"/>
      </rPr>
      <t>O</t>
    </r>
  </si>
  <si>
    <r>
      <t>Wastewater Emissions (MMTCO</t>
    </r>
    <r>
      <rPr>
        <vertAlign val="subscript"/>
        <sz val="12"/>
        <color theme="1"/>
        <rFont val="Aptos"/>
        <family val="2"/>
      </rPr>
      <t>2</t>
    </r>
    <r>
      <rPr>
        <sz val="12"/>
        <color theme="1"/>
        <rFont val="Aptos"/>
        <family val="2"/>
      </rPr>
      <t>e)</t>
    </r>
  </si>
  <si>
    <t>Northeast Regional Sludge End-Use and Disposal Estimate, September 2022</t>
  </si>
  <si>
    <r>
      <t>Notes on Annual Effluent, N</t>
    </r>
    <r>
      <rPr>
        <vertAlign val="subscript"/>
        <sz val="12"/>
        <color theme="1"/>
        <rFont val="Aptos"/>
        <family val="2"/>
      </rPr>
      <t>2</t>
    </r>
    <r>
      <rPr>
        <sz val="12"/>
        <color theme="1"/>
        <rFont val="Aptos"/>
        <family val="2"/>
      </rPr>
      <t>O Variables (Columns A and B)</t>
    </r>
  </si>
  <si>
    <r>
      <t>CH</t>
    </r>
    <r>
      <rPr>
        <b/>
        <vertAlign val="subscript"/>
        <sz val="12"/>
        <rFont val="Aptos"/>
        <family val="2"/>
      </rPr>
      <t>4</t>
    </r>
    <r>
      <rPr>
        <b/>
        <sz val="12"/>
        <rFont val="Aptos"/>
        <family val="2"/>
      </rPr>
      <t xml:space="preserve"> Emissions from Landfills (MTCO</t>
    </r>
    <r>
      <rPr>
        <b/>
        <vertAlign val="subscript"/>
        <sz val="12"/>
        <rFont val="Aptos"/>
        <family val="2"/>
      </rPr>
      <t>2</t>
    </r>
    <r>
      <rPr>
        <b/>
        <sz val="12"/>
        <rFont val="Aptos"/>
        <family val="2"/>
      </rPr>
      <t>e)</t>
    </r>
  </si>
  <si>
    <r>
      <t>CH</t>
    </r>
    <r>
      <rPr>
        <vertAlign val="subscript"/>
        <sz val="12"/>
        <rFont val="Aptos"/>
        <family val="2"/>
      </rPr>
      <t>4</t>
    </r>
    <r>
      <rPr>
        <sz val="12"/>
        <rFont val="Aptos"/>
        <family val="2"/>
      </rPr>
      <t xml:space="preserve"> Emissions</t>
    </r>
  </si>
  <si>
    <r>
      <t xml:space="preserve"> Avoided CH</t>
    </r>
    <r>
      <rPr>
        <vertAlign val="subscript"/>
        <sz val="12"/>
        <rFont val="Aptos"/>
        <family val="2"/>
      </rPr>
      <t>4</t>
    </r>
    <r>
      <rPr>
        <sz val="12"/>
        <rFont val="Aptos"/>
        <family val="2"/>
      </rPr>
      <t xml:space="preserve"> Total</t>
    </r>
  </si>
  <si>
    <r>
      <t>avoided CH</t>
    </r>
    <r>
      <rPr>
        <vertAlign val="subscript"/>
        <sz val="12"/>
        <rFont val="Aptos"/>
        <family val="2"/>
      </rPr>
      <t>4</t>
    </r>
    <r>
      <rPr>
        <sz val="12"/>
        <rFont val="Aptos"/>
        <family val="2"/>
      </rPr>
      <t xml:space="preserve"> from Flares</t>
    </r>
  </si>
  <si>
    <r>
      <t>avoided CH</t>
    </r>
    <r>
      <rPr>
        <vertAlign val="subscript"/>
        <sz val="12"/>
        <rFont val="Aptos"/>
        <family val="2"/>
      </rPr>
      <t>4</t>
    </r>
    <r>
      <rPr>
        <sz val="12"/>
        <rFont val="Aptos"/>
        <family val="2"/>
      </rPr>
      <t xml:space="preserve"> from Landfill Gas-to-Energy</t>
    </r>
  </si>
  <si>
    <r>
      <t>Oxidized CH</t>
    </r>
    <r>
      <rPr>
        <vertAlign val="subscript"/>
        <sz val="12"/>
        <rFont val="Aptos"/>
        <family val="2"/>
      </rPr>
      <t>4</t>
    </r>
    <r>
      <rPr>
        <sz val="12"/>
        <rFont val="Aptos"/>
        <family val="2"/>
      </rPr>
      <t xml:space="preserve"> at Landfills</t>
    </r>
  </si>
  <si>
    <r>
      <t>Total CH</t>
    </r>
    <r>
      <rPr>
        <b/>
        <vertAlign val="subscript"/>
        <sz val="12"/>
        <rFont val="Aptos"/>
        <family val="2"/>
      </rPr>
      <t>4</t>
    </r>
    <r>
      <rPr>
        <b/>
        <sz val="12"/>
        <rFont val="Aptos"/>
        <family val="2"/>
      </rPr>
      <t xml:space="preserve"> Emissions (MTCO</t>
    </r>
    <r>
      <rPr>
        <b/>
        <vertAlign val="subscript"/>
        <sz val="12"/>
        <rFont val="Aptos"/>
        <family val="2"/>
      </rPr>
      <t>2</t>
    </r>
    <r>
      <rPr>
        <b/>
        <sz val="12"/>
        <rFont val="Aptos"/>
        <family val="2"/>
      </rPr>
      <t>e)</t>
    </r>
  </si>
  <si>
    <r>
      <t>Landfill Oxidation and Flare (Combustion) Emissions (MMTCO</t>
    </r>
    <r>
      <rPr>
        <b/>
        <vertAlign val="subscript"/>
        <sz val="12"/>
        <rFont val="Aptos"/>
        <family val="2"/>
      </rPr>
      <t>2</t>
    </r>
    <r>
      <rPr>
        <b/>
        <sz val="12"/>
        <rFont val="Aptos"/>
        <family val="2"/>
      </rPr>
      <t>e)</t>
    </r>
  </si>
  <si>
    <r>
      <t>Flare Combustion CH</t>
    </r>
    <r>
      <rPr>
        <vertAlign val="subscript"/>
        <sz val="12"/>
        <rFont val="Aptos"/>
        <family val="2"/>
      </rPr>
      <t>4</t>
    </r>
    <r>
      <rPr>
        <sz val="12"/>
        <rFont val="Aptos"/>
        <family val="2"/>
      </rPr>
      <t xml:space="preserve"> (beginning with 2010)</t>
    </r>
  </si>
  <si>
    <r>
      <t>Flare Combustion N</t>
    </r>
    <r>
      <rPr>
        <vertAlign val="subscript"/>
        <sz val="12"/>
        <rFont val="Aptos"/>
        <family val="2"/>
      </rPr>
      <t>2</t>
    </r>
    <r>
      <rPr>
        <sz val="12"/>
        <rFont val="Aptos"/>
        <family val="2"/>
      </rPr>
      <t>O (beginning with 2010)</t>
    </r>
  </si>
  <si>
    <r>
      <t>CO</t>
    </r>
    <r>
      <rPr>
        <vertAlign val="subscript"/>
        <sz val="12"/>
        <rFont val="Aptos"/>
        <family val="2"/>
      </rPr>
      <t>2</t>
    </r>
    <r>
      <rPr>
        <sz val="12"/>
        <rFont val="Aptos"/>
        <family val="2"/>
      </rPr>
      <t xml:space="preserve"> from Landfill Oxidation: Data Source changes noted for oxidized CH</t>
    </r>
    <r>
      <rPr>
        <vertAlign val="subscript"/>
        <sz val="12"/>
        <rFont val="Aptos"/>
        <family val="2"/>
      </rPr>
      <t>4</t>
    </r>
    <r>
      <rPr>
        <sz val="12"/>
        <rFont val="Aptos"/>
        <family val="2"/>
      </rPr>
      <t xml:space="preserve"> in the CH</t>
    </r>
    <r>
      <rPr>
        <vertAlign val="subscript"/>
        <sz val="12"/>
        <rFont val="Aptos"/>
        <family val="2"/>
      </rPr>
      <t>4</t>
    </r>
    <r>
      <rPr>
        <sz val="12"/>
        <rFont val="Aptos"/>
        <family val="2"/>
      </rPr>
      <t xml:space="preserve"> Emissions from Landfills table.</t>
    </r>
  </si>
  <si>
    <r>
      <t>CO</t>
    </r>
    <r>
      <rPr>
        <vertAlign val="subscript"/>
        <sz val="12"/>
        <rFont val="Aptos"/>
        <family val="2"/>
      </rPr>
      <t>2</t>
    </r>
    <r>
      <rPr>
        <sz val="12"/>
        <rFont val="Aptos"/>
        <family val="2"/>
      </rPr>
      <t xml:space="preserve"> emissions from oxidation from 2010-2014 were based on TCR CRIS oxidation data (with SAR GWPs). </t>
    </r>
  </si>
  <si>
    <r>
      <t>Total Emissions from Landfills by Gas (MMTCO</t>
    </r>
    <r>
      <rPr>
        <b/>
        <vertAlign val="subscript"/>
        <sz val="12"/>
        <rFont val="Aptos"/>
        <family val="2"/>
      </rPr>
      <t>2</t>
    </r>
    <r>
      <rPr>
        <b/>
        <sz val="12"/>
        <rFont val="Aptos"/>
        <family val="2"/>
      </rPr>
      <t>e)</t>
    </r>
  </si>
  <si>
    <r>
      <t>TOTAL MMTCO</t>
    </r>
    <r>
      <rPr>
        <b/>
        <vertAlign val="subscript"/>
        <sz val="12"/>
        <rFont val="Aptos"/>
        <family val="2"/>
      </rPr>
      <t>2</t>
    </r>
    <r>
      <rPr>
        <b/>
        <sz val="12"/>
        <rFont val="Aptos"/>
        <family val="2"/>
      </rPr>
      <t>e</t>
    </r>
  </si>
  <si>
    <r>
      <t>Biogenic CO</t>
    </r>
    <r>
      <rPr>
        <vertAlign val="subscript"/>
        <sz val="12"/>
        <rFont val="Aptos"/>
        <family val="2"/>
      </rPr>
      <t>2</t>
    </r>
    <r>
      <rPr>
        <sz val="12"/>
        <rFont val="Aptos"/>
        <family val="2"/>
      </rPr>
      <t xml:space="preserve"> (not included in Total MMTCO</t>
    </r>
    <r>
      <rPr>
        <vertAlign val="subscript"/>
        <sz val="12"/>
        <rFont val="Aptos"/>
        <family val="2"/>
      </rPr>
      <t>2</t>
    </r>
    <r>
      <rPr>
        <sz val="12"/>
        <rFont val="Aptos"/>
        <family val="2"/>
      </rPr>
      <t>e)</t>
    </r>
  </si>
  <si>
    <r>
      <t>Total CO</t>
    </r>
    <r>
      <rPr>
        <b/>
        <vertAlign val="subscript"/>
        <sz val="12"/>
        <rFont val="Aptos"/>
        <family val="2"/>
      </rPr>
      <t>2</t>
    </r>
    <r>
      <rPr>
        <b/>
        <sz val="12"/>
        <rFont val="Aptos"/>
        <family val="2"/>
      </rPr>
      <t xml:space="preserve"> (MTCO</t>
    </r>
    <r>
      <rPr>
        <b/>
        <vertAlign val="subscript"/>
        <sz val="12"/>
        <rFont val="Aptos"/>
        <family val="2"/>
      </rPr>
      <t>2</t>
    </r>
    <r>
      <rPr>
        <b/>
        <sz val="12"/>
        <rFont val="Aptos"/>
        <family val="2"/>
      </rPr>
      <t>e)</t>
    </r>
  </si>
  <si>
    <r>
      <t>CO</t>
    </r>
    <r>
      <rPr>
        <vertAlign val="subscript"/>
        <sz val="12"/>
        <rFont val="Aptos"/>
        <family val="2"/>
      </rPr>
      <t>2</t>
    </r>
    <r>
      <rPr>
        <sz val="12"/>
        <rFont val="Aptos"/>
        <family val="2"/>
      </rPr>
      <t xml:space="preserve"> from Plastics</t>
    </r>
  </si>
  <si>
    <r>
      <t>CO</t>
    </r>
    <r>
      <rPr>
        <vertAlign val="subscript"/>
        <sz val="12"/>
        <rFont val="Aptos"/>
        <family val="2"/>
      </rPr>
      <t>2</t>
    </r>
    <r>
      <rPr>
        <sz val="12"/>
        <rFont val="Aptos"/>
        <family val="2"/>
      </rPr>
      <t xml:space="preserve"> from Synthetic Rubber in MSW</t>
    </r>
  </si>
  <si>
    <r>
      <t>CO</t>
    </r>
    <r>
      <rPr>
        <vertAlign val="subscript"/>
        <sz val="12"/>
        <rFont val="Aptos"/>
        <family val="2"/>
      </rPr>
      <t>2</t>
    </r>
    <r>
      <rPr>
        <sz val="12"/>
        <rFont val="Aptos"/>
        <family val="2"/>
      </rPr>
      <t xml:space="preserve"> from Synthetic Fibers </t>
    </r>
  </si>
  <si>
    <r>
      <t>CH</t>
    </r>
    <r>
      <rPr>
        <b/>
        <vertAlign val="subscript"/>
        <sz val="12"/>
        <rFont val="Aptos"/>
        <family val="2"/>
      </rPr>
      <t>4</t>
    </r>
    <r>
      <rPr>
        <b/>
        <sz val="12"/>
        <rFont val="Aptos"/>
        <family val="2"/>
      </rPr>
      <t xml:space="preserve"> (MTCO</t>
    </r>
    <r>
      <rPr>
        <b/>
        <vertAlign val="subscript"/>
        <sz val="12"/>
        <rFont val="Aptos"/>
        <family val="2"/>
      </rPr>
      <t>2</t>
    </r>
    <r>
      <rPr>
        <b/>
        <sz val="12"/>
        <rFont val="Aptos"/>
        <family val="2"/>
      </rPr>
      <t>e)</t>
    </r>
  </si>
  <si>
    <r>
      <t>N</t>
    </r>
    <r>
      <rPr>
        <b/>
        <vertAlign val="subscript"/>
        <sz val="12"/>
        <rFont val="Aptos"/>
        <family val="2"/>
      </rPr>
      <t>2</t>
    </r>
    <r>
      <rPr>
        <b/>
        <sz val="12"/>
        <rFont val="Aptos"/>
        <family val="2"/>
      </rPr>
      <t>O (MTCO</t>
    </r>
    <r>
      <rPr>
        <b/>
        <vertAlign val="subscript"/>
        <sz val="12"/>
        <rFont val="Aptos"/>
        <family val="2"/>
      </rPr>
      <t>2</t>
    </r>
    <r>
      <rPr>
        <b/>
        <sz val="12"/>
        <rFont val="Aptos"/>
        <family val="2"/>
      </rPr>
      <t>e)</t>
    </r>
  </si>
  <si>
    <r>
      <t>Total CO</t>
    </r>
    <r>
      <rPr>
        <b/>
        <vertAlign val="subscript"/>
        <sz val="12"/>
        <rFont val="Aptos"/>
        <family val="2"/>
      </rPr>
      <t>2</t>
    </r>
    <r>
      <rPr>
        <b/>
        <sz val="12"/>
        <rFont val="Aptos"/>
        <family val="2"/>
      </rPr>
      <t>, CH</t>
    </r>
    <r>
      <rPr>
        <b/>
        <vertAlign val="subscript"/>
        <sz val="12"/>
        <rFont val="Aptos"/>
        <family val="2"/>
      </rPr>
      <t>4</t>
    </r>
    <r>
      <rPr>
        <b/>
        <sz val="12"/>
        <rFont val="Aptos"/>
        <family val="2"/>
      </rPr>
      <t xml:space="preserve"> and N</t>
    </r>
    <r>
      <rPr>
        <b/>
        <vertAlign val="subscript"/>
        <sz val="12"/>
        <rFont val="Aptos"/>
        <family val="2"/>
      </rPr>
      <t>2</t>
    </r>
    <r>
      <rPr>
        <b/>
        <sz val="12"/>
        <rFont val="Aptos"/>
        <family val="2"/>
      </rPr>
      <t>O Emissions (MTCO</t>
    </r>
    <r>
      <rPr>
        <b/>
        <vertAlign val="subscript"/>
        <sz val="12"/>
        <rFont val="Aptos"/>
        <family val="2"/>
      </rPr>
      <t>2</t>
    </r>
    <r>
      <rPr>
        <b/>
        <sz val="12"/>
        <rFont val="Aptos"/>
        <family val="2"/>
      </rPr>
      <t>e)</t>
    </r>
  </si>
  <si>
    <r>
      <t>Total MSW Combustion Emissions for Electricity Sector (MMTCO</t>
    </r>
    <r>
      <rPr>
        <b/>
        <vertAlign val="subscript"/>
        <sz val="12"/>
        <rFont val="Aptos"/>
        <family val="2"/>
      </rPr>
      <t>2</t>
    </r>
    <r>
      <rPr>
        <b/>
        <sz val="12"/>
        <rFont val="Aptos"/>
        <family val="2"/>
      </rPr>
      <t>e)</t>
    </r>
  </si>
  <si>
    <r>
      <t>CO</t>
    </r>
    <r>
      <rPr>
        <b/>
        <vertAlign val="subscript"/>
        <sz val="12"/>
        <rFont val="Aptos"/>
        <family val="2"/>
      </rPr>
      <t>2</t>
    </r>
    <r>
      <rPr>
        <b/>
        <sz val="12"/>
        <rFont val="Aptos"/>
        <family val="2"/>
      </rPr>
      <t xml:space="preserve"> (MTCO</t>
    </r>
    <r>
      <rPr>
        <b/>
        <vertAlign val="subscript"/>
        <sz val="12"/>
        <rFont val="Aptos"/>
        <family val="2"/>
      </rPr>
      <t>2</t>
    </r>
    <r>
      <rPr>
        <b/>
        <sz val="12"/>
        <rFont val="Aptos"/>
        <family val="2"/>
      </rPr>
      <t>e)</t>
    </r>
  </si>
  <si>
    <r>
      <t>Total MSW Combustion Emissions for Industrial Sector (MMTCO</t>
    </r>
    <r>
      <rPr>
        <b/>
        <vertAlign val="subscript"/>
        <sz val="12"/>
        <rFont val="Aptos"/>
        <family val="2"/>
      </rPr>
      <t>2</t>
    </r>
    <r>
      <rPr>
        <b/>
        <sz val="12"/>
        <rFont val="Aptos"/>
        <family val="2"/>
      </rPr>
      <t>e)</t>
    </r>
  </si>
  <si>
    <r>
      <t>Non-Biogenic CO</t>
    </r>
    <r>
      <rPr>
        <b/>
        <vertAlign val="subscript"/>
        <sz val="12"/>
        <rFont val="Aptos"/>
        <family val="2"/>
      </rPr>
      <t>2</t>
    </r>
    <r>
      <rPr>
        <b/>
        <sz val="12"/>
        <rFont val="Aptos"/>
        <family val="2"/>
      </rPr>
      <t xml:space="preserve"> (lb) from MSN</t>
    </r>
  </si>
  <si>
    <r>
      <t>CH</t>
    </r>
    <r>
      <rPr>
        <b/>
        <vertAlign val="subscript"/>
        <sz val="12"/>
        <rFont val="Aptos"/>
        <family val="2"/>
      </rPr>
      <t>4</t>
    </r>
    <r>
      <rPr>
        <b/>
        <sz val="12"/>
        <rFont val="Aptos"/>
        <family val="2"/>
      </rPr>
      <t xml:space="preserve"> (lb) from MSW (MSN+MSB)</t>
    </r>
  </si>
  <si>
    <r>
      <t>N</t>
    </r>
    <r>
      <rPr>
        <b/>
        <vertAlign val="subscript"/>
        <sz val="12"/>
        <rFont val="Aptos"/>
        <family val="2"/>
      </rPr>
      <t>2</t>
    </r>
    <r>
      <rPr>
        <b/>
        <sz val="12"/>
        <rFont val="Aptos"/>
        <family val="2"/>
      </rPr>
      <t>O (lb) from MSW (MSN+MSB)</t>
    </r>
  </si>
  <si>
    <r>
      <t>N</t>
    </r>
    <r>
      <rPr>
        <b/>
        <vertAlign val="subscript"/>
        <sz val="12"/>
        <rFont val="Aptos"/>
        <family val="2"/>
      </rPr>
      <t>2</t>
    </r>
    <r>
      <rPr>
        <b/>
        <sz val="12"/>
        <rFont val="Aptos"/>
        <family val="2"/>
      </rPr>
      <t>O as CO</t>
    </r>
    <r>
      <rPr>
        <b/>
        <vertAlign val="subscript"/>
        <sz val="12"/>
        <rFont val="Aptos"/>
        <family val="2"/>
      </rPr>
      <t>2</t>
    </r>
    <r>
      <rPr>
        <b/>
        <sz val="12"/>
        <rFont val="Aptos"/>
        <family val="2"/>
      </rPr>
      <t>e (lb)</t>
    </r>
  </si>
  <si>
    <r>
      <t>CO</t>
    </r>
    <r>
      <rPr>
        <vertAlign val="subscript"/>
        <sz val="12"/>
        <rFont val="Aptos"/>
        <family val="2"/>
      </rPr>
      <t>2</t>
    </r>
  </si>
  <si>
    <r>
      <t>CH</t>
    </r>
    <r>
      <rPr>
        <vertAlign val="subscript"/>
        <sz val="12"/>
        <color theme="1"/>
        <rFont val="Aptos"/>
        <family val="2"/>
      </rPr>
      <t>4</t>
    </r>
    <r>
      <rPr>
        <sz val="12"/>
        <color theme="1"/>
        <rFont val="Aptos"/>
        <family val="2"/>
      </rPr>
      <t xml:space="preserve"> and N</t>
    </r>
    <r>
      <rPr>
        <vertAlign val="subscript"/>
        <sz val="12"/>
        <color theme="1"/>
        <rFont val="Aptos"/>
        <family val="2"/>
      </rPr>
      <t>2</t>
    </r>
    <r>
      <rPr>
        <sz val="12"/>
        <color theme="1"/>
        <rFont val="Aptos"/>
        <family val="2"/>
      </rPr>
      <t>O EFs for 1990 are from the 2006 IPCC Guidelines for National Greenhouse Gas Inventories, Volume 2: Energy, Chapter 2: Stationary Combustion (HHV).</t>
    </r>
  </si>
  <si>
    <r>
      <t>Industrial Process Emissions (MTCO</t>
    </r>
    <r>
      <rPr>
        <b/>
        <vertAlign val="subscript"/>
        <sz val="12"/>
        <rFont val="Aptos"/>
        <family val="2"/>
      </rPr>
      <t>2</t>
    </r>
    <r>
      <rPr>
        <b/>
        <sz val="12"/>
        <rFont val="Aptos"/>
        <family val="2"/>
      </rPr>
      <t>e)</t>
    </r>
  </si>
  <si>
    <r>
      <t>g CO</t>
    </r>
    <r>
      <rPr>
        <b/>
        <vertAlign val="subscript"/>
        <sz val="12"/>
        <rFont val="Aptos"/>
        <family val="2"/>
      </rPr>
      <t>2</t>
    </r>
    <r>
      <rPr>
        <b/>
        <sz val="12"/>
        <rFont val="Aptos"/>
        <family val="2"/>
      </rPr>
      <t>e/ kWh</t>
    </r>
  </si>
  <si>
    <t>Cell A1 on all worksheets</t>
  </si>
  <si>
    <r>
      <t>MA Emissions Summary (MMTCO</t>
    </r>
    <r>
      <rPr>
        <vertAlign val="subscript"/>
        <sz val="12"/>
        <color theme="1"/>
        <rFont val="Aptos"/>
        <family val="2"/>
      </rPr>
      <t>2</t>
    </r>
    <r>
      <rPr>
        <sz val="12"/>
        <color theme="1"/>
        <rFont val="Aptos"/>
        <family val="2"/>
      </rPr>
      <t>e)</t>
    </r>
  </si>
  <si>
    <r>
      <t>MA Alternate Category Emissions Summary (MMTCO</t>
    </r>
    <r>
      <rPr>
        <vertAlign val="subscript"/>
        <sz val="12"/>
        <color theme="1"/>
        <rFont val="Aptos"/>
        <family val="2"/>
      </rPr>
      <t>2</t>
    </r>
    <r>
      <rPr>
        <sz val="12"/>
        <color theme="1"/>
        <rFont val="Aptos"/>
        <family val="2"/>
      </rPr>
      <t>e)</t>
    </r>
  </si>
  <si>
    <r>
      <t>MA Emissions Summary (MMTCO</t>
    </r>
    <r>
      <rPr>
        <b/>
        <vertAlign val="subscript"/>
        <sz val="12"/>
        <rFont val="Aptos"/>
        <family val="2"/>
      </rPr>
      <t>2</t>
    </r>
    <r>
      <rPr>
        <b/>
        <sz val="12"/>
        <rFont val="Aptos"/>
        <family val="2"/>
      </rPr>
      <t>e)</t>
    </r>
  </si>
  <si>
    <r>
      <t>MA Alternate Category Emissions Summary (MMTCO</t>
    </r>
    <r>
      <rPr>
        <b/>
        <vertAlign val="subscript"/>
        <sz val="12"/>
        <rFont val="Aptos"/>
        <family val="2"/>
      </rPr>
      <t>2</t>
    </r>
    <r>
      <rPr>
        <b/>
        <sz val="12"/>
        <rFont val="Aptos"/>
        <family val="2"/>
      </rPr>
      <t>e)</t>
    </r>
  </si>
  <si>
    <r>
      <t>Calculated MSB BBTU (for CO</t>
    </r>
    <r>
      <rPr>
        <b/>
        <vertAlign val="subscript"/>
        <sz val="12"/>
        <rFont val="Aptos"/>
        <family val="2"/>
      </rPr>
      <t>2</t>
    </r>
    <r>
      <rPr>
        <b/>
        <sz val="12"/>
        <rFont val="Aptos"/>
        <family val="2"/>
      </rPr>
      <t xml:space="preserve"> calculations on Biogenic Combustion tab)</t>
    </r>
  </si>
  <si>
    <r>
      <t>Calculated MSN BBTU (for CO</t>
    </r>
    <r>
      <rPr>
        <b/>
        <vertAlign val="subscript"/>
        <sz val="12"/>
        <rFont val="Aptos"/>
        <family val="2"/>
      </rPr>
      <t>2</t>
    </r>
    <r>
      <rPr>
        <b/>
        <sz val="12"/>
        <rFont val="Aptos"/>
        <family val="2"/>
      </rPr>
      <t xml:space="preserve"> calculations on this tab)</t>
    </r>
  </si>
  <si>
    <r>
      <t>Calculated MSW BBTU (for CH</t>
    </r>
    <r>
      <rPr>
        <b/>
        <vertAlign val="subscript"/>
        <sz val="12"/>
        <rFont val="Aptos"/>
        <family val="2"/>
      </rPr>
      <t>4</t>
    </r>
    <r>
      <rPr>
        <b/>
        <sz val="12"/>
        <rFont val="Aptos"/>
        <family val="2"/>
      </rPr>
      <t xml:space="preserve"> and N</t>
    </r>
    <r>
      <rPr>
        <b/>
        <vertAlign val="subscript"/>
        <sz val="12"/>
        <rFont val="Aptos"/>
        <family val="2"/>
      </rPr>
      <t>2</t>
    </r>
    <r>
      <rPr>
        <b/>
        <sz val="12"/>
        <rFont val="Aptos"/>
        <family val="2"/>
      </rPr>
      <t>O calculations on this tab)</t>
    </r>
  </si>
  <si>
    <t>Adjust the Global Warming Potentials by using the 'Year, IPCC Report and Time Horizon' feature in Cell A8. Emissions data and charts on this worksheet will adjust accordingly (except where noted).</t>
  </si>
  <si>
    <t>Catalog of CHP Technologies, Section 6. Technology Characterization – Fuel Cells</t>
  </si>
  <si>
    <t xml:space="preserve"> *EF is based on an average of the emission factors estimated for five different types of fuel cells, with and without heat recovery, obtained by ICF for EPA through a manufacturer data collection (page 6-19 of Catalog of CHP Technologies).</t>
  </si>
  <si>
    <t>April 2026</t>
  </si>
  <si>
    <t>Feb. 2025</t>
  </si>
  <si>
    <t>MT/mile</t>
  </si>
  <si>
    <t>MT/service</t>
  </si>
  <si>
    <t>MT/station</t>
  </si>
  <si>
    <t>MT/meter</t>
  </si>
  <si>
    <t>MT/NG house</t>
  </si>
  <si>
    <t>MT/appliance</t>
  </si>
  <si>
    <t>MT/BCF</t>
  </si>
  <si>
    <t>MT/vehicle</t>
  </si>
  <si>
    <r>
      <t>SF</t>
    </r>
    <r>
      <rPr>
        <vertAlign val="subscript"/>
        <sz val="12"/>
        <rFont val="Aptos"/>
        <family val="2"/>
      </rPr>
      <t>6</t>
    </r>
    <r>
      <rPr>
        <sz val="12"/>
        <rFont val="Aptos"/>
        <family val="2"/>
      </rPr>
      <t xml:space="preserve"> and Other GHG Gases Total</t>
    </r>
  </si>
  <si>
    <r>
      <t>MA Electricity Sector Emissions (MMTCO</t>
    </r>
    <r>
      <rPr>
        <vertAlign val="subscript"/>
        <sz val="12"/>
        <color theme="1"/>
        <rFont val="Aptos"/>
        <family val="2"/>
      </rPr>
      <t>2</t>
    </r>
    <r>
      <rPr>
        <sz val="12"/>
        <color theme="1"/>
        <rFont val="Aptos"/>
        <family val="2"/>
      </rPr>
      <t>e) (data from table on Process Worksheet)</t>
    </r>
  </si>
  <si>
    <t>A table with links to MA GHG Inventory and other relevant MA Inventory and Climate webpages.</t>
  </si>
  <si>
    <t>Worksheets with Charts list Charts as Set x of total in Column A and denote which columns include charts. Column A then lists the names of charts followed by empty cells until the next information. All Charts in this Workbook are derived from the data in the tables on that Worksheet, unless noted otherwise.</t>
  </si>
  <si>
    <t>These are found on Adjustable GWP, Summary By Gas, and Summary Worksheets only. These are identified in Column A.</t>
  </si>
  <si>
    <t>Found on all Worksheets except 1990-2023 MA Total and 1990-2023 Sector Charts Worksheets. There is an empty row after each End of Table. Any table notes are in rows after the blank row after each table.</t>
  </si>
  <si>
    <t xml:space="preserve">     Industrial (Wood and Ethanol, MSW)</t>
  </si>
  <si>
    <t>The information in this workbook is identified in Column A on each worksheet between Cell A1 and 'End Of Worksheet.'</t>
  </si>
  <si>
    <t>Note: This table does not include the following additional Industrial emissions for Natural Gas use by NG companies. These emissions are included in the Industrial sector on the Process Worksheet.</t>
  </si>
  <si>
    <t>MSW Combustion: The combustion of MSW in MA is done through Waste-to-Energy facilities that either generate electricity for use by the electric grid or steam for use by industry so these emissions are included in the Electric and Industrial sectors, respectively.</t>
  </si>
  <si>
    <t>number of services</t>
  </si>
  <si>
    <t>number of stations</t>
  </si>
  <si>
    <t>number of customers</t>
  </si>
  <si>
    <t>number of households</t>
  </si>
  <si>
    <t>number of vehicles</t>
  </si>
  <si>
    <t>Data source: Pipeline and Hazardous Materials Safety Administration (PHMSA)</t>
  </si>
  <si>
    <t>Beginning 2015 Plastic=Plastic+Reconditioned Cast Iron (RCI)</t>
  </si>
  <si>
    <t>Households: U.S. Census Bureau’s American Housing Survey (AHS) beginning 2017 with data available every other year. Years where data is unavailable use an average of the most recent year before and after, or set equal to the year before if there is no year after yet.</t>
  </si>
  <si>
    <t>*Residential (using Residential Meters activity data from the NG Distribution sector through 2016; AHS thereafter)</t>
  </si>
  <si>
    <t>The methodology for Other leaks reporting changed in 2014. Therefore the 2011 through 2013 data is not comparable.</t>
  </si>
  <si>
    <t>number of events</t>
  </si>
  <si>
    <t>number of compressors</t>
  </si>
  <si>
    <t>number of source type</t>
  </si>
  <si>
    <t>Go to FLIGHT Data</t>
  </si>
  <si>
    <t>2020 Wet Seal Compressors: 4 from FLIGHT data + 5 from Hopkinton</t>
  </si>
  <si>
    <t>Neptune/ENGIE received gas only in 2010, and suspended operations until June 26, 2025.</t>
  </si>
  <si>
    <t>Algonquin's number of miles is from PHMSA reports.</t>
  </si>
  <si>
    <t>**Non-EOR means non enhanced oil recovery</t>
  </si>
  <si>
    <t>The EPA State-level Inventory includes more categories than the SIT IP module which is why 1990 has fewer data values than subsequent years.</t>
  </si>
  <si>
    <r>
      <t>Includes emissions of CO</t>
    </r>
    <r>
      <rPr>
        <vertAlign val="subscript"/>
        <sz val="12"/>
        <rFont val="Aptos"/>
        <family val="2"/>
      </rPr>
      <t>2</t>
    </r>
    <r>
      <rPr>
        <sz val="12"/>
        <rFont val="Aptos"/>
        <family val="2"/>
      </rPr>
      <t>, CH</t>
    </r>
    <r>
      <rPr>
        <vertAlign val="subscript"/>
        <sz val="12"/>
        <rFont val="Aptos"/>
        <family val="2"/>
      </rPr>
      <t>4</t>
    </r>
    <r>
      <rPr>
        <sz val="12"/>
        <rFont val="Aptos"/>
        <family val="2"/>
      </rPr>
      <t xml:space="preserve"> and N</t>
    </r>
    <r>
      <rPr>
        <vertAlign val="subscript"/>
        <sz val="12"/>
        <rFont val="Aptos"/>
        <family val="2"/>
      </rPr>
      <t>2</t>
    </r>
    <r>
      <rPr>
        <sz val="12"/>
        <rFont val="Aptos"/>
        <family val="2"/>
      </rPr>
      <t>O. Does not include line losses.</t>
    </r>
  </si>
  <si>
    <t>Values from 923 exclude Covanta Springfield which is already accounted for in MSB from FLIGHT data. Facility shut down in 2022.</t>
  </si>
  <si>
    <t>Conversion factor for kg to MT</t>
  </si>
  <si>
    <t>MT/compressor</t>
  </si>
  <si>
    <t>MT/controller</t>
  </si>
  <si>
    <t>MT/facility</t>
  </si>
  <si>
    <t>MT/terminal</t>
  </si>
  <si>
    <t>NEPOOL GIS certificates retired in MA (beginning 2018)</t>
  </si>
  <si>
    <t>2011 Wet Seal Compressors: 3/9/22 email from TGP Hopkinton - there were 5 WS compressors beginning 2011</t>
  </si>
  <si>
    <t>2012: 12/5/24-TGP email Southwick station has 12 intermittent-bleed devices beginning in 2012</t>
  </si>
  <si>
    <t>2011: FLIGHT data begins. Not sure when Mendon (33) began. Southwick does not have gas driven pneumatic devices.</t>
  </si>
  <si>
    <t>2021 Dry Seal Compressors: Weymouth began January 2021. (Agawam has 1 less dry-seal compressor, Weymouth began up and adds 1 dry-seal centrifugal compressor.)</t>
  </si>
  <si>
    <t>2012: Southwick station began (1 dry seal compressor)</t>
  </si>
  <si>
    <r>
      <t>CO</t>
    </r>
    <r>
      <rPr>
        <vertAlign val="subscript"/>
        <sz val="12"/>
        <color rgb="FF000000"/>
        <rFont val="Aptos"/>
        <family val="2"/>
      </rPr>
      <t>2</t>
    </r>
    <r>
      <rPr>
        <sz val="12"/>
        <color rgb="FF000000"/>
        <rFont val="Aptos"/>
        <family val="2"/>
      </rPr>
      <t xml:space="preserve"> (MMTCO</t>
    </r>
    <r>
      <rPr>
        <vertAlign val="subscript"/>
        <sz val="12"/>
        <color rgb="FF000000"/>
        <rFont val="Aptos"/>
        <family val="2"/>
      </rPr>
      <t>2</t>
    </r>
    <r>
      <rPr>
        <sz val="12"/>
        <color rgb="FF000000"/>
        <rFont val="Aptos"/>
        <family val="2"/>
      </rPr>
      <t>e)</t>
    </r>
  </si>
  <si>
    <r>
      <t>CH</t>
    </r>
    <r>
      <rPr>
        <vertAlign val="subscript"/>
        <sz val="12"/>
        <color rgb="FF000000"/>
        <rFont val="Aptos"/>
        <family val="2"/>
      </rPr>
      <t>4</t>
    </r>
    <r>
      <rPr>
        <sz val="12"/>
        <color rgb="FF000000"/>
        <rFont val="Aptos"/>
        <family val="2"/>
      </rPr>
      <t xml:space="preserve"> (MMTCO</t>
    </r>
    <r>
      <rPr>
        <vertAlign val="subscript"/>
        <sz val="12"/>
        <color rgb="FF000000"/>
        <rFont val="Aptos"/>
        <family val="2"/>
      </rPr>
      <t>2</t>
    </r>
    <r>
      <rPr>
        <sz val="12"/>
        <color rgb="FF000000"/>
        <rFont val="Aptos"/>
        <family val="2"/>
      </rPr>
      <t>e)</t>
    </r>
  </si>
  <si>
    <r>
      <t>Septic (MTCH</t>
    </r>
    <r>
      <rPr>
        <b/>
        <vertAlign val="subscript"/>
        <sz val="12"/>
        <rFont val="Aptos"/>
        <family val="2"/>
      </rPr>
      <t>4</t>
    </r>
    <r>
      <rPr>
        <b/>
        <sz val="12"/>
        <rFont val="Aptos"/>
        <family val="2"/>
      </rPr>
      <t>)</t>
    </r>
  </si>
  <si>
    <r>
      <t>WWTP (MTCH</t>
    </r>
    <r>
      <rPr>
        <b/>
        <vertAlign val="subscript"/>
        <sz val="12"/>
        <rFont val="Aptos"/>
        <family val="2"/>
      </rPr>
      <t>4</t>
    </r>
    <r>
      <rPr>
        <b/>
        <sz val="12"/>
        <rFont val="Aptos"/>
        <family val="2"/>
      </rPr>
      <t>)</t>
    </r>
  </si>
  <si>
    <r>
      <t>WWTP (MTN</t>
    </r>
    <r>
      <rPr>
        <b/>
        <vertAlign val="subscript"/>
        <sz val="12"/>
        <rFont val="Aptos"/>
        <family val="2"/>
      </rPr>
      <t>2</t>
    </r>
    <r>
      <rPr>
        <b/>
        <sz val="12"/>
        <rFont val="Aptos"/>
        <family val="2"/>
      </rPr>
      <t>O)</t>
    </r>
  </si>
  <si>
    <r>
      <t>Effluent (MTN</t>
    </r>
    <r>
      <rPr>
        <b/>
        <vertAlign val="subscript"/>
        <sz val="12"/>
        <rFont val="Aptos"/>
        <family val="2"/>
      </rPr>
      <t>2</t>
    </r>
    <r>
      <rPr>
        <b/>
        <sz val="12"/>
        <rFont val="Aptos"/>
        <family val="2"/>
      </rPr>
      <t>O)</t>
    </r>
  </si>
  <si>
    <r>
      <t>CH</t>
    </r>
    <r>
      <rPr>
        <vertAlign val="subscript"/>
        <sz val="12"/>
        <rFont val="Aptos"/>
        <family val="2"/>
      </rPr>
      <t>4</t>
    </r>
    <r>
      <rPr>
        <sz val="12"/>
        <rFont val="Aptos"/>
        <family val="2"/>
      </rPr>
      <t xml:space="preserve"> and N</t>
    </r>
    <r>
      <rPr>
        <vertAlign val="subscript"/>
        <sz val="12"/>
        <rFont val="Aptos"/>
        <family val="2"/>
      </rPr>
      <t>2</t>
    </r>
    <r>
      <rPr>
        <sz val="12"/>
        <rFont val="Aptos"/>
        <family val="2"/>
      </rPr>
      <t>O Emissions from Electricity (MMTCO</t>
    </r>
    <r>
      <rPr>
        <vertAlign val="subscript"/>
        <sz val="12"/>
        <rFont val="Aptos"/>
        <family val="2"/>
      </rPr>
      <t>2</t>
    </r>
    <r>
      <rPr>
        <sz val="12"/>
        <rFont val="Aptos"/>
        <family val="2"/>
      </rPr>
      <t>e)</t>
    </r>
  </si>
  <si>
    <r>
      <t>MA CH</t>
    </r>
    <r>
      <rPr>
        <vertAlign val="subscript"/>
        <sz val="12"/>
        <rFont val="Aptos"/>
        <family val="2"/>
      </rPr>
      <t>4</t>
    </r>
    <r>
      <rPr>
        <sz val="12"/>
        <rFont val="Aptos"/>
        <family val="2"/>
      </rPr>
      <t xml:space="preserve"> and N</t>
    </r>
    <r>
      <rPr>
        <vertAlign val="subscript"/>
        <sz val="12"/>
        <rFont val="Aptos"/>
        <family val="2"/>
      </rPr>
      <t>2</t>
    </r>
    <r>
      <rPr>
        <sz val="12"/>
        <rFont val="Aptos"/>
        <family val="2"/>
      </rPr>
      <t>O Emissions from NY Imports (MMTCO</t>
    </r>
    <r>
      <rPr>
        <vertAlign val="subscript"/>
        <sz val="12"/>
        <rFont val="Aptos"/>
        <family val="2"/>
      </rPr>
      <t>2</t>
    </r>
    <r>
      <rPr>
        <sz val="12"/>
        <rFont val="Aptos"/>
        <family val="2"/>
      </rPr>
      <t>e)</t>
    </r>
  </si>
  <si>
    <r>
      <t>Electricity CH</t>
    </r>
    <r>
      <rPr>
        <vertAlign val="subscript"/>
        <sz val="12"/>
        <rFont val="Aptos"/>
        <family val="2"/>
      </rPr>
      <t>4</t>
    </r>
    <r>
      <rPr>
        <sz val="12"/>
        <rFont val="Aptos"/>
        <family val="2"/>
      </rPr>
      <t xml:space="preserve"> and N</t>
    </r>
    <r>
      <rPr>
        <vertAlign val="subscript"/>
        <sz val="12"/>
        <rFont val="Aptos"/>
        <family val="2"/>
      </rPr>
      <t>2</t>
    </r>
    <r>
      <rPr>
        <sz val="12"/>
        <rFont val="Aptos"/>
        <family val="2"/>
      </rPr>
      <t>O Emissions (MMTCO</t>
    </r>
    <r>
      <rPr>
        <vertAlign val="subscript"/>
        <sz val="12"/>
        <rFont val="Aptos"/>
        <family val="2"/>
      </rPr>
      <t>2</t>
    </r>
    <r>
      <rPr>
        <sz val="12"/>
        <rFont val="Aptos"/>
        <family val="2"/>
      </rPr>
      <t>e)</t>
    </r>
  </si>
  <si>
    <r>
      <t>CH</t>
    </r>
    <r>
      <rPr>
        <vertAlign val="subscript"/>
        <sz val="12"/>
        <rFont val="Aptos"/>
        <family val="2"/>
      </rPr>
      <t>4</t>
    </r>
    <r>
      <rPr>
        <sz val="12"/>
        <rFont val="Aptos"/>
        <family val="2"/>
      </rPr>
      <t xml:space="preserve"> and N</t>
    </r>
    <r>
      <rPr>
        <vertAlign val="subscript"/>
        <sz val="12"/>
        <rFont val="Aptos"/>
        <family val="2"/>
      </rPr>
      <t>2</t>
    </r>
    <r>
      <rPr>
        <sz val="12"/>
        <rFont val="Aptos"/>
        <family val="2"/>
      </rPr>
      <t>O Emissions from Exports (MMTCO</t>
    </r>
    <r>
      <rPr>
        <vertAlign val="subscript"/>
        <sz val="12"/>
        <rFont val="Aptos"/>
        <family val="2"/>
      </rPr>
      <t>2</t>
    </r>
    <r>
      <rPr>
        <sz val="12"/>
        <rFont val="Aptos"/>
        <family val="2"/>
      </rPr>
      <t>e)</t>
    </r>
  </si>
  <si>
    <r>
      <t>MA Share of CH</t>
    </r>
    <r>
      <rPr>
        <vertAlign val="subscript"/>
        <sz val="12"/>
        <rFont val="Aptos"/>
        <family val="2"/>
      </rPr>
      <t>4</t>
    </r>
    <r>
      <rPr>
        <sz val="12"/>
        <rFont val="Aptos"/>
        <family val="2"/>
      </rPr>
      <t xml:space="preserve"> and N</t>
    </r>
    <r>
      <rPr>
        <vertAlign val="subscript"/>
        <sz val="12"/>
        <rFont val="Aptos"/>
        <family val="2"/>
      </rPr>
      <t>2</t>
    </r>
    <r>
      <rPr>
        <sz val="12"/>
        <rFont val="Aptos"/>
        <family val="2"/>
      </rPr>
      <t>O Emissions from Exports (MMTCO</t>
    </r>
    <r>
      <rPr>
        <vertAlign val="subscript"/>
        <sz val="12"/>
        <rFont val="Aptos"/>
        <family val="2"/>
      </rPr>
      <t>2</t>
    </r>
    <r>
      <rPr>
        <sz val="12"/>
        <rFont val="Aptos"/>
        <family val="2"/>
      </rPr>
      <t>e)</t>
    </r>
  </si>
  <si>
    <r>
      <t>EPA's SIT was used for CO</t>
    </r>
    <r>
      <rPr>
        <vertAlign val="subscript"/>
        <sz val="12"/>
        <color theme="1"/>
        <rFont val="Aptos"/>
        <family val="2"/>
      </rPr>
      <t>2</t>
    </r>
    <r>
      <rPr>
        <sz val="12"/>
        <color theme="1"/>
        <rFont val="Aptos"/>
        <family val="2"/>
      </rPr>
      <t>, CH</t>
    </r>
    <r>
      <rPr>
        <vertAlign val="subscript"/>
        <sz val="12"/>
        <color theme="1"/>
        <rFont val="Aptos"/>
        <family val="2"/>
      </rPr>
      <t>4</t>
    </r>
    <r>
      <rPr>
        <sz val="12"/>
        <color theme="1"/>
        <rFont val="Aptos"/>
        <family val="2"/>
      </rPr>
      <t xml:space="preserve"> and N</t>
    </r>
    <r>
      <rPr>
        <vertAlign val="subscript"/>
        <sz val="12"/>
        <color theme="1"/>
        <rFont val="Aptos"/>
        <family val="2"/>
      </rPr>
      <t>2</t>
    </r>
    <r>
      <rPr>
        <sz val="12"/>
        <color theme="1"/>
        <rFont val="Aptos"/>
        <family val="2"/>
      </rPr>
      <t>O emissions for all New England States and New York for 1990-2008. CH</t>
    </r>
    <r>
      <rPr>
        <vertAlign val="subscript"/>
        <sz val="12"/>
        <color theme="1"/>
        <rFont val="Aptos"/>
        <family val="2"/>
      </rPr>
      <t>4</t>
    </r>
    <r>
      <rPr>
        <sz val="12"/>
        <color theme="1"/>
        <rFont val="Aptos"/>
        <family val="2"/>
      </rPr>
      <t xml:space="preserve"> and N</t>
    </r>
    <r>
      <rPr>
        <vertAlign val="subscript"/>
        <sz val="12"/>
        <color theme="1"/>
        <rFont val="Aptos"/>
        <family val="2"/>
      </rPr>
      <t>2</t>
    </r>
    <r>
      <rPr>
        <sz val="12"/>
        <color theme="1"/>
        <rFont val="Aptos"/>
        <family val="2"/>
      </rPr>
      <t>O were calculated using IPCC AR4 GWPs.</t>
    </r>
  </si>
  <si>
    <r>
      <t>The Average % value is used to adjust the CO</t>
    </r>
    <r>
      <rPr>
        <vertAlign val="subscript"/>
        <sz val="12"/>
        <color theme="1"/>
        <rFont val="Aptos"/>
        <family val="2"/>
      </rPr>
      <t>2</t>
    </r>
    <r>
      <rPr>
        <sz val="12"/>
        <color theme="1"/>
        <rFont val="Aptos"/>
        <family val="2"/>
      </rPr>
      <t>, CH</t>
    </r>
    <r>
      <rPr>
        <vertAlign val="subscript"/>
        <sz val="12"/>
        <color theme="1"/>
        <rFont val="Aptos"/>
        <family val="2"/>
      </rPr>
      <t>4</t>
    </r>
    <r>
      <rPr>
        <sz val="12"/>
        <color theme="1"/>
        <rFont val="Aptos"/>
        <family val="2"/>
      </rPr>
      <t xml:space="preserve"> and N</t>
    </r>
    <r>
      <rPr>
        <vertAlign val="subscript"/>
        <sz val="12"/>
        <color theme="1"/>
        <rFont val="Aptos"/>
        <family val="2"/>
      </rPr>
      <t>2</t>
    </r>
    <r>
      <rPr>
        <sz val="12"/>
        <color theme="1"/>
        <rFont val="Aptos"/>
        <family val="2"/>
      </rPr>
      <t>O emissions values for 1990-2008 in the Intra-ISO-NE Electricity Imports: ME table (Columns AB and AC).</t>
    </r>
  </si>
  <si>
    <r>
      <t>Settlement Soil N</t>
    </r>
    <r>
      <rPr>
        <vertAlign val="subscript"/>
        <sz val="12"/>
        <rFont val="Aptos"/>
        <family val="2"/>
      </rPr>
      <t>2</t>
    </r>
    <r>
      <rPr>
        <sz val="12"/>
        <rFont val="Aptos"/>
        <family val="2"/>
      </rPr>
      <t>O Emissions</t>
    </r>
  </si>
  <si>
    <r>
      <t>Managed Peatland CH</t>
    </r>
    <r>
      <rPr>
        <vertAlign val="subscript"/>
        <sz val="12"/>
        <color theme="1"/>
        <rFont val="Aptos"/>
        <family val="2"/>
      </rPr>
      <t>4</t>
    </r>
    <r>
      <rPr>
        <sz val="12"/>
        <color theme="1"/>
        <rFont val="Aptos"/>
        <family val="2"/>
      </rPr>
      <t xml:space="preserve"> and N</t>
    </r>
    <r>
      <rPr>
        <vertAlign val="subscript"/>
        <sz val="12"/>
        <color theme="1"/>
        <rFont val="Aptos"/>
        <family val="2"/>
      </rPr>
      <t>2</t>
    </r>
    <r>
      <rPr>
        <sz val="12"/>
        <color theme="1"/>
        <rFont val="Aptos"/>
        <family val="2"/>
      </rPr>
      <t>O Emissions</t>
    </r>
  </si>
  <si>
    <r>
      <t>Forest Fire CH</t>
    </r>
    <r>
      <rPr>
        <vertAlign val="subscript"/>
        <sz val="12"/>
        <color theme="1"/>
        <rFont val="Aptos"/>
        <family val="2"/>
      </rPr>
      <t>4</t>
    </r>
    <r>
      <rPr>
        <sz val="12"/>
        <color theme="1"/>
        <rFont val="Aptos"/>
        <family val="2"/>
      </rPr>
      <t xml:space="preserve"> and N</t>
    </r>
    <r>
      <rPr>
        <vertAlign val="subscript"/>
        <sz val="12"/>
        <color theme="1"/>
        <rFont val="Aptos"/>
        <family val="2"/>
      </rPr>
      <t>2</t>
    </r>
    <r>
      <rPr>
        <sz val="12"/>
        <color theme="1"/>
        <rFont val="Aptos"/>
        <family val="2"/>
      </rPr>
      <t>O emissions</t>
    </r>
  </si>
  <si>
    <r>
      <t>Managed Peatland CO</t>
    </r>
    <r>
      <rPr>
        <vertAlign val="subscript"/>
        <sz val="12"/>
        <rFont val="Aptos"/>
        <family val="2"/>
      </rPr>
      <t>2</t>
    </r>
    <r>
      <rPr>
        <sz val="12"/>
        <rFont val="Aptos"/>
        <family val="2"/>
      </rPr>
      <t xml:space="preserve"> Emissions</t>
    </r>
  </si>
  <si>
    <r>
      <t>This inventory includes all categories with EPA state-level reporting for Massachusetts from 1990-2023 and non-zero GHG emissions for any year (cells reporting "0.00" may still have non-zero emissions or removals of &lt;0.005 MMTCO</t>
    </r>
    <r>
      <rPr>
        <vertAlign val="subscript"/>
        <sz val="12"/>
        <rFont val="Aptos"/>
        <family val="2"/>
      </rPr>
      <t>2</t>
    </r>
    <r>
      <rPr>
        <sz val="12"/>
        <rFont val="Aptos"/>
        <family val="2"/>
      </rPr>
      <t>e), with the exception of Landfilled Yard Trimmings, which are assumed to be zero because landfilling yard trimmings is illegal in Massachusetts.</t>
    </r>
  </si>
  <si>
    <r>
      <t>A * by the fuel type in the Tables List indicates that CH</t>
    </r>
    <r>
      <rPr>
        <vertAlign val="subscript"/>
        <sz val="12"/>
        <rFont val="Aptos"/>
        <family val="2"/>
      </rPr>
      <t>4</t>
    </r>
    <r>
      <rPr>
        <sz val="12"/>
        <rFont val="Aptos"/>
        <family val="2"/>
      </rPr>
      <t xml:space="preserve"> and N</t>
    </r>
    <r>
      <rPr>
        <vertAlign val="subscript"/>
        <sz val="12"/>
        <rFont val="Aptos"/>
        <family val="2"/>
      </rPr>
      <t>2</t>
    </r>
    <r>
      <rPr>
        <sz val="12"/>
        <rFont val="Aptos"/>
        <family val="2"/>
      </rPr>
      <t>O emissions for that fuel type are also calculated on this Worksheet.</t>
    </r>
  </si>
  <si>
    <r>
      <t>Notes below each table indicate if CH</t>
    </r>
    <r>
      <rPr>
        <vertAlign val="subscript"/>
        <sz val="12"/>
        <rFont val="Aptos"/>
        <family val="2"/>
      </rPr>
      <t>4</t>
    </r>
    <r>
      <rPr>
        <sz val="12"/>
        <rFont val="Aptos"/>
        <family val="2"/>
      </rPr>
      <t xml:space="preserve"> and N</t>
    </r>
    <r>
      <rPr>
        <vertAlign val="subscript"/>
        <sz val="12"/>
        <rFont val="Aptos"/>
        <family val="2"/>
      </rPr>
      <t>2</t>
    </r>
    <r>
      <rPr>
        <sz val="12"/>
        <rFont val="Aptos"/>
        <family val="2"/>
      </rPr>
      <t>O are calculated elsewhere in the Workbook and where.</t>
    </r>
  </si>
  <si>
    <r>
      <t>Biogenic CO</t>
    </r>
    <r>
      <rPr>
        <vertAlign val="subscript"/>
        <sz val="12"/>
        <rFont val="Aptos"/>
        <family val="2"/>
      </rPr>
      <t>2</t>
    </r>
  </si>
  <si>
    <r>
      <t>CH</t>
    </r>
    <r>
      <rPr>
        <vertAlign val="subscript"/>
        <sz val="12"/>
        <rFont val="Aptos"/>
        <family val="2"/>
      </rPr>
      <t>4</t>
    </r>
    <r>
      <rPr>
        <sz val="12"/>
        <rFont val="Aptos"/>
        <family val="2"/>
      </rPr>
      <t xml:space="preserve"> and N</t>
    </r>
    <r>
      <rPr>
        <vertAlign val="subscript"/>
        <sz val="12"/>
        <rFont val="Aptos"/>
        <family val="2"/>
      </rPr>
      <t>2</t>
    </r>
    <r>
      <rPr>
        <sz val="12"/>
        <rFont val="Aptos"/>
        <family val="2"/>
      </rPr>
      <t>O from MSB are calculated on the Solid Waste Tab for the Electric Sector.</t>
    </r>
  </si>
  <si>
    <r>
      <t>Biogenic CO</t>
    </r>
    <r>
      <rPr>
        <vertAlign val="subscript"/>
        <sz val="12"/>
        <rFont val="Aptos"/>
        <family val="2"/>
      </rPr>
      <t>2</t>
    </r>
    <r>
      <rPr>
        <sz val="12"/>
        <rFont val="Aptos"/>
        <family val="2"/>
      </rPr>
      <t xml:space="preserve"> (from FLIGHT 2010-2023)</t>
    </r>
  </si>
  <si>
    <r>
      <t>MTCO</t>
    </r>
    <r>
      <rPr>
        <vertAlign val="subscript"/>
        <sz val="12"/>
        <color theme="1"/>
        <rFont val="Aptos"/>
        <family val="2"/>
      </rPr>
      <t>2</t>
    </r>
  </si>
  <si>
    <r>
      <t>CH</t>
    </r>
    <r>
      <rPr>
        <vertAlign val="subscript"/>
        <sz val="12"/>
        <rFont val="Aptos"/>
        <family val="2"/>
      </rPr>
      <t>4</t>
    </r>
    <r>
      <rPr>
        <sz val="12"/>
        <rFont val="Aptos"/>
        <family val="2"/>
      </rPr>
      <t xml:space="preserve"> as CO</t>
    </r>
    <r>
      <rPr>
        <vertAlign val="subscript"/>
        <sz val="12"/>
        <rFont val="Aptos"/>
        <family val="2"/>
      </rPr>
      <t>2</t>
    </r>
    <r>
      <rPr>
        <sz val="12"/>
        <rFont val="Aptos"/>
        <family val="2"/>
      </rPr>
      <t>e</t>
    </r>
  </si>
  <si>
    <r>
      <t>CH</t>
    </r>
    <r>
      <rPr>
        <vertAlign val="subscript"/>
        <sz val="12"/>
        <rFont val="Aptos"/>
        <family val="2"/>
      </rPr>
      <t>4</t>
    </r>
    <r>
      <rPr>
        <sz val="12"/>
        <rFont val="Aptos"/>
        <family val="2"/>
      </rPr>
      <t xml:space="preserve"> as MMTCO</t>
    </r>
    <r>
      <rPr>
        <vertAlign val="subscript"/>
        <sz val="12"/>
        <rFont val="Aptos"/>
        <family val="2"/>
      </rPr>
      <t>2</t>
    </r>
    <r>
      <rPr>
        <sz val="12"/>
        <rFont val="Aptos"/>
        <family val="2"/>
      </rPr>
      <t>e</t>
    </r>
  </si>
  <si>
    <r>
      <t>N</t>
    </r>
    <r>
      <rPr>
        <vertAlign val="subscript"/>
        <sz val="12"/>
        <rFont val="Aptos"/>
        <family val="2"/>
      </rPr>
      <t>2</t>
    </r>
    <r>
      <rPr>
        <sz val="12"/>
        <rFont val="Aptos"/>
        <family val="2"/>
      </rPr>
      <t>O as CO</t>
    </r>
    <r>
      <rPr>
        <vertAlign val="subscript"/>
        <sz val="12"/>
        <rFont val="Aptos"/>
        <family val="2"/>
      </rPr>
      <t>2</t>
    </r>
    <r>
      <rPr>
        <sz val="12"/>
        <rFont val="Aptos"/>
        <family val="2"/>
      </rPr>
      <t>e</t>
    </r>
  </si>
  <si>
    <r>
      <t>N</t>
    </r>
    <r>
      <rPr>
        <vertAlign val="subscript"/>
        <sz val="12"/>
        <rFont val="Aptos"/>
        <family val="2"/>
      </rPr>
      <t>2</t>
    </r>
    <r>
      <rPr>
        <sz val="12"/>
        <rFont val="Aptos"/>
        <family val="2"/>
      </rPr>
      <t>O as MMTCO</t>
    </r>
    <r>
      <rPr>
        <vertAlign val="subscript"/>
        <sz val="12"/>
        <rFont val="Aptos"/>
        <family val="2"/>
      </rPr>
      <t>2</t>
    </r>
    <r>
      <rPr>
        <sz val="12"/>
        <rFont val="Aptos"/>
        <family val="2"/>
      </rPr>
      <t>e</t>
    </r>
  </si>
  <si>
    <r>
      <t>MMTCO</t>
    </r>
    <r>
      <rPr>
        <vertAlign val="subscript"/>
        <sz val="12"/>
        <rFont val="Aptos"/>
        <family val="2"/>
      </rPr>
      <t>2</t>
    </r>
    <r>
      <rPr>
        <sz val="12"/>
        <rFont val="Aptos"/>
        <family val="2"/>
      </rPr>
      <t>e</t>
    </r>
  </si>
  <si>
    <r>
      <t>CO</t>
    </r>
    <r>
      <rPr>
        <vertAlign val="subscript"/>
        <sz val="12"/>
        <color theme="1"/>
        <rFont val="Aptos"/>
        <family val="2"/>
      </rPr>
      <t>2</t>
    </r>
  </si>
  <si>
    <r>
      <t>Table C–2 to Subpart C of Part 98—Default CH</t>
    </r>
    <r>
      <rPr>
        <u/>
        <vertAlign val="subscript"/>
        <sz val="12"/>
        <color rgb="FF0000FF"/>
        <rFont val="Aptos"/>
        <family val="2"/>
      </rPr>
      <t>4</t>
    </r>
    <r>
      <rPr>
        <u/>
        <sz val="12"/>
        <color indexed="12"/>
        <rFont val="Aptos"/>
        <family val="2"/>
      </rPr>
      <t xml:space="preserve"> and N</t>
    </r>
    <r>
      <rPr>
        <u/>
        <vertAlign val="subscript"/>
        <sz val="12"/>
        <color rgb="FF0000FF"/>
        <rFont val="Aptos"/>
        <family val="2"/>
      </rPr>
      <t>2</t>
    </r>
    <r>
      <rPr>
        <u/>
        <sz val="12"/>
        <color indexed="12"/>
        <rFont val="Aptos"/>
        <family val="2"/>
      </rPr>
      <t>O Emission Factors for Various Types of Fuel</t>
    </r>
  </si>
  <si>
    <r>
      <t>Table C–1 to Subpart C of Part 98—Default CO</t>
    </r>
    <r>
      <rPr>
        <u/>
        <vertAlign val="subscript"/>
        <sz val="12"/>
        <color rgb="FF0000FF"/>
        <rFont val="Aptos"/>
        <family val="2"/>
      </rPr>
      <t>2</t>
    </r>
    <r>
      <rPr>
        <u/>
        <sz val="12"/>
        <color indexed="12"/>
        <rFont val="Aptos"/>
        <family val="2"/>
      </rPr>
      <t xml:space="preserve"> Emission Factors and High Heat Values for Various Types of Fuel</t>
    </r>
  </si>
  <si>
    <r>
      <t>*CO</t>
    </r>
    <r>
      <rPr>
        <vertAlign val="subscript"/>
        <sz val="12"/>
        <color theme="1"/>
        <rFont val="Aptos"/>
        <family val="2"/>
      </rPr>
      <t>2</t>
    </r>
    <r>
      <rPr>
        <sz val="12"/>
        <color theme="1"/>
        <rFont val="Aptos"/>
        <family val="2"/>
      </rPr>
      <t xml:space="preserve"> EF for 1990 are from an earlier EPA GHG Reporting Rule Table C-1.</t>
    </r>
  </si>
  <si>
    <r>
      <t>Electric Power Emissions and Sublimits (MMTCO</t>
    </r>
    <r>
      <rPr>
        <b/>
        <vertAlign val="subscript"/>
        <sz val="12"/>
        <rFont val="Aptos"/>
        <family val="2"/>
      </rPr>
      <t>2</t>
    </r>
    <r>
      <rPr>
        <b/>
        <sz val="12"/>
        <rFont val="Aptos"/>
        <family val="2"/>
      </rPr>
      <t>e)</t>
    </r>
  </si>
  <si>
    <r>
      <t>Transportation Emissions and Sublimits (MMTCO</t>
    </r>
    <r>
      <rPr>
        <b/>
        <vertAlign val="subscript"/>
        <sz val="12"/>
        <rFont val="Aptos"/>
        <family val="2"/>
      </rPr>
      <t>2</t>
    </r>
    <r>
      <rPr>
        <b/>
        <sz val="12"/>
        <rFont val="Aptos"/>
        <family val="2"/>
      </rPr>
      <t>e)</t>
    </r>
  </si>
  <si>
    <r>
      <t>Commercial and Industrial Heating and Cooling Emissions and Sublimits (MMTCO</t>
    </r>
    <r>
      <rPr>
        <b/>
        <vertAlign val="subscript"/>
        <sz val="12"/>
        <rFont val="Aptos"/>
        <family val="2"/>
      </rPr>
      <t>2</t>
    </r>
    <r>
      <rPr>
        <b/>
        <sz val="12"/>
        <rFont val="Aptos"/>
        <family val="2"/>
      </rPr>
      <t>e)</t>
    </r>
  </si>
  <si>
    <r>
      <t>Residential Heating and Cooling Emissions and Sublimits (MMTCO</t>
    </r>
    <r>
      <rPr>
        <b/>
        <vertAlign val="subscript"/>
        <sz val="12"/>
        <rFont val="Aptos"/>
        <family val="2"/>
      </rPr>
      <t>2</t>
    </r>
    <r>
      <rPr>
        <b/>
        <sz val="12"/>
        <rFont val="Aptos"/>
        <family val="2"/>
      </rPr>
      <t>e)</t>
    </r>
  </si>
  <si>
    <r>
      <t>Residential Heating and Cooling Emissions and Sublimits (MMTCO</t>
    </r>
    <r>
      <rPr>
        <vertAlign val="subscript"/>
        <sz val="12"/>
        <rFont val="Aptos"/>
        <family val="2"/>
      </rPr>
      <t>2</t>
    </r>
    <r>
      <rPr>
        <sz val="12"/>
        <rFont val="Aptos"/>
        <family val="2"/>
      </rPr>
      <t>e)</t>
    </r>
  </si>
  <si>
    <r>
      <t>Commercial and Industrial Heating and Cooling Emissions and Sublimits (MMTCO</t>
    </r>
    <r>
      <rPr>
        <vertAlign val="subscript"/>
        <sz val="12"/>
        <rFont val="Aptos"/>
        <family val="2"/>
      </rPr>
      <t>2</t>
    </r>
    <r>
      <rPr>
        <sz val="12"/>
        <rFont val="Aptos"/>
        <family val="2"/>
      </rPr>
      <t>e)</t>
    </r>
  </si>
  <si>
    <r>
      <t>Transportation Emissions and Sublimits (MMTCO</t>
    </r>
    <r>
      <rPr>
        <vertAlign val="subscript"/>
        <sz val="12"/>
        <rFont val="Aptos"/>
        <family val="2"/>
      </rPr>
      <t>2</t>
    </r>
    <r>
      <rPr>
        <sz val="12"/>
        <rFont val="Aptos"/>
        <family val="2"/>
      </rPr>
      <t>e)</t>
    </r>
  </si>
  <si>
    <r>
      <t>Electric Power Emissions and Sublimits (MMTCO</t>
    </r>
    <r>
      <rPr>
        <vertAlign val="subscript"/>
        <sz val="12"/>
        <rFont val="Aptos"/>
        <family val="2"/>
      </rPr>
      <t>2</t>
    </r>
    <r>
      <rPr>
        <sz val="12"/>
        <rFont val="Aptos"/>
        <family val="2"/>
      </rPr>
      <t>e)</t>
    </r>
  </si>
  <si>
    <r>
      <t>Natural Gas Emissions and Sublimits (MMTCO</t>
    </r>
    <r>
      <rPr>
        <vertAlign val="subscript"/>
        <sz val="12"/>
        <rFont val="Aptos"/>
        <family val="2"/>
      </rPr>
      <t>2</t>
    </r>
    <r>
      <rPr>
        <sz val="12"/>
        <rFont val="Aptos"/>
        <family val="2"/>
      </rPr>
      <t>e)</t>
    </r>
  </si>
  <si>
    <r>
      <t>Industrial Processes Emissions and Sublimits (MMTCO</t>
    </r>
    <r>
      <rPr>
        <vertAlign val="subscript"/>
        <sz val="12"/>
        <rFont val="Aptos"/>
        <family val="2"/>
      </rPr>
      <t>2</t>
    </r>
    <r>
      <rPr>
        <sz val="12"/>
        <rFont val="Aptos"/>
        <family val="2"/>
      </rPr>
      <t>e)</t>
    </r>
  </si>
  <si>
    <r>
      <t>MA electric power MMTCO</t>
    </r>
    <r>
      <rPr>
        <vertAlign val="subscript"/>
        <sz val="12"/>
        <color rgb="FF000000"/>
        <rFont val="Aptos"/>
        <family val="2"/>
      </rPr>
      <t>2</t>
    </r>
    <r>
      <rPr>
        <sz val="12"/>
        <color rgb="FF000000"/>
        <rFont val="Aptos"/>
        <family val="2"/>
      </rPr>
      <t>e</t>
    </r>
  </si>
  <si>
    <r>
      <t>MA transportation MMTCO</t>
    </r>
    <r>
      <rPr>
        <vertAlign val="subscript"/>
        <sz val="12"/>
        <color rgb="FF000000"/>
        <rFont val="Aptos"/>
        <family val="2"/>
      </rPr>
      <t>2</t>
    </r>
    <r>
      <rPr>
        <sz val="12"/>
        <color rgb="FF000000"/>
        <rFont val="Aptos"/>
        <family val="2"/>
      </rPr>
      <t>e</t>
    </r>
  </si>
  <si>
    <r>
      <t>MA residential heating and cooling MMTCO</t>
    </r>
    <r>
      <rPr>
        <vertAlign val="subscript"/>
        <sz val="12"/>
        <color rgb="FF000000"/>
        <rFont val="Aptos"/>
        <family val="2"/>
      </rPr>
      <t>2</t>
    </r>
    <r>
      <rPr>
        <sz val="12"/>
        <color rgb="FF000000"/>
        <rFont val="Aptos"/>
        <family val="2"/>
      </rPr>
      <t>e</t>
    </r>
  </si>
  <si>
    <r>
      <t>MA commercial and industrial heating and cooling MMTCO</t>
    </r>
    <r>
      <rPr>
        <vertAlign val="subscript"/>
        <sz val="12"/>
        <color rgb="FF000000"/>
        <rFont val="Aptos"/>
        <family val="2"/>
      </rPr>
      <t>2</t>
    </r>
    <r>
      <rPr>
        <sz val="12"/>
        <color rgb="FF000000"/>
        <rFont val="Aptos"/>
        <family val="2"/>
      </rPr>
      <t>e</t>
    </r>
  </si>
  <si>
    <r>
      <t>MA natural gas system MMTCO</t>
    </r>
    <r>
      <rPr>
        <vertAlign val="subscript"/>
        <sz val="12"/>
        <color rgb="FF000000"/>
        <rFont val="Aptos"/>
        <family val="2"/>
      </rPr>
      <t>2</t>
    </r>
    <r>
      <rPr>
        <sz val="12"/>
        <color rgb="FF000000"/>
        <rFont val="Aptos"/>
        <family val="2"/>
      </rPr>
      <t>e</t>
    </r>
  </si>
  <si>
    <r>
      <t>MA industrial processes MMTCO</t>
    </r>
    <r>
      <rPr>
        <vertAlign val="subscript"/>
        <sz val="12"/>
        <color theme="1"/>
        <rFont val="Aptos"/>
        <family val="2"/>
      </rPr>
      <t>2</t>
    </r>
    <r>
      <rPr>
        <sz val="12"/>
        <color theme="1"/>
        <rFont val="Aptos"/>
        <family val="2"/>
      </rPr>
      <t>e</t>
    </r>
  </si>
  <si>
    <r>
      <t>Natural Gas Emissions and Sublimits (MMTCO</t>
    </r>
    <r>
      <rPr>
        <b/>
        <vertAlign val="subscript"/>
        <sz val="12"/>
        <rFont val="Aptos"/>
        <family val="2"/>
      </rPr>
      <t>2</t>
    </r>
    <r>
      <rPr>
        <b/>
        <sz val="12"/>
        <rFont val="Aptos"/>
        <family val="2"/>
      </rPr>
      <t>e)</t>
    </r>
  </si>
  <si>
    <r>
      <t>Industrial Processes Emissions and Sublimits (MMTCO</t>
    </r>
    <r>
      <rPr>
        <b/>
        <vertAlign val="subscript"/>
        <sz val="12"/>
        <rFont val="Aptos"/>
        <family val="2"/>
      </rPr>
      <t>2</t>
    </r>
    <r>
      <rPr>
        <b/>
        <sz val="12"/>
        <rFont val="Aptos"/>
        <family val="2"/>
      </rPr>
      <t>e)</t>
    </r>
  </si>
  <si>
    <r>
      <t>CH</t>
    </r>
    <r>
      <rPr>
        <b/>
        <vertAlign val="subscript"/>
        <sz val="12"/>
        <rFont val="Aptos"/>
        <family val="2"/>
      </rPr>
      <t>4</t>
    </r>
    <r>
      <rPr>
        <b/>
        <sz val="12"/>
        <rFont val="Aptos"/>
        <family val="2"/>
      </rPr>
      <t xml:space="preserve"> Emissions from Mobile Sources (MTCO</t>
    </r>
    <r>
      <rPr>
        <b/>
        <vertAlign val="subscript"/>
        <sz val="12"/>
        <rFont val="Aptos"/>
        <family val="2"/>
      </rPr>
      <t>2</t>
    </r>
    <r>
      <rPr>
        <b/>
        <sz val="12"/>
        <rFont val="Aptos"/>
        <family val="2"/>
      </rPr>
      <t>e)</t>
    </r>
  </si>
  <si>
    <r>
      <t>The EPA SIT Solid Waste module is used for landfill emissions from 1990-2009. Total CH</t>
    </r>
    <r>
      <rPr>
        <vertAlign val="subscript"/>
        <sz val="12"/>
        <rFont val="Aptos"/>
        <family val="2"/>
      </rPr>
      <t>4</t>
    </r>
    <r>
      <rPr>
        <sz val="12"/>
        <rFont val="Aptos"/>
        <family val="2"/>
      </rPr>
      <t xml:space="preserve"> emissions from MSW landfills obtained from FLIGHT for 2010-2023.</t>
    </r>
  </si>
  <si>
    <r>
      <t>CH</t>
    </r>
    <r>
      <rPr>
        <vertAlign val="subscript"/>
        <sz val="12"/>
        <rFont val="Aptos"/>
        <family val="2"/>
      </rPr>
      <t>4</t>
    </r>
    <r>
      <rPr>
        <sz val="12"/>
        <rFont val="Aptos"/>
        <family val="2"/>
      </rPr>
      <t xml:space="preserve"> Emissions are "Potential Generation" emissions in SIT (1990-2009) with Total CH</t>
    </r>
    <r>
      <rPr>
        <vertAlign val="subscript"/>
        <sz val="12"/>
        <rFont val="Aptos"/>
        <family val="2"/>
      </rPr>
      <t>4</t>
    </r>
    <r>
      <rPr>
        <sz val="12"/>
        <rFont val="Aptos"/>
        <family val="2"/>
      </rPr>
      <t xml:space="preserve"> Emissions from CH</t>
    </r>
    <r>
      <rPr>
        <vertAlign val="subscript"/>
        <sz val="12"/>
        <rFont val="Aptos"/>
        <family val="2"/>
      </rPr>
      <t>4</t>
    </r>
    <r>
      <rPr>
        <sz val="12"/>
        <rFont val="Aptos"/>
        <family val="2"/>
      </rPr>
      <t xml:space="preserve"> Emissions minus Avoided CH</t>
    </r>
    <r>
      <rPr>
        <vertAlign val="subscript"/>
        <sz val="12"/>
        <rFont val="Aptos"/>
        <family val="2"/>
      </rPr>
      <t>4</t>
    </r>
    <r>
      <rPr>
        <sz val="12"/>
        <rFont val="Aptos"/>
        <family val="2"/>
      </rPr>
      <t xml:space="preserve"> Total and Oxidized CH</t>
    </r>
    <r>
      <rPr>
        <vertAlign val="subscript"/>
        <sz val="12"/>
        <rFont val="Aptos"/>
        <family val="2"/>
      </rPr>
      <t>4</t>
    </r>
    <r>
      <rPr>
        <sz val="12"/>
        <rFont val="Aptos"/>
        <family val="2"/>
      </rPr>
      <t>.</t>
    </r>
  </si>
  <si>
    <r>
      <t>Oxidized CH</t>
    </r>
    <r>
      <rPr>
        <vertAlign val="subscript"/>
        <sz val="12"/>
        <rFont val="Aptos"/>
        <family val="2"/>
      </rPr>
      <t>4</t>
    </r>
    <r>
      <rPr>
        <sz val="12"/>
        <rFont val="Aptos"/>
        <family val="2"/>
      </rPr>
      <t xml:space="preserve"> is 10.0% of the Potential minus Avoided methane values in SIT (1990-2009) so oxidation values beginning 2015 are calculated as 10% of FLIGHT CH</t>
    </r>
    <r>
      <rPr>
        <vertAlign val="subscript"/>
        <sz val="12"/>
        <rFont val="Aptos"/>
        <family val="2"/>
      </rPr>
      <t>4</t>
    </r>
    <r>
      <rPr>
        <sz val="12"/>
        <rFont val="Aptos"/>
        <family val="2"/>
      </rPr>
      <t xml:space="preserve"> emissions. Oxidation data for 2010-2014 reported as CO</t>
    </r>
    <r>
      <rPr>
        <vertAlign val="subscript"/>
        <sz val="12"/>
        <rFont val="Aptos"/>
        <family val="2"/>
      </rPr>
      <t>2</t>
    </r>
    <r>
      <rPr>
        <sz val="12"/>
        <rFont val="Aptos"/>
        <family val="2"/>
      </rPr>
      <t xml:space="preserve"> to The Climate Registry's Climate Registry Information System (TCR CRIS). </t>
    </r>
  </si>
  <si>
    <r>
      <t>NG System: Distribution and Post Meter Leaks (MTCH</t>
    </r>
    <r>
      <rPr>
        <vertAlign val="subscript"/>
        <sz val="12"/>
        <color rgb="FF595959"/>
        <rFont val="Aptos"/>
        <family val="2"/>
      </rPr>
      <t>4</t>
    </r>
    <r>
      <rPr>
        <sz val="12"/>
        <color rgb="FF595959"/>
        <rFont val="Aptos"/>
        <family val="2"/>
      </rPr>
      <t>) bar chart</t>
    </r>
  </si>
  <si>
    <r>
      <t>NG System: Distribution and Post Meter Leaks (MTCH</t>
    </r>
    <r>
      <rPr>
        <vertAlign val="subscript"/>
        <sz val="12"/>
        <color rgb="FF595959"/>
        <rFont val="Aptos"/>
        <family val="2"/>
      </rPr>
      <t>4</t>
    </r>
    <r>
      <rPr>
        <sz val="12"/>
        <color rgb="FF595959"/>
        <rFont val="Aptos"/>
        <family val="2"/>
      </rPr>
      <t>) line chart</t>
    </r>
  </si>
  <si>
    <r>
      <t>Total Distribution, Post-Meter, Transmission and Storage emissions are summarized at the top of this worksheet. CH</t>
    </r>
    <r>
      <rPr>
        <vertAlign val="subscript"/>
        <sz val="12"/>
        <rFont val="Aptos"/>
        <family val="2"/>
      </rPr>
      <t>4</t>
    </r>
    <r>
      <rPr>
        <sz val="12"/>
        <rFont val="Aptos"/>
        <family val="2"/>
      </rPr>
      <t xml:space="preserve"> and CO</t>
    </r>
    <r>
      <rPr>
        <vertAlign val="subscript"/>
        <sz val="12"/>
        <rFont val="Aptos"/>
        <family val="2"/>
      </rPr>
      <t>2</t>
    </r>
    <r>
      <rPr>
        <sz val="12"/>
        <rFont val="Aptos"/>
        <family val="2"/>
      </rPr>
      <t xml:space="preserve"> emissions from Distribution, Post-Meter, Transmission and Storage were calculated using emission factors from EPA's GHGI Natural Gas Systems Annex 3.6.</t>
    </r>
  </si>
  <si>
    <r>
      <t>Natural Gas System Leak Emissions (MTCH</t>
    </r>
    <r>
      <rPr>
        <b/>
        <vertAlign val="subscript"/>
        <sz val="12"/>
        <rFont val="Aptos"/>
        <family val="2"/>
      </rPr>
      <t>4</t>
    </r>
    <r>
      <rPr>
        <b/>
        <sz val="12"/>
        <rFont val="Aptos"/>
        <family val="2"/>
      </rPr>
      <t>)</t>
    </r>
  </si>
  <si>
    <r>
      <t>Natural Gas System Leak Emissions (MMTCO</t>
    </r>
    <r>
      <rPr>
        <b/>
        <vertAlign val="subscript"/>
        <sz val="12"/>
        <rFont val="Aptos"/>
        <family val="2"/>
      </rPr>
      <t>2</t>
    </r>
    <r>
      <rPr>
        <b/>
        <sz val="12"/>
        <rFont val="Aptos"/>
        <family val="2"/>
      </rPr>
      <t>e)</t>
    </r>
  </si>
  <si>
    <r>
      <t>MTCH</t>
    </r>
    <r>
      <rPr>
        <vertAlign val="subscript"/>
        <sz val="12"/>
        <rFont val="Aptos"/>
        <family val="2"/>
      </rPr>
      <t>4</t>
    </r>
  </si>
  <si>
    <r>
      <t>MTCO</t>
    </r>
    <r>
      <rPr>
        <vertAlign val="subscript"/>
        <sz val="12"/>
        <rFont val="Aptos"/>
        <family val="2"/>
      </rPr>
      <t>2</t>
    </r>
  </si>
  <si>
    <r>
      <t>Natural Gas System Leak Emissions (MTCO</t>
    </r>
    <r>
      <rPr>
        <b/>
        <vertAlign val="subscript"/>
        <sz val="12"/>
        <rFont val="Aptos"/>
        <family val="2"/>
      </rPr>
      <t>2</t>
    </r>
    <r>
      <rPr>
        <b/>
        <sz val="12"/>
        <rFont val="Aptos"/>
        <family val="2"/>
      </rPr>
      <t>)</t>
    </r>
  </si>
  <si>
    <t>A table with a guide to the general order of Information found on Worksheets and where it might be found.</t>
  </si>
  <si>
    <t>lb per metric ton</t>
  </si>
  <si>
    <r>
      <t>MMTCO</t>
    </r>
    <r>
      <rPr>
        <vertAlign val="subscript"/>
        <sz val="12"/>
        <rFont val="Aptos"/>
        <family val="2"/>
      </rPr>
      <t>2</t>
    </r>
    <r>
      <rPr>
        <sz val="12"/>
        <rFont val="Aptos"/>
        <family val="2"/>
      </rPr>
      <t>e from CH</t>
    </r>
    <r>
      <rPr>
        <vertAlign val="subscript"/>
        <sz val="12"/>
        <rFont val="Aptos"/>
        <family val="2"/>
      </rPr>
      <t>4</t>
    </r>
    <r>
      <rPr>
        <sz val="12"/>
        <rFont val="Aptos"/>
        <family val="2"/>
      </rPr>
      <t xml:space="preserve"> + N</t>
    </r>
    <r>
      <rPr>
        <vertAlign val="subscript"/>
        <sz val="12"/>
        <rFont val="Aptos"/>
        <family val="2"/>
      </rPr>
      <t>2</t>
    </r>
    <r>
      <rPr>
        <sz val="12"/>
        <rFont val="Aptos"/>
        <family val="2"/>
      </rPr>
      <t>O</t>
    </r>
  </si>
  <si>
    <r>
      <t>Biogenic CO</t>
    </r>
    <r>
      <rPr>
        <vertAlign val="subscript"/>
        <sz val="12"/>
        <color theme="1"/>
        <rFont val="Aptos"/>
        <family val="2"/>
      </rPr>
      <t>2</t>
    </r>
    <r>
      <rPr>
        <sz val="12"/>
        <color theme="1"/>
        <rFont val="Aptos"/>
        <family val="2"/>
      </rPr>
      <t xml:space="preserve"> (MTCO</t>
    </r>
    <r>
      <rPr>
        <vertAlign val="subscript"/>
        <sz val="12"/>
        <color theme="1"/>
        <rFont val="Aptos"/>
        <family val="2"/>
      </rPr>
      <t>2</t>
    </r>
    <r>
      <rPr>
        <sz val="12"/>
        <color theme="1"/>
        <rFont val="Aptos"/>
        <family val="2"/>
      </rPr>
      <t>) values are from EPA FLIGHT from 2010-2022.</t>
    </r>
  </si>
  <si>
    <t>Chart Data if separate (Column X)</t>
  </si>
  <si>
    <t>fuel consumption data and emissions</t>
  </si>
  <si>
    <t>lbs per metric ton</t>
  </si>
  <si>
    <t>lbs per metric ton (for 1990)</t>
  </si>
  <si>
    <t>Data sources: Miles of Services: Sum of (total * Avg length * miles/feet) for each company 1990-2009. The decrease in 2000 is due to changes in the 'average length of services' reported to PHMSA.</t>
  </si>
  <si>
    <t>Data source: natural gas companies via Massachusetts Department of Public Utilities</t>
  </si>
  <si>
    <t>Found on all Worksheets with Data Input Tables. The row showing data for 1991 and beyond is for major data sources where annual revisions often update data for earlier years.</t>
  </si>
  <si>
    <r>
      <t>MA Biogenic CO</t>
    </r>
    <r>
      <rPr>
        <vertAlign val="subscript"/>
        <sz val="12"/>
        <color rgb="FF000000"/>
        <rFont val="Aptos"/>
        <family val="2"/>
      </rPr>
      <t>2</t>
    </r>
    <r>
      <rPr>
        <sz val="12"/>
        <color rgb="FF000000"/>
        <rFont val="Aptos"/>
        <family val="2"/>
      </rPr>
      <t xml:space="preserve"> Emissions from Combustion (Chart is also on Biogenic Summary Worksheet.)</t>
    </r>
  </si>
  <si>
    <r>
      <t>Flare Combustion CO</t>
    </r>
    <r>
      <rPr>
        <vertAlign val="subscript"/>
        <sz val="12"/>
        <rFont val="Aptos"/>
        <family val="2"/>
      </rPr>
      <t xml:space="preserve">2 </t>
    </r>
    <r>
      <rPr>
        <sz val="12"/>
        <rFont val="Aptos"/>
        <family val="2"/>
      </rPr>
      <t>(beginning with 2010) (Biogenic CO</t>
    </r>
    <r>
      <rPr>
        <vertAlign val="subscript"/>
        <sz val="12"/>
        <rFont val="Aptos"/>
        <family val="2"/>
      </rPr>
      <t>2</t>
    </r>
    <r>
      <rPr>
        <sz val="12"/>
        <rFont val="Aptos"/>
        <family val="2"/>
      </rPr>
      <t>)</t>
    </r>
  </si>
  <si>
    <t>Values in this table are from the Industrial Sector (from Waste) table for 1990 - 2009 and from EPA's FLIGHT for 2010-2022. Last Industrial MWC Unit shut down in 2022.</t>
  </si>
  <si>
    <r>
      <t>Beginning 2001 CH</t>
    </r>
    <r>
      <rPr>
        <vertAlign val="subscript"/>
        <sz val="12"/>
        <rFont val="Aptos"/>
        <family val="2"/>
      </rPr>
      <t>4</t>
    </r>
    <r>
      <rPr>
        <sz val="12"/>
        <rFont val="Aptos"/>
        <family val="2"/>
      </rPr>
      <t xml:space="preserve"> and N</t>
    </r>
    <r>
      <rPr>
        <vertAlign val="subscript"/>
        <sz val="12"/>
        <rFont val="Aptos"/>
        <family val="2"/>
      </rPr>
      <t>2</t>
    </r>
    <r>
      <rPr>
        <sz val="12"/>
        <rFont val="Aptos"/>
        <family val="2"/>
      </rPr>
      <t>O are calculated from 'Calculated MSW' instead of 'EIA Heat Input' (when EIA value switches from MSW to MSB)</t>
    </r>
  </si>
  <si>
    <t>Beginning 2001, SEDS WSICB Waste value is Biomass Waste, so 2001-2009 values are determined using SEDS WSICB value as MSB and calculating MSN and MSW.</t>
  </si>
  <si>
    <t>Go to Tables for NG Distribution System Leaks</t>
  </si>
  <si>
    <t>Emissions from Natural Gas Distribution System Leaks</t>
  </si>
  <si>
    <t>Emissions from Natural Gas Post-Meter Leaks</t>
  </si>
  <si>
    <t>1999-2000 values are determined using the 2001 SEDS WSICB value and calculating MSB and MSN from EIA National MSN/MSB portions in 1998.</t>
  </si>
  <si>
    <t>*Other Process Uses of Carbonates: for 1990 this is "Limestone and Dolomite Use", for 1991 and beyond, this row also includes soda ash consumption, carbonate use from ceramics, and non-metallurgical magnesia production.</t>
  </si>
  <si>
    <t>Notes: DOER assigns 1.5 NEPOOL-GIS certificates for each MWh or 3,412 MMBTU of steam generated.</t>
  </si>
  <si>
    <t>Variables for the Updated Methodology Tables (Beginning 2000)</t>
  </si>
  <si>
    <r>
      <t>Effluent (N</t>
    </r>
    <r>
      <rPr>
        <vertAlign val="subscript"/>
        <sz val="12"/>
        <color theme="1"/>
        <rFont val="Aptos"/>
        <family val="2"/>
      </rPr>
      <t>2</t>
    </r>
    <r>
      <rPr>
        <sz val="12"/>
        <color theme="1"/>
        <rFont val="Aptos"/>
        <family val="2"/>
      </rPr>
      <t>O) (Updated Method beginning 2000)</t>
    </r>
  </si>
  <si>
    <r>
      <t>Annual Variables for Updated Methodology Effluent, N</t>
    </r>
    <r>
      <rPr>
        <vertAlign val="subscript"/>
        <sz val="12"/>
        <rFont val="Aptos"/>
        <family val="2"/>
      </rPr>
      <t>2</t>
    </r>
    <r>
      <rPr>
        <sz val="12"/>
        <rFont val="Aptos"/>
        <family val="2"/>
      </rPr>
      <t>O (beginning 2000)</t>
    </r>
  </si>
  <si>
    <r>
      <t>Annual Variables for Updated Methodology Effluent, N</t>
    </r>
    <r>
      <rPr>
        <b/>
        <vertAlign val="subscript"/>
        <sz val="12"/>
        <rFont val="Aptos"/>
        <family val="2"/>
      </rPr>
      <t>2</t>
    </r>
    <r>
      <rPr>
        <b/>
        <sz val="12"/>
        <rFont val="Aptos"/>
        <family val="2"/>
      </rPr>
      <t>O (beginning 2000)</t>
    </r>
  </si>
  <si>
    <r>
      <t>SF</t>
    </r>
    <r>
      <rPr>
        <vertAlign val="subscript"/>
        <sz val="12"/>
        <rFont val="Aptos"/>
        <family val="2"/>
      </rPr>
      <t>6</t>
    </r>
    <r>
      <rPr>
        <sz val="12"/>
        <rFont val="Aptos"/>
        <family val="2"/>
      </rPr>
      <t>, HFCs, PFCs, NF</t>
    </r>
    <r>
      <rPr>
        <vertAlign val="subscript"/>
        <sz val="12"/>
        <rFont val="Aptos"/>
        <family val="2"/>
      </rPr>
      <t>3</t>
    </r>
    <r>
      <rPr>
        <sz val="12"/>
        <rFont val="Aptos"/>
        <family val="2"/>
      </rPr>
      <t xml:space="preserve"> and Other Gases</t>
    </r>
  </si>
  <si>
    <r>
      <t>*Note: GWP values for 'SF</t>
    </r>
    <r>
      <rPr>
        <vertAlign val="subscript"/>
        <sz val="12"/>
        <rFont val="Aptos"/>
        <family val="2"/>
      </rPr>
      <t>6</t>
    </r>
    <r>
      <rPr>
        <sz val="12"/>
        <rFont val="Aptos"/>
        <family val="2"/>
      </rPr>
      <t xml:space="preserve"> and Other Gases' and 'Imported Electric Power' cannot be adjusted because these rows contain combinations of gases.</t>
    </r>
  </si>
  <si>
    <t xml:space="preserve">The chart includes a line showing Massachusetts total GHG emissions from 1990 through 2023, along with three points denoting the 2020, 2025 and 2030 MA GHG Emissions Limits. </t>
  </si>
  <si>
    <t>Chart Data if separate (both in Column R)</t>
  </si>
  <si>
    <t>Emissions from Natural Gas Systems - Transmission and Storage Emissions</t>
  </si>
  <si>
    <t>The methodology for electricity imports in the Appendices spreadsheets were updated in emission years 2001, 2003 (MA Renewable Portfolio Standard program begins), and 2017.</t>
  </si>
  <si>
    <t>Adjusted numbers indicate where generation numbers for New England States from 1990-1999 were adjusted to reconcile EIA and ISO generation data (EIA Generation Adjustment Tables).</t>
  </si>
  <si>
    <t>Calculation of an Average Maine Emissions Adjustment Value to Account for Northern Maine Independent System Administrator (NMISA) (2000-2008)</t>
  </si>
  <si>
    <t>Charts - Set X of Y (Columns B through last Column with charts)</t>
  </si>
  <si>
    <t>Charts - Set 3 of 4 (Columns B through AD)</t>
  </si>
  <si>
    <t>Charts - Set 2 of 2 (Columns B through AA)</t>
  </si>
  <si>
    <t>Charts - Set 1 of 2 (Columns B through P)</t>
  </si>
  <si>
    <t>Charts - Set 4 of 4 (Columns B through W)</t>
  </si>
  <si>
    <t>Charts - Set 1 of 1 (Columns B through Y)</t>
  </si>
  <si>
    <r>
      <t>CH</t>
    </r>
    <r>
      <rPr>
        <b/>
        <vertAlign val="subscript"/>
        <sz val="12"/>
        <rFont val="Aptos"/>
        <family val="2"/>
      </rPr>
      <t>4</t>
    </r>
    <r>
      <rPr>
        <b/>
        <sz val="12"/>
        <rFont val="Aptos"/>
        <family val="2"/>
      </rPr>
      <t xml:space="preserve"> as CO</t>
    </r>
    <r>
      <rPr>
        <b/>
        <vertAlign val="subscript"/>
        <sz val="12"/>
        <rFont val="Aptos"/>
        <family val="2"/>
      </rPr>
      <t>2</t>
    </r>
    <r>
      <rPr>
        <b/>
        <sz val="12"/>
        <rFont val="Aptos"/>
        <family val="2"/>
      </rPr>
      <t>e (lb)</t>
    </r>
  </si>
  <si>
    <r>
      <t>NG Distribution CH</t>
    </r>
    <r>
      <rPr>
        <vertAlign val="subscript"/>
        <sz val="12"/>
        <rFont val="Aptos"/>
        <family val="2"/>
      </rPr>
      <t>4</t>
    </r>
    <r>
      <rPr>
        <sz val="12"/>
        <rFont val="Aptos"/>
        <family val="2"/>
      </rPr>
      <t xml:space="preserve"> Emissions Factor Tables in kg/unit (4 Tables)</t>
    </r>
  </si>
  <si>
    <r>
      <t>NG Distribution CH</t>
    </r>
    <r>
      <rPr>
        <vertAlign val="subscript"/>
        <sz val="12"/>
        <rFont val="Aptos"/>
        <family val="2"/>
      </rPr>
      <t>4</t>
    </r>
    <r>
      <rPr>
        <sz val="12"/>
        <rFont val="Aptos"/>
        <family val="2"/>
      </rPr>
      <t xml:space="preserve"> Emissions Factor Tables in MT/unit (4 Tables)</t>
    </r>
  </si>
  <si>
    <r>
      <t>NG Distribution CH</t>
    </r>
    <r>
      <rPr>
        <vertAlign val="subscript"/>
        <sz val="12"/>
        <rFont val="Aptos"/>
        <family val="2"/>
      </rPr>
      <t>4</t>
    </r>
    <r>
      <rPr>
        <sz val="12"/>
        <rFont val="Aptos"/>
        <family val="2"/>
      </rPr>
      <t xml:space="preserve"> Emissions Tables (6 Tables)</t>
    </r>
  </si>
  <si>
    <r>
      <t>NG Distribution CO</t>
    </r>
    <r>
      <rPr>
        <vertAlign val="subscript"/>
        <sz val="12"/>
        <rFont val="Aptos"/>
        <family val="2"/>
      </rPr>
      <t>2</t>
    </r>
    <r>
      <rPr>
        <sz val="12"/>
        <rFont val="Aptos"/>
        <family val="2"/>
      </rPr>
      <t xml:space="preserve"> Emissions Factor Tables in kg/unit (4 Tables)</t>
    </r>
  </si>
  <si>
    <r>
      <t>NG Distribution CO</t>
    </r>
    <r>
      <rPr>
        <vertAlign val="subscript"/>
        <sz val="12"/>
        <rFont val="Aptos"/>
        <family val="2"/>
      </rPr>
      <t>2</t>
    </r>
    <r>
      <rPr>
        <sz val="12"/>
        <rFont val="Aptos"/>
        <family val="2"/>
      </rPr>
      <t xml:space="preserve"> Emissions Factor Tables in MT/unit (4 Tables)</t>
    </r>
  </si>
  <si>
    <r>
      <t>NG Distribution CO</t>
    </r>
    <r>
      <rPr>
        <vertAlign val="subscript"/>
        <sz val="12"/>
        <rFont val="Aptos"/>
        <family val="2"/>
      </rPr>
      <t>2</t>
    </r>
    <r>
      <rPr>
        <sz val="12"/>
        <rFont val="Aptos"/>
        <family val="2"/>
      </rPr>
      <t xml:space="preserve"> Emissions Tables (5 Tables)</t>
    </r>
  </si>
  <si>
    <r>
      <t>NG Post-Meter CH</t>
    </r>
    <r>
      <rPr>
        <vertAlign val="subscript"/>
        <sz val="12"/>
        <rFont val="Aptos"/>
        <family val="2"/>
      </rPr>
      <t>4</t>
    </r>
    <r>
      <rPr>
        <sz val="12"/>
        <rFont val="Aptos"/>
        <family val="2"/>
      </rPr>
      <t xml:space="preserve"> Emission Factor Tables (2 Tables)</t>
    </r>
  </si>
  <si>
    <r>
      <t>NG Post-Meter CH</t>
    </r>
    <r>
      <rPr>
        <vertAlign val="subscript"/>
        <sz val="12"/>
        <rFont val="Aptos"/>
        <family val="2"/>
      </rPr>
      <t>4</t>
    </r>
    <r>
      <rPr>
        <sz val="12"/>
        <rFont val="Aptos"/>
        <family val="2"/>
      </rPr>
      <t xml:space="preserve"> Emissions Table</t>
    </r>
  </si>
  <si>
    <r>
      <t>NG Post-Meter CO</t>
    </r>
    <r>
      <rPr>
        <vertAlign val="subscript"/>
        <sz val="12"/>
        <rFont val="Aptos"/>
        <family val="2"/>
      </rPr>
      <t>2</t>
    </r>
    <r>
      <rPr>
        <sz val="12"/>
        <rFont val="Aptos"/>
        <family val="2"/>
      </rPr>
      <t xml:space="preserve"> Emission Factor Tables (2 Tables)</t>
    </r>
  </si>
  <si>
    <r>
      <t>NG Post-Meter CO</t>
    </r>
    <r>
      <rPr>
        <vertAlign val="subscript"/>
        <sz val="12"/>
        <rFont val="Aptos"/>
        <family val="2"/>
      </rPr>
      <t>2</t>
    </r>
    <r>
      <rPr>
        <sz val="12"/>
        <rFont val="Aptos"/>
        <family val="2"/>
      </rPr>
      <t xml:space="preserve"> Emissions Table</t>
    </r>
  </si>
  <si>
    <r>
      <t>CH</t>
    </r>
    <r>
      <rPr>
        <b/>
        <vertAlign val="subscript"/>
        <sz val="12"/>
        <rFont val="Aptos"/>
        <family val="2"/>
      </rPr>
      <t>4</t>
    </r>
    <r>
      <rPr>
        <b/>
        <sz val="12"/>
        <rFont val="Aptos"/>
        <family val="2"/>
      </rPr>
      <t xml:space="preserve"> Emission Factor Tables for Natural Gas Distribution (8 Tables)</t>
    </r>
  </si>
  <si>
    <r>
      <t>EPA GHGI Annex 3.6 Table 3.6-2: Average CH</t>
    </r>
    <r>
      <rPr>
        <b/>
        <vertAlign val="subscript"/>
        <sz val="12"/>
        <color theme="0"/>
        <rFont val="Aptos"/>
        <family val="2"/>
      </rPr>
      <t>4</t>
    </r>
    <r>
      <rPr>
        <b/>
        <sz val="12"/>
        <color theme="0"/>
        <rFont val="Aptos"/>
        <family val="2"/>
      </rPr>
      <t xml:space="preserve"> Emission Factors (kg/unit activity) for Natural Gas Systems Sources, for All Years: Distribution</t>
    </r>
  </si>
  <si>
    <r>
      <t>Pipeline and Services CH</t>
    </r>
    <r>
      <rPr>
        <b/>
        <vertAlign val="subscript"/>
        <sz val="12"/>
        <rFont val="Aptos"/>
        <family val="2"/>
      </rPr>
      <t>4</t>
    </r>
    <r>
      <rPr>
        <b/>
        <sz val="12"/>
        <rFont val="Aptos"/>
        <family val="2"/>
      </rPr>
      <t xml:space="preserve"> Emission Factors (kg)</t>
    </r>
  </si>
  <si>
    <r>
      <t>Meter/Regulator (MR) Stations (City Gates) CH</t>
    </r>
    <r>
      <rPr>
        <b/>
        <vertAlign val="subscript"/>
        <sz val="12"/>
        <rFont val="Aptos"/>
        <family val="2"/>
      </rPr>
      <t>4</t>
    </r>
    <r>
      <rPr>
        <b/>
        <sz val="12"/>
        <rFont val="Aptos"/>
        <family val="2"/>
      </rPr>
      <t xml:space="preserve"> Emission Factors (kg)</t>
    </r>
  </si>
  <si>
    <r>
      <t>Customer Meter CH</t>
    </r>
    <r>
      <rPr>
        <b/>
        <vertAlign val="subscript"/>
        <sz val="12"/>
        <rFont val="Aptos"/>
        <family val="2"/>
      </rPr>
      <t>4</t>
    </r>
    <r>
      <rPr>
        <b/>
        <sz val="12"/>
        <rFont val="Aptos"/>
        <family val="2"/>
      </rPr>
      <t xml:space="preserve"> Emission Factors (kg)</t>
    </r>
  </si>
  <si>
    <r>
      <t>Routine Maintenance and Upsets CH</t>
    </r>
    <r>
      <rPr>
        <b/>
        <vertAlign val="subscript"/>
        <sz val="12"/>
        <rFont val="Aptos"/>
        <family val="2"/>
      </rPr>
      <t>4</t>
    </r>
    <r>
      <rPr>
        <b/>
        <sz val="12"/>
        <rFont val="Aptos"/>
        <family val="2"/>
      </rPr>
      <t xml:space="preserve"> Emission Factors (kg)</t>
    </r>
  </si>
  <si>
    <r>
      <t>Pipeline and Services CH</t>
    </r>
    <r>
      <rPr>
        <b/>
        <vertAlign val="subscript"/>
        <sz val="12"/>
        <rFont val="Aptos"/>
        <family val="2"/>
      </rPr>
      <t>4</t>
    </r>
    <r>
      <rPr>
        <b/>
        <sz val="12"/>
        <rFont val="Aptos"/>
        <family val="2"/>
      </rPr>
      <t xml:space="preserve"> Emission Factors (MT)</t>
    </r>
  </si>
  <si>
    <r>
      <t>NG Distribution CH</t>
    </r>
    <r>
      <rPr>
        <b/>
        <vertAlign val="subscript"/>
        <sz val="12"/>
        <rFont val="Aptos"/>
        <family val="2"/>
      </rPr>
      <t>4</t>
    </r>
    <r>
      <rPr>
        <b/>
        <sz val="12"/>
        <rFont val="Aptos"/>
        <family val="2"/>
      </rPr>
      <t xml:space="preserve"> Emission Factors Converted from kg to MT</t>
    </r>
  </si>
  <si>
    <r>
      <t>Meter/Regulator Stations (City Gates) CH</t>
    </r>
    <r>
      <rPr>
        <b/>
        <vertAlign val="subscript"/>
        <sz val="12"/>
        <rFont val="Aptos"/>
        <family val="2"/>
      </rPr>
      <t>4</t>
    </r>
    <r>
      <rPr>
        <b/>
        <sz val="12"/>
        <rFont val="Aptos"/>
        <family val="2"/>
      </rPr>
      <t xml:space="preserve"> Emission Factors (MT)</t>
    </r>
  </si>
  <si>
    <r>
      <t>Customer Meter CH</t>
    </r>
    <r>
      <rPr>
        <b/>
        <vertAlign val="subscript"/>
        <sz val="12"/>
        <rFont val="Aptos"/>
        <family val="2"/>
      </rPr>
      <t>4</t>
    </r>
    <r>
      <rPr>
        <b/>
        <sz val="12"/>
        <rFont val="Aptos"/>
        <family val="2"/>
      </rPr>
      <t xml:space="preserve"> Emission Factors (MT)</t>
    </r>
  </si>
  <si>
    <r>
      <t>Routine Maintenance and Upsets CH</t>
    </r>
    <r>
      <rPr>
        <b/>
        <vertAlign val="subscript"/>
        <sz val="12"/>
        <rFont val="Aptos"/>
        <family val="2"/>
      </rPr>
      <t>4</t>
    </r>
    <r>
      <rPr>
        <b/>
        <sz val="12"/>
        <rFont val="Aptos"/>
        <family val="2"/>
      </rPr>
      <t xml:space="preserve"> Emission Factors (MT)</t>
    </r>
  </si>
  <si>
    <r>
      <t>CH</t>
    </r>
    <r>
      <rPr>
        <b/>
        <vertAlign val="subscript"/>
        <sz val="12"/>
        <rFont val="Aptos"/>
        <family val="2"/>
      </rPr>
      <t>4</t>
    </r>
    <r>
      <rPr>
        <b/>
        <sz val="12"/>
        <rFont val="Aptos"/>
        <family val="2"/>
      </rPr>
      <t xml:space="preserve"> Emissions from Natural Gas Distribution (6 Tables)</t>
    </r>
  </si>
  <si>
    <r>
      <t>CH</t>
    </r>
    <r>
      <rPr>
        <b/>
        <vertAlign val="subscript"/>
        <sz val="12"/>
        <rFont val="Aptos"/>
        <family val="2"/>
      </rPr>
      <t>4</t>
    </r>
    <r>
      <rPr>
        <b/>
        <sz val="12"/>
        <rFont val="Aptos"/>
        <family val="2"/>
      </rPr>
      <t xml:space="preserve"> Emissions from Pipelines (MTCH</t>
    </r>
    <r>
      <rPr>
        <b/>
        <vertAlign val="subscript"/>
        <sz val="12"/>
        <rFont val="Aptos"/>
        <family val="2"/>
      </rPr>
      <t>4</t>
    </r>
    <r>
      <rPr>
        <b/>
        <sz val="12"/>
        <rFont val="Aptos"/>
        <family val="2"/>
      </rPr>
      <t>)</t>
    </r>
  </si>
  <si>
    <r>
      <t>CH</t>
    </r>
    <r>
      <rPr>
        <b/>
        <vertAlign val="subscript"/>
        <sz val="12"/>
        <rFont val="Aptos"/>
        <family val="2"/>
      </rPr>
      <t>4</t>
    </r>
    <r>
      <rPr>
        <b/>
        <sz val="12"/>
        <rFont val="Aptos"/>
        <family val="2"/>
      </rPr>
      <t xml:space="preserve"> Emissions from Services (MTCH</t>
    </r>
    <r>
      <rPr>
        <b/>
        <vertAlign val="subscript"/>
        <sz val="12"/>
        <rFont val="Aptos"/>
        <family val="2"/>
      </rPr>
      <t>4</t>
    </r>
    <r>
      <rPr>
        <b/>
        <sz val="12"/>
        <rFont val="Aptos"/>
        <family val="2"/>
      </rPr>
      <t>)</t>
    </r>
  </si>
  <si>
    <r>
      <t>CH</t>
    </r>
    <r>
      <rPr>
        <b/>
        <vertAlign val="subscript"/>
        <sz val="12"/>
        <rFont val="Aptos"/>
        <family val="2"/>
      </rPr>
      <t>4</t>
    </r>
    <r>
      <rPr>
        <b/>
        <sz val="12"/>
        <rFont val="Aptos"/>
        <family val="2"/>
      </rPr>
      <t xml:space="preserve"> Emissions from Meter/Regulator (City Gates) (MTCH</t>
    </r>
    <r>
      <rPr>
        <b/>
        <vertAlign val="subscript"/>
        <sz val="12"/>
        <rFont val="Aptos"/>
        <family val="2"/>
      </rPr>
      <t>4</t>
    </r>
    <r>
      <rPr>
        <b/>
        <sz val="12"/>
        <rFont val="Aptos"/>
        <family val="2"/>
      </rPr>
      <t>)*</t>
    </r>
  </si>
  <si>
    <r>
      <t>CH</t>
    </r>
    <r>
      <rPr>
        <b/>
        <vertAlign val="subscript"/>
        <sz val="12"/>
        <rFont val="Aptos"/>
        <family val="2"/>
      </rPr>
      <t>4</t>
    </r>
    <r>
      <rPr>
        <b/>
        <sz val="12"/>
        <rFont val="Aptos"/>
        <family val="2"/>
      </rPr>
      <t xml:space="preserve"> Emissions from Customer Meters (MTCH</t>
    </r>
    <r>
      <rPr>
        <b/>
        <vertAlign val="subscript"/>
        <sz val="12"/>
        <rFont val="Aptos"/>
        <family val="2"/>
      </rPr>
      <t>4</t>
    </r>
    <r>
      <rPr>
        <b/>
        <sz val="12"/>
        <rFont val="Aptos"/>
        <family val="2"/>
      </rPr>
      <t>)</t>
    </r>
  </si>
  <si>
    <r>
      <t>MTCH</t>
    </r>
    <r>
      <rPr>
        <b/>
        <vertAlign val="subscript"/>
        <sz val="12"/>
        <rFont val="Aptos"/>
        <family val="2"/>
      </rPr>
      <t>4</t>
    </r>
  </si>
  <si>
    <r>
      <t>MMTCO</t>
    </r>
    <r>
      <rPr>
        <b/>
        <vertAlign val="subscript"/>
        <sz val="12"/>
        <rFont val="Aptos"/>
        <family val="2"/>
      </rPr>
      <t>2</t>
    </r>
    <r>
      <rPr>
        <b/>
        <sz val="12"/>
        <rFont val="Aptos"/>
        <family val="2"/>
      </rPr>
      <t>e</t>
    </r>
  </si>
  <si>
    <r>
      <t>Total Distribution Methane Leak Emissions (MTCH</t>
    </r>
    <r>
      <rPr>
        <b/>
        <vertAlign val="subscript"/>
        <sz val="12"/>
        <rFont val="Aptos"/>
        <family val="2"/>
      </rPr>
      <t>4</t>
    </r>
    <r>
      <rPr>
        <b/>
        <sz val="12"/>
        <rFont val="Aptos"/>
        <family val="2"/>
      </rPr>
      <t>)</t>
    </r>
  </si>
  <si>
    <r>
      <t>Total Distribution Methane Leak Emissions (MMTCO</t>
    </r>
    <r>
      <rPr>
        <b/>
        <vertAlign val="subscript"/>
        <sz val="12"/>
        <rFont val="Aptos"/>
        <family val="2"/>
      </rPr>
      <t>2</t>
    </r>
    <r>
      <rPr>
        <b/>
        <sz val="12"/>
        <rFont val="Aptos"/>
        <family val="2"/>
      </rPr>
      <t>e)</t>
    </r>
  </si>
  <si>
    <r>
      <t>CH</t>
    </r>
    <r>
      <rPr>
        <b/>
        <vertAlign val="subscript"/>
        <sz val="12"/>
        <rFont val="Aptos"/>
        <family val="2"/>
      </rPr>
      <t>4</t>
    </r>
    <r>
      <rPr>
        <b/>
        <sz val="12"/>
        <rFont val="Aptos"/>
        <family val="2"/>
      </rPr>
      <t xml:space="preserve"> Emissions from Routine Maintenance and Upsets (MTCH</t>
    </r>
    <r>
      <rPr>
        <b/>
        <vertAlign val="subscript"/>
        <sz val="12"/>
        <rFont val="Aptos"/>
        <family val="2"/>
      </rPr>
      <t>4</t>
    </r>
    <r>
      <rPr>
        <b/>
        <sz val="12"/>
        <rFont val="Aptos"/>
        <family val="2"/>
      </rPr>
      <t>)</t>
    </r>
  </si>
  <si>
    <r>
      <t>CH</t>
    </r>
    <r>
      <rPr>
        <b/>
        <vertAlign val="subscript"/>
        <sz val="12"/>
        <rFont val="Aptos"/>
        <family val="2"/>
      </rPr>
      <t>4</t>
    </r>
    <r>
      <rPr>
        <b/>
        <sz val="12"/>
        <rFont val="Aptos"/>
        <family val="2"/>
      </rPr>
      <t xml:space="preserve"> Emissions from Natural Gas Distribution System</t>
    </r>
  </si>
  <si>
    <r>
      <t>CO</t>
    </r>
    <r>
      <rPr>
        <b/>
        <vertAlign val="subscript"/>
        <sz val="12"/>
        <rFont val="Aptos"/>
        <family val="2"/>
      </rPr>
      <t>2</t>
    </r>
    <r>
      <rPr>
        <b/>
        <sz val="12"/>
        <rFont val="Aptos"/>
        <family val="2"/>
      </rPr>
      <t xml:space="preserve"> Emission Factor Tables for Natural Gas Distribution (8 Tables)</t>
    </r>
  </si>
  <si>
    <r>
      <t>Pipeline and Services CO</t>
    </r>
    <r>
      <rPr>
        <b/>
        <vertAlign val="subscript"/>
        <sz val="12"/>
        <rFont val="Aptos"/>
        <family val="2"/>
      </rPr>
      <t>2</t>
    </r>
    <r>
      <rPr>
        <b/>
        <sz val="12"/>
        <rFont val="Aptos"/>
        <family val="2"/>
      </rPr>
      <t xml:space="preserve"> Emission Factors (kg)</t>
    </r>
  </si>
  <si>
    <r>
      <t>EPA GHGI Annex 3.6 Table 3.6-12: Average CO</t>
    </r>
    <r>
      <rPr>
        <b/>
        <vertAlign val="subscript"/>
        <sz val="12"/>
        <color theme="0"/>
        <rFont val="Aptos"/>
        <family val="2"/>
      </rPr>
      <t>2</t>
    </r>
    <r>
      <rPr>
        <b/>
        <sz val="12"/>
        <color theme="0"/>
        <rFont val="Aptos"/>
        <family val="2"/>
      </rPr>
      <t xml:space="preserve"> Emission Factors (kg/unit activity) for Natural Gas Systems Sources, for All Years</t>
    </r>
  </si>
  <si>
    <r>
      <t>CO</t>
    </r>
    <r>
      <rPr>
        <b/>
        <vertAlign val="subscript"/>
        <sz val="12"/>
        <rFont val="Aptos"/>
        <family val="2"/>
      </rPr>
      <t>2</t>
    </r>
    <r>
      <rPr>
        <b/>
        <sz val="12"/>
        <rFont val="Aptos"/>
        <family val="2"/>
      </rPr>
      <t xml:space="preserve"> Emissions from Routine Maintenance and Upsets (MTCO</t>
    </r>
    <r>
      <rPr>
        <b/>
        <vertAlign val="subscript"/>
        <sz val="12"/>
        <rFont val="Aptos"/>
        <family val="2"/>
      </rPr>
      <t>2</t>
    </r>
    <r>
      <rPr>
        <b/>
        <sz val="12"/>
        <rFont val="Aptos"/>
        <family val="2"/>
      </rPr>
      <t>)</t>
    </r>
  </si>
  <si>
    <r>
      <t>CO</t>
    </r>
    <r>
      <rPr>
        <b/>
        <vertAlign val="subscript"/>
        <sz val="12"/>
        <rFont val="Aptos"/>
        <family val="2"/>
      </rPr>
      <t>2</t>
    </r>
    <r>
      <rPr>
        <b/>
        <sz val="12"/>
        <rFont val="Aptos"/>
        <family val="2"/>
      </rPr>
      <t xml:space="preserve"> Emissions from Natural Gas Distribution System</t>
    </r>
  </si>
  <si>
    <r>
      <t>CH</t>
    </r>
    <r>
      <rPr>
        <b/>
        <vertAlign val="subscript"/>
        <sz val="12"/>
        <rFont val="Aptos"/>
        <family val="2"/>
      </rPr>
      <t>4</t>
    </r>
    <r>
      <rPr>
        <b/>
        <sz val="12"/>
        <rFont val="Aptos"/>
        <family val="2"/>
      </rPr>
      <t xml:space="preserve"> Emission Factors from Post-Meter Leaks (kg)</t>
    </r>
  </si>
  <si>
    <r>
      <t>EPA GHGI Annex 3.6 Table 3.6-2: Average CH</t>
    </r>
    <r>
      <rPr>
        <b/>
        <vertAlign val="subscript"/>
        <sz val="12"/>
        <color theme="0"/>
        <rFont val="Aptos"/>
        <family val="2"/>
      </rPr>
      <t>4</t>
    </r>
    <r>
      <rPr>
        <b/>
        <sz val="12"/>
        <color theme="0"/>
        <rFont val="Aptos"/>
        <family val="2"/>
      </rPr>
      <t xml:space="preserve"> Emission Factors (kg/unit activity) for Natural Gas Systems Sources, for All Years: Other</t>
    </r>
  </si>
  <si>
    <r>
      <t>CH</t>
    </r>
    <r>
      <rPr>
        <b/>
        <vertAlign val="subscript"/>
        <sz val="12"/>
        <rFont val="Aptos"/>
        <family val="2"/>
      </rPr>
      <t>4</t>
    </r>
    <r>
      <rPr>
        <b/>
        <sz val="12"/>
        <rFont val="Aptos"/>
        <family val="2"/>
      </rPr>
      <t xml:space="preserve"> Emission Factors from Post-Meter Leaks (MT)</t>
    </r>
  </si>
  <si>
    <r>
      <t>NG Post-Meter Leak CH</t>
    </r>
    <r>
      <rPr>
        <b/>
        <vertAlign val="subscript"/>
        <sz val="12"/>
        <rFont val="Aptos"/>
        <family val="2"/>
      </rPr>
      <t>4</t>
    </r>
    <r>
      <rPr>
        <b/>
        <sz val="12"/>
        <rFont val="Aptos"/>
        <family val="2"/>
      </rPr>
      <t xml:space="preserve"> Emission Factors Converted from kg to MT</t>
    </r>
  </si>
  <si>
    <r>
      <t>CH</t>
    </r>
    <r>
      <rPr>
        <b/>
        <vertAlign val="subscript"/>
        <sz val="12"/>
        <rFont val="Aptos"/>
        <family val="2"/>
      </rPr>
      <t>4</t>
    </r>
    <r>
      <rPr>
        <b/>
        <sz val="12"/>
        <rFont val="Aptos"/>
        <family val="2"/>
      </rPr>
      <t xml:space="preserve"> Emissions from Natural Gas Post-Meter Leaks</t>
    </r>
  </si>
  <si>
    <r>
      <t>MMTCO</t>
    </r>
    <r>
      <rPr>
        <vertAlign val="subscript"/>
        <sz val="12"/>
        <rFont val="Aptos"/>
        <family val="2"/>
      </rPr>
      <t>2</t>
    </r>
  </si>
  <si>
    <r>
      <t>MTCO</t>
    </r>
    <r>
      <rPr>
        <b/>
        <vertAlign val="subscript"/>
        <sz val="12"/>
        <rFont val="Aptos"/>
        <family val="2"/>
      </rPr>
      <t>2</t>
    </r>
  </si>
  <si>
    <r>
      <t>MMTCO</t>
    </r>
    <r>
      <rPr>
        <b/>
        <vertAlign val="subscript"/>
        <sz val="12"/>
        <rFont val="Aptos"/>
        <family val="2"/>
      </rPr>
      <t>2</t>
    </r>
  </si>
  <si>
    <r>
      <t>CO</t>
    </r>
    <r>
      <rPr>
        <b/>
        <vertAlign val="subscript"/>
        <sz val="12"/>
        <rFont val="Aptos"/>
        <family val="2"/>
      </rPr>
      <t>2</t>
    </r>
    <r>
      <rPr>
        <b/>
        <sz val="12"/>
        <rFont val="Aptos"/>
        <family val="2"/>
      </rPr>
      <t xml:space="preserve"> Emission Factors from Post-Meter Leaks (kg)</t>
    </r>
  </si>
  <si>
    <r>
      <t>Post-Meter CO</t>
    </r>
    <r>
      <rPr>
        <vertAlign val="subscript"/>
        <sz val="12"/>
        <rFont val="Aptos"/>
        <family val="2"/>
      </rPr>
      <t>2</t>
    </r>
    <r>
      <rPr>
        <sz val="12"/>
        <rFont val="Aptos"/>
        <family val="2"/>
      </rPr>
      <t xml:space="preserve"> EFs are from the 2023 release of the GHGI.</t>
    </r>
  </si>
  <si>
    <r>
      <t>CO</t>
    </r>
    <r>
      <rPr>
        <b/>
        <vertAlign val="subscript"/>
        <sz val="12"/>
        <rFont val="Aptos"/>
        <family val="2"/>
      </rPr>
      <t>2</t>
    </r>
    <r>
      <rPr>
        <b/>
        <sz val="12"/>
        <rFont val="Aptos"/>
        <family val="2"/>
      </rPr>
      <t xml:space="preserve"> Emission Factors from Post-Meter Leaks (MT)</t>
    </r>
  </si>
  <si>
    <r>
      <t>NG System: Transmission and Storage Emissions (metric tons CH</t>
    </r>
    <r>
      <rPr>
        <vertAlign val="subscript"/>
        <sz val="12"/>
        <color theme="1"/>
        <rFont val="Aptos"/>
        <family val="2"/>
      </rPr>
      <t>4</t>
    </r>
    <r>
      <rPr>
        <sz val="12"/>
        <color theme="1"/>
        <rFont val="Aptos"/>
        <family val="2"/>
      </rPr>
      <t>) bar chart</t>
    </r>
  </si>
  <si>
    <r>
      <t>NG System: Transmission and Storage Emissions (metric tons CH</t>
    </r>
    <r>
      <rPr>
        <vertAlign val="subscript"/>
        <sz val="12"/>
        <rFont val="Aptos"/>
        <family val="2"/>
      </rPr>
      <t>4</t>
    </r>
    <r>
      <rPr>
        <sz val="12"/>
        <rFont val="Aptos"/>
        <family val="2"/>
      </rPr>
      <t>) line chart</t>
    </r>
  </si>
  <si>
    <r>
      <t>NG Transmission and Storage CH</t>
    </r>
    <r>
      <rPr>
        <vertAlign val="subscript"/>
        <sz val="12"/>
        <rFont val="Aptos"/>
        <family val="2"/>
      </rPr>
      <t>4</t>
    </r>
    <r>
      <rPr>
        <sz val="12"/>
        <rFont val="Aptos"/>
        <family val="2"/>
      </rPr>
      <t xml:space="preserve"> Emissions Factor Tables in kg/unit (5 Tables)</t>
    </r>
  </si>
  <si>
    <r>
      <t>NG Transmission and Storage CH</t>
    </r>
    <r>
      <rPr>
        <vertAlign val="subscript"/>
        <sz val="12"/>
        <rFont val="Aptos"/>
        <family val="2"/>
      </rPr>
      <t>4</t>
    </r>
    <r>
      <rPr>
        <sz val="12"/>
        <rFont val="Aptos"/>
        <family val="2"/>
      </rPr>
      <t xml:space="preserve"> Emissions Factor Tables in MT/unit (5 Tables)</t>
    </r>
  </si>
  <si>
    <r>
      <t>NG Transmission and Storage CH</t>
    </r>
    <r>
      <rPr>
        <vertAlign val="subscript"/>
        <sz val="12"/>
        <rFont val="Aptos"/>
        <family val="2"/>
      </rPr>
      <t>4</t>
    </r>
    <r>
      <rPr>
        <sz val="12"/>
        <rFont val="Aptos"/>
        <family val="2"/>
      </rPr>
      <t xml:space="preserve"> Emissions Tables (6 Tables)</t>
    </r>
  </si>
  <si>
    <r>
      <t>NG Transmission and Storage CO</t>
    </r>
    <r>
      <rPr>
        <vertAlign val="subscript"/>
        <sz val="12"/>
        <rFont val="Aptos"/>
        <family val="2"/>
      </rPr>
      <t>2</t>
    </r>
    <r>
      <rPr>
        <sz val="12"/>
        <rFont val="Aptos"/>
        <family val="2"/>
      </rPr>
      <t xml:space="preserve"> Emissions Factor Tables in kg/unit (5 Tables)</t>
    </r>
  </si>
  <si>
    <r>
      <t>NG Transmission and Storage CO</t>
    </r>
    <r>
      <rPr>
        <vertAlign val="subscript"/>
        <sz val="12"/>
        <rFont val="Aptos"/>
        <family val="2"/>
      </rPr>
      <t>2</t>
    </r>
    <r>
      <rPr>
        <sz val="12"/>
        <rFont val="Aptos"/>
        <family val="2"/>
      </rPr>
      <t xml:space="preserve"> Emissions Factor Tables in MT/unit (5 Tables)</t>
    </r>
  </si>
  <si>
    <r>
      <t>NG Transmission and Storage CO</t>
    </r>
    <r>
      <rPr>
        <vertAlign val="subscript"/>
        <sz val="12"/>
        <rFont val="Aptos"/>
        <family val="2"/>
      </rPr>
      <t>2</t>
    </r>
    <r>
      <rPr>
        <sz val="12"/>
        <rFont val="Aptos"/>
        <family val="2"/>
      </rPr>
      <t xml:space="preserve"> Emissions Tables (6 Tables)</t>
    </r>
  </si>
  <si>
    <r>
      <t>NG Transmission and Storage CH</t>
    </r>
    <r>
      <rPr>
        <b/>
        <vertAlign val="subscript"/>
        <sz val="12"/>
        <rFont val="Aptos"/>
        <family val="2"/>
      </rPr>
      <t>4</t>
    </r>
    <r>
      <rPr>
        <b/>
        <sz val="12"/>
        <rFont val="Aptos"/>
        <family val="2"/>
      </rPr>
      <t xml:space="preserve"> Emissions Factor Tables (10 Tables)</t>
    </r>
  </si>
  <si>
    <r>
      <t>Pipeline (Transmission) CH</t>
    </r>
    <r>
      <rPr>
        <b/>
        <vertAlign val="subscript"/>
        <sz val="12"/>
        <rFont val="Aptos"/>
        <family val="2"/>
      </rPr>
      <t>4</t>
    </r>
    <r>
      <rPr>
        <b/>
        <sz val="12"/>
        <rFont val="Aptos"/>
        <family val="2"/>
      </rPr>
      <t xml:space="preserve"> Emission Factors (kg)</t>
    </r>
  </si>
  <si>
    <r>
      <t>Source: EPA GHGI Annex 3.6 Electronic Tables: Table 3.6-2: Average CH</t>
    </r>
    <r>
      <rPr>
        <b/>
        <vertAlign val="subscript"/>
        <sz val="12"/>
        <color theme="0"/>
        <rFont val="Aptos"/>
        <family val="2"/>
      </rPr>
      <t>4</t>
    </r>
    <r>
      <rPr>
        <b/>
        <sz val="12"/>
        <color theme="0"/>
        <rFont val="Aptos"/>
        <family val="2"/>
      </rPr>
      <t xml:space="preserve"> Emission Factors (kg/unit activity) for Natural Gas Systems Sources, for All Years: Transmission and Storage</t>
    </r>
  </si>
  <si>
    <r>
      <t>Compressor Stations (Transmission) CH</t>
    </r>
    <r>
      <rPr>
        <b/>
        <vertAlign val="subscript"/>
        <sz val="12"/>
        <rFont val="Aptos"/>
        <family val="2"/>
      </rPr>
      <t>4</t>
    </r>
    <r>
      <rPr>
        <b/>
        <sz val="12"/>
        <rFont val="Aptos"/>
        <family val="2"/>
      </rPr>
      <t xml:space="preserve"> Emission Factors (kg)</t>
    </r>
  </si>
  <si>
    <r>
      <t>Pneumatic Devices (Transmission) CH</t>
    </r>
    <r>
      <rPr>
        <b/>
        <vertAlign val="subscript"/>
        <sz val="12"/>
        <rFont val="Aptos"/>
        <family val="2"/>
      </rPr>
      <t>4</t>
    </r>
    <r>
      <rPr>
        <b/>
        <sz val="12"/>
        <rFont val="Aptos"/>
        <family val="2"/>
      </rPr>
      <t xml:space="preserve"> Emission Factors (kg)</t>
    </r>
  </si>
  <si>
    <r>
      <t>LNG Storage CH</t>
    </r>
    <r>
      <rPr>
        <b/>
        <vertAlign val="subscript"/>
        <sz val="12"/>
        <rFont val="Aptos"/>
        <family val="2"/>
      </rPr>
      <t>4</t>
    </r>
    <r>
      <rPr>
        <b/>
        <sz val="12"/>
        <rFont val="Aptos"/>
        <family val="2"/>
      </rPr>
      <t xml:space="preserve"> Emission Factors (kg)</t>
    </r>
  </si>
  <si>
    <r>
      <t>LNG Import Terminals CH</t>
    </r>
    <r>
      <rPr>
        <b/>
        <vertAlign val="subscript"/>
        <sz val="12"/>
        <rFont val="Aptos"/>
        <family val="2"/>
      </rPr>
      <t>4</t>
    </r>
    <r>
      <rPr>
        <b/>
        <sz val="12"/>
        <rFont val="Aptos"/>
        <family val="2"/>
      </rPr>
      <t xml:space="preserve"> Emission Factors (kg)</t>
    </r>
  </si>
  <si>
    <r>
      <t>Pipeline (Transmission) CH</t>
    </r>
    <r>
      <rPr>
        <b/>
        <vertAlign val="subscript"/>
        <sz val="12"/>
        <rFont val="Aptos"/>
        <family val="2"/>
      </rPr>
      <t>4</t>
    </r>
    <r>
      <rPr>
        <b/>
        <sz val="12"/>
        <rFont val="Aptos"/>
        <family val="2"/>
      </rPr>
      <t xml:space="preserve"> Emission Factors (MT)</t>
    </r>
  </si>
  <si>
    <r>
      <t>NG Transmission and Storage CH</t>
    </r>
    <r>
      <rPr>
        <b/>
        <vertAlign val="subscript"/>
        <sz val="12"/>
        <rFont val="Aptos"/>
        <family val="2"/>
      </rPr>
      <t>4</t>
    </r>
    <r>
      <rPr>
        <b/>
        <sz val="12"/>
        <rFont val="Aptos"/>
        <family val="2"/>
      </rPr>
      <t xml:space="preserve"> Emission Factors Converted from kg to MT</t>
    </r>
  </si>
  <si>
    <r>
      <t>Compressor Stations (Transmission) CH</t>
    </r>
    <r>
      <rPr>
        <b/>
        <vertAlign val="subscript"/>
        <sz val="12"/>
        <rFont val="Aptos"/>
        <family val="2"/>
      </rPr>
      <t>4</t>
    </r>
    <r>
      <rPr>
        <b/>
        <sz val="12"/>
        <rFont val="Aptos"/>
        <family val="2"/>
      </rPr>
      <t xml:space="preserve"> Emission Factors (MT)</t>
    </r>
  </si>
  <si>
    <r>
      <t>Pneumatic Devices (Transmission) CH</t>
    </r>
    <r>
      <rPr>
        <b/>
        <vertAlign val="subscript"/>
        <sz val="12"/>
        <rFont val="Aptos"/>
        <family val="2"/>
      </rPr>
      <t>4</t>
    </r>
    <r>
      <rPr>
        <b/>
        <sz val="12"/>
        <rFont val="Aptos"/>
        <family val="2"/>
      </rPr>
      <t xml:space="preserve"> Emission Factors (MT)</t>
    </r>
  </si>
  <si>
    <r>
      <t>LNG Storage CH</t>
    </r>
    <r>
      <rPr>
        <b/>
        <vertAlign val="subscript"/>
        <sz val="12"/>
        <rFont val="Aptos"/>
        <family val="2"/>
      </rPr>
      <t>4</t>
    </r>
    <r>
      <rPr>
        <b/>
        <sz val="12"/>
        <rFont val="Aptos"/>
        <family val="2"/>
      </rPr>
      <t xml:space="preserve"> Emission Factors (MT)</t>
    </r>
  </si>
  <si>
    <r>
      <t>LNG Import Terminals CH</t>
    </r>
    <r>
      <rPr>
        <b/>
        <vertAlign val="subscript"/>
        <sz val="12"/>
        <rFont val="Aptos"/>
        <family val="2"/>
      </rPr>
      <t>4</t>
    </r>
    <r>
      <rPr>
        <b/>
        <sz val="12"/>
        <rFont val="Aptos"/>
        <family val="2"/>
      </rPr>
      <t xml:space="preserve"> Emission Factors (MT)</t>
    </r>
  </si>
  <si>
    <r>
      <t>CH</t>
    </r>
    <r>
      <rPr>
        <b/>
        <vertAlign val="subscript"/>
        <sz val="12"/>
        <rFont val="Aptos"/>
        <family val="2"/>
      </rPr>
      <t>4</t>
    </r>
    <r>
      <rPr>
        <b/>
        <sz val="12"/>
        <rFont val="Aptos"/>
        <family val="2"/>
      </rPr>
      <t xml:space="preserve"> Emissions from Transmission Pipelines (MTCH</t>
    </r>
    <r>
      <rPr>
        <b/>
        <vertAlign val="subscript"/>
        <sz val="12"/>
        <rFont val="Aptos"/>
        <family val="2"/>
      </rPr>
      <t>4</t>
    </r>
    <r>
      <rPr>
        <b/>
        <sz val="12"/>
        <rFont val="Aptos"/>
        <family val="2"/>
      </rPr>
      <t>)</t>
    </r>
  </si>
  <si>
    <r>
      <t>NG Transmission and Storage CH</t>
    </r>
    <r>
      <rPr>
        <b/>
        <vertAlign val="subscript"/>
        <sz val="12"/>
        <rFont val="Aptos"/>
        <family val="2"/>
      </rPr>
      <t>4</t>
    </r>
    <r>
      <rPr>
        <b/>
        <sz val="12"/>
        <rFont val="Aptos"/>
        <family val="2"/>
      </rPr>
      <t xml:space="preserve"> Emissions Tables (6 Tables)</t>
    </r>
  </si>
  <si>
    <r>
      <t>CH</t>
    </r>
    <r>
      <rPr>
        <b/>
        <vertAlign val="subscript"/>
        <sz val="12"/>
        <rFont val="Aptos"/>
        <family val="2"/>
      </rPr>
      <t>4</t>
    </r>
    <r>
      <rPr>
        <b/>
        <sz val="12"/>
        <rFont val="Aptos"/>
        <family val="2"/>
      </rPr>
      <t xml:space="preserve"> Emissions from Transmission Compressor Stations (MTCH</t>
    </r>
    <r>
      <rPr>
        <b/>
        <vertAlign val="subscript"/>
        <sz val="12"/>
        <rFont val="Aptos"/>
        <family val="2"/>
      </rPr>
      <t>4</t>
    </r>
    <r>
      <rPr>
        <b/>
        <sz val="12"/>
        <rFont val="Aptos"/>
        <family val="2"/>
      </rPr>
      <t>)</t>
    </r>
  </si>
  <si>
    <r>
      <t>CH</t>
    </r>
    <r>
      <rPr>
        <b/>
        <vertAlign val="subscript"/>
        <sz val="12"/>
        <rFont val="Aptos"/>
        <family val="2"/>
      </rPr>
      <t>4</t>
    </r>
    <r>
      <rPr>
        <b/>
        <sz val="12"/>
        <rFont val="Aptos"/>
        <family val="2"/>
      </rPr>
      <t xml:space="preserve"> Emissions from Transmission Pneumatic Devices (MTCH</t>
    </r>
    <r>
      <rPr>
        <b/>
        <vertAlign val="subscript"/>
        <sz val="12"/>
        <rFont val="Aptos"/>
        <family val="2"/>
      </rPr>
      <t>4</t>
    </r>
    <r>
      <rPr>
        <b/>
        <sz val="12"/>
        <rFont val="Aptos"/>
        <family val="2"/>
      </rPr>
      <t>)</t>
    </r>
  </si>
  <si>
    <r>
      <t>CH</t>
    </r>
    <r>
      <rPr>
        <b/>
        <vertAlign val="subscript"/>
        <sz val="12"/>
        <rFont val="Aptos"/>
        <family val="2"/>
      </rPr>
      <t>4</t>
    </r>
    <r>
      <rPr>
        <b/>
        <sz val="12"/>
        <rFont val="Aptos"/>
        <family val="2"/>
      </rPr>
      <t xml:space="preserve"> Emissions from LNG Storage Facilities (MTCH</t>
    </r>
    <r>
      <rPr>
        <b/>
        <vertAlign val="subscript"/>
        <sz val="12"/>
        <rFont val="Aptos"/>
        <family val="2"/>
      </rPr>
      <t>4</t>
    </r>
    <r>
      <rPr>
        <b/>
        <sz val="12"/>
        <rFont val="Aptos"/>
        <family val="2"/>
      </rPr>
      <t>)</t>
    </r>
  </si>
  <si>
    <r>
      <t>CH</t>
    </r>
    <r>
      <rPr>
        <b/>
        <vertAlign val="subscript"/>
        <sz val="12"/>
        <rFont val="Aptos"/>
        <family val="2"/>
      </rPr>
      <t>4</t>
    </r>
    <r>
      <rPr>
        <b/>
        <sz val="12"/>
        <rFont val="Aptos"/>
        <family val="2"/>
      </rPr>
      <t xml:space="preserve"> Emissions from LNG Import Terminals (MTCH</t>
    </r>
    <r>
      <rPr>
        <b/>
        <vertAlign val="subscript"/>
        <sz val="12"/>
        <rFont val="Aptos"/>
        <family val="2"/>
      </rPr>
      <t>4</t>
    </r>
    <r>
      <rPr>
        <b/>
        <sz val="12"/>
        <rFont val="Aptos"/>
        <family val="2"/>
      </rPr>
      <t>)</t>
    </r>
  </si>
  <si>
    <r>
      <t>Total CH</t>
    </r>
    <r>
      <rPr>
        <b/>
        <vertAlign val="subscript"/>
        <sz val="12"/>
        <rFont val="Aptos"/>
        <family val="2"/>
      </rPr>
      <t>4</t>
    </r>
    <r>
      <rPr>
        <b/>
        <sz val="12"/>
        <rFont val="Aptos"/>
        <family val="2"/>
      </rPr>
      <t xml:space="preserve"> Emissions from Natural Gas Transmission and Storage</t>
    </r>
  </si>
  <si>
    <r>
      <t>CH</t>
    </r>
    <r>
      <rPr>
        <b/>
        <vertAlign val="subscript"/>
        <sz val="12"/>
        <rFont val="Aptos"/>
        <family val="2"/>
      </rPr>
      <t>4</t>
    </r>
    <r>
      <rPr>
        <b/>
        <sz val="12"/>
        <rFont val="Aptos"/>
        <family val="2"/>
      </rPr>
      <t xml:space="preserve"> Emissions from Natural Gas Transmission and Storage</t>
    </r>
  </si>
  <si>
    <r>
      <t>NG Transmission and Storage CO</t>
    </r>
    <r>
      <rPr>
        <b/>
        <vertAlign val="subscript"/>
        <sz val="14"/>
        <rFont val="Aptos"/>
        <family val="2"/>
      </rPr>
      <t>2</t>
    </r>
    <r>
      <rPr>
        <b/>
        <sz val="14"/>
        <rFont val="Aptos"/>
        <family val="2"/>
      </rPr>
      <t xml:space="preserve"> Emissions Factor Tables (10 Tables)</t>
    </r>
  </si>
  <si>
    <r>
      <t>Pipeline (Transmission) CO</t>
    </r>
    <r>
      <rPr>
        <b/>
        <vertAlign val="subscript"/>
        <sz val="12"/>
        <rFont val="Aptos"/>
        <family val="2"/>
      </rPr>
      <t>2</t>
    </r>
    <r>
      <rPr>
        <b/>
        <sz val="12"/>
        <rFont val="Aptos"/>
        <family val="2"/>
      </rPr>
      <t xml:space="preserve"> Emission Factors (kg)</t>
    </r>
  </si>
  <si>
    <r>
      <t>Compressor Stations (Transmission) CO</t>
    </r>
    <r>
      <rPr>
        <b/>
        <vertAlign val="subscript"/>
        <sz val="12"/>
        <rFont val="Aptos"/>
        <family val="2"/>
      </rPr>
      <t>2</t>
    </r>
    <r>
      <rPr>
        <b/>
        <sz val="12"/>
        <rFont val="Aptos"/>
        <family val="2"/>
      </rPr>
      <t xml:space="preserve"> Emission Factors (kg)</t>
    </r>
  </si>
  <si>
    <r>
      <t>Source: EPA 2022 GHGI Annex 3.6 Electronic Tables: Table 3.6-12: Average CO</t>
    </r>
    <r>
      <rPr>
        <b/>
        <vertAlign val="subscript"/>
        <sz val="12"/>
        <color theme="0"/>
        <rFont val="Aptos"/>
        <family val="2"/>
      </rPr>
      <t>2</t>
    </r>
    <r>
      <rPr>
        <b/>
        <sz val="12"/>
        <color theme="0"/>
        <rFont val="Aptos"/>
        <family val="2"/>
      </rPr>
      <t xml:space="preserve"> Emission Factors (kg/unit activity) for Natural Gas Systems Sources, for All Years: Transmission and Storage</t>
    </r>
  </si>
  <si>
    <r>
      <t>Pneumatic Devices (Transmission) CO</t>
    </r>
    <r>
      <rPr>
        <b/>
        <vertAlign val="subscript"/>
        <sz val="12"/>
        <rFont val="Aptos"/>
        <family val="2"/>
      </rPr>
      <t>2</t>
    </r>
    <r>
      <rPr>
        <b/>
        <sz val="12"/>
        <rFont val="Aptos"/>
        <family val="2"/>
      </rPr>
      <t xml:space="preserve"> Emission Factors (kg)</t>
    </r>
  </si>
  <si>
    <r>
      <t>LNG Storage CO</t>
    </r>
    <r>
      <rPr>
        <b/>
        <vertAlign val="subscript"/>
        <sz val="12"/>
        <rFont val="Aptos"/>
        <family val="2"/>
      </rPr>
      <t>2</t>
    </r>
    <r>
      <rPr>
        <b/>
        <sz val="12"/>
        <rFont val="Aptos"/>
        <family val="2"/>
      </rPr>
      <t xml:space="preserve"> Emission Factors (kg)</t>
    </r>
  </si>
  <si>
    <r>
      <t>LNG Import Terminals CO</t>
    </r>
    <r>
      <rPr>
        <b/>
        <vertAlign val="subscript"/>
        <sz val="12"/>
        <rFont val="Aptos"/>
        <family val="2"/>
      </rPr>
      <t>2</t>
    </r>
    <r>
      <rPr>
        <b/>
        <sz val="12"/>
        <rFont val="Aptos"/>
        <family val="2"/>
      </rPr>
      <t xml:space="preserve"> Emission Factors (kg)</t>
    </r>
  </si>
  <si>
    <r>
      <t>Pipeline (Transmission) CO</t>
    </r>
    <r>
      <rPr>
        <b/>
        <vertAlign val="subscript"/>
        <sz val="12"/>
        <rFont val="Aptos"/>
        <family val="2"/>
      </rPr>
      <t>2</t>
    </r>
    <r>
      <rPr>
        <b/>
        <sz val="12"/>
        <rFont val="Aptos"/>
        <family val="2"/>
      </rPr>
      <t xml:space="preserve"> Emission Factors (MT)</t>
    </r>
  </si>
  <si>
    <r>
      <t>Compressor Stations (Transmission) CO</t>
    </r>
    <r>
      <rPr>
        <b/>
        <vertAlign val="subscript"/>
        <sz val="12"/>
        <rFont val="Aptos"/>
        <family val="2"/>
      </rPr>
      <t>2</t>
    </r>
    <r>
      <rPr>
        <b/>
        <sz val="12"/>
        <rFont val="Aptos"/>
        <family val="2"/>
      </rPr>
      <t xml:space="preserve"> Emission Factors (MT)</t>
    </r>
  </si>
  <si>
    <r>
      <t>Pneumatic Devices (Transmission) CO</t>
    </r>
    <r>
      <rPr>
        <b/>
        <vertAlign val="subscript"/>
        <sz val="12"/>
        <rFont val="Aptos"/>
        <family val="2"/>
      </rPr>
      <t>2</t>
    </r>
    <r>
      <rPr>
        <b/>
        <sz val="12"/>
        <rFont val="Aptos"/>
        <family val="2"/>
      </rPr>
      <t xml:space="preserve"> Emission Factors (MT)</t>
    </r>
  </si>
  <si>
    <r>
      <t>LNG Storage CO</t>
    </r>
    <r>
      <rPr>
        <b/>
        <vertAlign val="subscript"/>
        <sz val="12"/>
        <rFont val="Aptos"/>
        <family val="2"/>
      </rPr>
      <t>2</t>
    </r>
    <r>
      <rPr>
        <b/>
        <sz val="12"/>
        <rFont val="Aptos"/>
        <family val="2"/>
      </rPr>
      <t xml:space="preserve"> Emission Factors (MT)</t>
    </r>
  </si>
  <si>
    <r>
      <t>LNG Import Terminals CO</t>
    </r>
    <r>
      <rPr>
        <b/>
        <vertAlign val="subscript"/>
        <sz val="12"/>
        <rFont val="Aptos"/>
        <family val="2"/>
      </rPr>
      <t>2</t>
    </r>
    <r>
      <rPr>
        <b/>
        <sz val="12"/>
        <rFont val="Aptos"/>
        <family val="2"/>
      </rPr>
      <t xml:space="preserve"> Emission Factors (MT)</t>
    </r>
  </si>
  <si>
    <r>
      <t>CO</t>
    </r>
    <r>
      <rPr>
        <b/>
        <vertAlign val="subscript"/>
        <sz val="12"/>
        <rFont val="Aptos"/>
        <family val="2"/>
      </rPr>
      <t>2</t>
    </r>
    <r>
      <rPr>
        <b/>
        <sz val="12"/>
        <rFont val="Aptos"/>
        <family val="2"/>
      </rPr>
      <t xml:space="preserve"> Emissions from Transmission Pipelines (MTCO</t>
    </r>
    <r>
      <rPr>
        <b/>
        <vertAlign val="subscript"/>
        <sz val="12"/>
        <rFont val="Aptos"/>
        <family val="2"/>
      </rPr>
      <t>2</t>
    </r>
    <r>
      <rPr>
        <b/>
        <sz val="12"/>
        <rFont val="Aptos"/>
        <family val="2"/>
      </rPr>
      <t>)</t>
    </r>
  </si>
  <si>
    <r>
      <t>NG Transmission and Storage CO</t>
    </r>
    <r>
      <rPr>
        <b/>
        <vertAlign val="subscript"/>
        <sz val="12"/>
        <rFont val="Aptos"/>
        <family val="2"/>
      </rPr>
      <t>2</t>
    </r>
    <r>
      <rPr>
        <b/>
        <sz val="12"/>
        <rFont val="Aptos"/>
        <family val="2"/>
      </rPr>
      <t xml:space="preserve"> Emissions Tables (6 Tables)</t>
    </r>
  </si>
  <si>
    <r>
      <t>The 'number of terminals reporting to FLIGHT' is subtracted from 'total number of terminals' in the CO</t>
    </r>
    <r>
      <rPr>
        <vertAlign val="subscript"/>
        <sz val="12"/>
        <rFont val="Aptos"/>
        <family val="2"/>
      </rPr>
      <t>2</t>
    </r>
    <r>
      <rPr>
        <sz val="12"/>
        <rFont val="Aptos"/>
        <family val="2"/>
      </rPr>
      <t xml:space="preserve"> section beginning with 1990 to account for Distrigas having no flare stack.</t>
    </r>
  </si>
  <si>
    <r>
      <t>CO</t>
    </r>
    <r>
      <rPr>
        <b/>
        <vertAlign val="subscript"/>
        <sz val="12"/>
        <rFont val="Aptos"/>
        <family val="2"/>
      </rPr>
      <t>2</t>
    </r>
    <r>
      <rPr>
        <b/>
        <sz val="12"/>
        <rFont val="Aptos"/>
        <family val="2"/>
      </rPr>
      <t xml:space="preserve"> Emissions from Transmission Compressor Stations (MTCO</t>
    </r>
    <r>
      <rPr>
        <b/>
        <vertAlign val="subscript"/>
        <sz val="12"/>
        <rFont val="Aptos"/>
        <family val="2"/>
      </rPr>
      <t>2</t>
    </r>
    <r>
      <rPr>
        <b/>
        <sz val="12"/>
        <rFont val="Aptos"/>
        <family val="2"/>
      </rPr>
      <t>)</t>
    </r>
  </si>
  <si>
    <r>
      <t>CO</t>
    </r>
    <r>
      <rPr>
        <b/>
        <vertAlign val="subscript"/>
        <sz val="12"/>
        <rFont val="Aptos"/>
        <family val="2"/>
      </rPr>
      <t>2</t>
    </r>
    <r>
      <rPr>
        <b/>
        <sz val="12"/>
        <rFont val="Aptos"/>
        <family val="2"/>
      </rPr>
      <t xml:space="preserve"> Emissions from Transmission Pneumatic Devices (MTCO</t>
    </r>
    <r>
      <rPr>
        <b/>
        <vertAlign val="subscript"/>
        <sz val="12"/>
        <rFont val="Aptos"/>
        <family val="2"/>
      </rPr>
      <t>2</t>
    </r>
    <r>
      <rPr>
        <b/>
        <sz val="12"/>
        <rFont val="Aptos"/>
        <family val="2"/>
      </rPr>
      <t>)</t>
    </r>
  </si>
  <si>
    <r>
      <t>Beginning 2015, number of stations is subtracted for stations that report to EPA FLIGHT and CO</t>
    </r>
    <r>
      <rPr>
        <vertAlign val="subscript"/>
        <sz val="12"/>
        <rFont val="Aptos"/>
        <family val="2"/>
      </rPr>
      <t>2</t>
    </r>
    <r>
      <rPr>
        <sz val="12"/>
        <rFont val="Aptos"/>
        <family val="2"/>
      </rPr>
      <t xml:space="preserve"> emissions from Other Station Leaks reported to FLIGHT are added back in. </t>
    </r>
  </si>
  <si>
    <r>
      <t>Beginning 2015, number of reciprocating compressors is subtracted for stations that report to EPA FLIGHT and CO</t>
    </r>
    <r>
      <rPr>
        <vertAlign val="subscript"/>
        <sz val="12"/>
        <rFont val="Aptos"/>
        <family val="2"/>
      </rPr>
      <t>2</t>
    </r>
    <r>
      <rPr>
        <sz val="12"/>
        <rFont val="Aptos"/>
        <family val="2"/>
      </rPr>
      <t xml:space="preserve"> emissions from compressor leaks reported to FLIGHT are added back in. </t>
    </r>
  </si>
  <si>
    <r>
      <t>Beginning 2015, number of centrifugal wet seal compressors is subtracted for stations that report to EPA FLIGHT and CO</t>
    </r>
    <r>
      <rPr>
        <vertAlign val="subscript"/>
        <sz val="12"/>
        <rFont val="Aptos"/>
        <family val="2"/>
      </rPr>
      <t>2</t>
    </r>
    <r>
      <rPr>
        <sz val="12"/>
        <rFont val="Aptos"/>
        <family val="2"/>
      </rPr>
      <t xml:space="preserve"> emissions from centrifugal wet seal compressor leaks reported to FLIGHT are added back in. </t>
    </r>
  </si>
  <si>
    <r>
      <t>Beginning 2015, number of centrifugal dry seal compressors is subtracted for stations that report to EPA FLIGHT and CO</t>
    </r>
    <r>
      <rPr>
        <vertAlign val="subscript"/>
        <sz val="12"/>
        <rFont val="Aptos"/>
        <family val="2"/>
      </rPr>
      <t>2</t>
    </r>
    <r>
      <rPr>
        <sz val="12"/>
        <rFont val="Aptos"/>
        <family val="2"/>
      </rPr>
      <t xml:space="preserve"> emissions from centrifugal dry seal compressor leaks reported to FLIGHT are added back in. </t>
    </r>
  </si>
  <si>
    <r>
      <t>Beginning 2015, number of stations is subtracted for stations that report to EPA FLIGHT and CO</t>
    </r>
    <r>
      <rPr>
        <vertAlign val="subscript"/>
        <sz val="12"/>
        <rFont val="Aptos"/>
        <family val="2"/>
      </rPr>
      <t>2</t>
    </r>
    <r>
      <rPr>
        <sz val="12"/>
        <rFont val="Aptos"/>
        <family val="2"/>
      </rPr>
      <t xml:space="preserve"> emissions from station venting reported to FLIGHT are added back in. </t>
    </r>
  </si>
  <si>
    <r>
      <t>CO</t>
    </r>
    <r>
      <rPr>
        <b/>
        <vertAlign val="subscript"/>
        <sz val="12"/>
        <rFont val="Aptos"/>
        <family val="2"/>
      </rPr>
      <t>2</t>
    </r>
    <r>
      <rPr>
        <b/>
        <sz val="12"/>
        <rFont val="Aptos"/>
        <family val="2"/>
      </rPr>
      <t xml:space="preserve"> Emissions from LNG Storage Facilities (MTCO</t>
    </r>
    <r>
      <rPr>
        <b/>
        <vertAlign val="subscript"/>
        <sz val="12"/>
        <rFont val="Aptos"/>
        <family val="2"/>
      </rPr>
      <t>2</t>
    </r>
    <r>
      <rPr>
        <b/>
        <sz val="12"/>
        <rFont val="Aptos"/>
        <family val="2"/>
      </rPr>
      <t>)</t>
    </r>
  </si>
  <si>
    <r>
      <t>CO</t>
    </r>
    <r>
      <rPr>
        <vertAlign val="subscript"/>
        <sz val="12"/>
        <rFont val="Aptos"/>
        <family val="2"/>
      </rPr>
      <t>2</t>
    </r>
    <r>
      <rPr>
        <sz val="12"/>
        <rFont val="Aptos"/>
        <family val="2"/>
      </rPr>
      <t xml:space="preserve"> emissions from LNG facilities are primarily from flaring. MA does not have flare stacks on its LNG facilities so the number of facilities has been set to 0.</t>
    </r>
  </si>
  <si>
    <r>
      <t>CO</t>
    </r>
    <r>
      <rPr>
        <b/>
        <vertAlign val="subscript"/>
        <sz val="12"/>
        <rFont val="Aptos"/>
        <family val="2"/>
      </rPr>
      <t>2</t>
    </r>
    <r>
      <rPr>
        <b/>
        <sz val="12"/>
        <rFont val="Aptos"/>
        <family val="2"/>
      </rPr>
      <t xml:space="preserve"> Emissions from LNG Import Terminals (MTCO</t>
    </r>
    <r>
      <rPr>
        <b/>
        <vertAlign val="subscript"/>
        <sz val="12"/>
        <rFont val="Aptos"/>
        <family val="2"/>
      </rPr>
      <t>2</t>
    </r>
    <r>
      <rPr>
        <b/>
        <sz val="12"/>
        <rFont val="Aptos"/>
        <family val="2"/>
      </rPr>
      <t>)</t>
    </r>
  </si>
  <si>
    <r>
      <t>CO</t>
    </r>
    <r>
      <rPr>
        <vertAlign val="subscript"/>
        <sz val="12"/>
        <rFont val="Aptos"/>
        <family val="2"/>
      </rPr>
      <t>2</t>
    </r>
    <r>
      <rPr>
        <sz val="12"/>
        <rFont val="Aptos"/>
        <family val="2"/>
      </rPr>
      <t xml:space="preserve"> emissions from LNG terminals are primarily from flaring. Beginning 1990, the Distrigas Import terminal is subtracted from the number of stations because Distrigas has no flare stacks.</t>
    </r>
  </si>
  <si>
    <r>
      <t>Beginning 2014, number of terminals is subtracted for terminals that report to EPA FLIGHT and CO</t>
    </r>
    <r>
      <rPr>
        <vertAlign val="subscript"/>
        <sz val="12"/>
        <rFont val="Aptos"/>
        <family val="2"/>
      </rPr>
      <t>2</t>
    </r>
    <r>
      <rPr>
        <sz val="12"/>
        <rFont val="Aptos"/>
        <family val="2"/>
      </rPr>
      <t xml:space="preserve"> emissions from terminal leaks reported to FLIGHT are added back in. </t>
    </r>
  </si>
  <si>
    <r>
      <t>Beginning 2011, number of terminals is subtracted for terminals that report to EPA FLIGHT and CO</t>
    </r>
    <r>
      <rPr>
        <vertAlign val="subscript"/>
        <sz val="12"/>
        <rFont val="Aptos"/>
        <family val="2"/>
      </rPr>
      <t>2</t>
    </r>
    <r>
      <rPr>
        <sz val="12"/>
        <rFont val="Aptos"/>
        <family val="2"/>
      </rPr>
      <t xml:space="preserve"> emissions from terminal blowdowns reported to FLIGHT are added back in. </t>
    </r>
  </si>
  <si>
    <r>
      <t>Total CO</t>
    </r>
    <r>
      <rPr>
        <b/>
        <vertAlign val="subscript"/>
        <sz val="12"/>
        <rFont val="Aptos"/>
        <family val="2"/>
      </rPr>
      <t>2</t>
    </r>
    <r>
      <rPr>
        <b/>
        <sz val="12"/>
        <rFont val="Aptos"/>
        <family val="2"/>
      </rPr>
      <t xml:space="preserve"> Emissions from Natural Gas Transmission and Storage</t>
    </r>
  </si>
  <si>
    <r>
      <t>CO</t>
    </r>
    <r>
      <rPr>
        <b/>
        <vertAlign val="subscript"/>
        <sz val="12"/>
        <rFont val="Aptos"/>
        <family val="2"/>
      </rPr>
      <t>2</t>
    </r>
    <r>
      <rPr>
        <b/>
        <sz val="12"/>
        <rFont val="Aptos"/>
        <family val="2"/>
      </rPr>
      <t xml:space="preserve"> Emissions from Natural Gas Transmission and Storage</t>
    </r>
  </si>
  <si>
    <r>
      <t>Total Transmission and Storage Carbon Dioxide Leak Emissions (MTCO</t>
    </r>
    <r>
      <rPr>
        <vertAlign val="subscript"/>
        <sz val="12"/>
        <rFont val="Aptos"/>
        <family val="2"/>
      </rPr>
      <t>2</t>
    </r>
    <r>
      <rPr>
        <sz val="12"/>
        <rFont val="Aptos"/>
        <family val="2"/>
      </rPr>
      <t>)</t>
    </r>
  </si>
  <si>
    <r>
      <t>Total Transmission and Storage Carbon Dioxide Leak Emissions (MMTCO</t>
    </r>
    <r>
      <rPr>
        <vertAlign val="subscript"/>
        <sz val="12"/>
        <rFont val="Aptos"/>
        <family val="2"/>
      </rPr>
      <t>2</t>
    </r>
    <r>
      <rPr>
        <sz val="12"/>
        <rFont val="Aptos"/>
        <family val="2"/>
      </rPr>
      <t>)</t>
    </r>
  </si>
  <si>
    <r>
      <t>Municipal CH</t>
    </r>
    <r>
      <rPr>
        <vertAlign val="subscript"/>
        <sz val="12"/>
        <rFont val="Aptos"/>
        <family val="2"/>
      </rPr>
      <t xml:space="preserve">4 </t>
    </r>
    <r>
      <rPr>
        <sz val="12"/>
        <rFont val="Aptos"/>
        <family val="2"/>
      </rPr>
      <t>(SIT 1990-1999)</t>
    </r>
  </si>
  <si>
    <r>
      <t>Notes on Septic CH</t>
    </r>
    <r>
      <rPr>
        <vertAlign val="subscript"/>
        <sz val="12"/>
        <color theme="1"/>
        <rFont val="Aptos"/>
        <family val="2"/>
      </rPr>
      <t>4</t>
    </r>
    <r>
      <rPr>
        <sz val="12"/>
        <color theme="1"/>
        <rFont val="Aptos"/>
        <family val="2"/>
      </rPr>
      <t xml:space="preserve"> Variables and Values (Columns A and B)</t>
    </r>
  </si>
  <si>
    <r>
      <t>MCF - Emission factors are calculated by multiplying the maximum CH</t>
    </r>
    <r>
      <rPr>
        <vertAlign val="subscript"/>
        <sz val="12"/>
        <color theme="1"/>
        <rFont val="Aptos"/>
        <family val="2"/>
      </rPr>
      <t>4</t>
    </r>
    <r>
      <rPr>
        <sz val="12"/>
        <color theme="1"/>
        <rFont val="Aptos"/>
        <family val="2"/>
      </rPr>
      <t>-producing capacity of domestic wastewater (B0, 0.6 kg CH4/kg BOD) and the appropriate methane correction factors (MCF) for aerobic (0.03) and anaerobic (0.8) systems (IPCC 2019, Table 6.3) and constructed wetlands (0.4) (IPCC 2014, Table 6.4).</t>
    </r>
  </si>
  <si>
    <r>
      <t>Coastal Wetlands CH</t>
    </r>
    <r>
      <rPr>
        <vertAlign val="subscript"/>
        <sz val="12"/>
        <rFont val="Aptos"/>
        <family val="2"/>
      </rPr>
      <t>4</t>
    </r>
    <r>
      <rPr>
        <sz val="12"/>
        <rFont val="Aptos"/>
        <family val="2"/>
      </rPr>
      <t xml:space="preserve"> Emissions</t>
    </r>
  </si>
  <si>
    <r>
      <t>Flooded Land CH</t>
    </r>
    <r>
      <rPr>
        <vertAlign val="subscript"/>
        <sz val="12"/>
        <rFont val="Aptos"/>
        <family val="2"/>
      </rPr>
      <t>4</t>
    </r>
    <r>
      <rPr>
        <sz val="12"/>
        <rFont val="Aptos"/>
        <family val="2"/>
      </rPr>
      <t xml:space="preserve"> Emissions</t>
    </r>
  </si>
  <si>
    <r>
      <t>Lands Converted to Wetlands CH</t>
    </r>
    <r>
      <rPr>
        <vertAlign val="subscript"/>
        <sz val="12"/>
        <rFont val="Aptos"/>
        <family val="2"/>
      </rPr>
      <t>4</t>
    </r>
    <r>
      <rPr>
        <sz val="12"/>
        <rFont val="Aptos"/>
        <family val="2"/>
      </rPr>
      <t xml:space="preserve"> Emissions</t>
    </r>
  </si>
  <si>
    <r>
      <t>The data for this chart can be found in the MA Emissions Summary (MMTCO</t>
    </r>
    <r>
      <rPr>
        <vertAlign val="subscript"/>
        <sz val="12"/>
        <color theme="1"/>
        <rFont val="Aptos"/>
        <family val="2"/>
      </rPr>
      <t>2</t>
    </r>
    <r>
      <rPr>
        <sz val="12"/>
        <color theme="1"/>
        <rFont val="Aptos"/>
        <family val="2"/>
      </rPr>
      <t>e) table on the Summary Worksheet.</t>
    </r>
  </si>
  <si>
    <r>
      <t>4 Gases (MMTCO</t>
    </r>
    <r>
      <rPr>
        <vertAlign val="subscript"/>
        <sz val="12"/>
        <color rgb="FF000000"/>
        <rFont val="Aptos"/>
        <family val="2"/>
      </rPr>
      <t>2</t>
    </r>
    <r>
      <rPr>
        <sz val="12"/>
        <color rgb="FF000000"/>
        <rFont val="Aptos"/>
        <family val="2"/>
      </rPr>
      <t>e)</t>
    </r>
  </si>
  <si>
    <r>
      <t>MA Emissions by Gas (MMTCO</t>
    </r>
    <r>
      <rPr>
        <b/>
        <vertAlign val="subscript"/>
        <sz val="12"/>
        <rFont val="Aptos"/>
        <family val="2"/>
      </rPr>
      <t>2</t>
    </r>
    <r>
      <rPr>
        <b/>
        <sz val="12"/>
        <rFont val="Aptos"/>
        <family val="2"/>
      </rPr>
      <t>e)</t>
    </r>
  </si>
  <si>
    <r>
      <t>Data for Combustion CO</t>
    </r>
    <r>
      <rPr>
        <b/>
        <vertAlign val="subscript"/>
        <sz val="12"/>
        <rFont val="Aptos"/>
        <family val="2"/>
      </rPr>
      <t>2</t>
    </r>
  </si>
  <si>
    <r>
      <t>Summary Data from EPA SIT: CO</t>
    </r>
    <r>
      <rPr>
        <vertAlign val="subscript"/>
        <sz val="12"/>
        <color theme="1"/>
        <rFont val="Aptos"/>
        <family val="2"/>
      </rPr>
      <t>2</t>
    </r>
    <r>
      <rPr>
        <sz val="12"/>
        <color theme="1"/>
        <rFont val="Aptos"/>
        <family val="2"/>
      </rPr>
      <t xml:space="preserve"> Emissions</t>
    </r>
  </si>
  <si>
    <r>
      <t>Fuel Specific Data from EPA SIT: CO</t>
    </r>
    <r>
      <rPr>
        <vertAlign val="subscript"/>
        <sz val="12"/>
        <color theme="1"/>
        <rFont val="Aptos"/>
        <family val="2"/>
      </rPr>
      <t>2</t>
    </r>
    <r>
      <rPr>
        <sz val="12"/>
        <color theme="1"/>
        <rFont val="Aptos"/>
        <family val="2"/>
      </rPr>
      <t xml:space="preserve"> Emissions</t>
    </r>
  </si>
  <si>
    <r>
      <t>Conversion Factors for Additional CO</t>
    </r>
    <r>
      <rPr>
        <vertAlign val="subscript"/>
        <sz val="12"/>
        <color theme="1"/>
        <rFont val="Aptos"/>
        <family val="2"/>
      </rPr>
      <t>2</t>
    </r>
    <r>
      <rPr>
        <sz val="12"/>
        <color theme="1"/>
        <rFont val="Aptos"/>
        <family val="2"/>
      </rPr>
      <t xml:space="preserve"> Emissions Tables (2 Tables)</t>
    </r>
  </si>
  <si>
    <r>
      <t>Summary Data from EPA SIT: CO</t>
    </r>
    <r>
      <rPr>
        <b/>
        <vertAlign val="subscript"/>
        <sz val="12"/>
        <color theme="1"/>
        <rFont val="Aptos"/>
        <family val="2"/>
      </rPr>
      <t>2</t>
    </r>
    <r>
      <rPr>
        <b/>
        <sz val="12"/>
        <color theme="1"/>
        <rFont val="Aptos"/>
        <family val="2"/>
      </rPr>
      <t xml:space="preserve"> Emissions (MMTCO</t>
    </r>
    <r>
      <rPr>
        <b/>
        <vertAlign val="subscript"/>
        <sz val="12"/>
        <color theme="1"/>
        <rFont val="Aptos"/>
        <family val="2"/>
      </rPr>
      <t>2</t>
    </r>
    <r>
      <rPr>
        <b/>
        <sz val="12"/>
        <color theme="1"/>
        <rFont val="Aptos"/>
        <family val="2"/>
      </rPr>
      <t>)</t>
    </r>
  </si>
  <si>
    <r>
      <t>Additional CO</t>
    </r>
    <r>
      <rPr>
        <vertAlign val="subscript"/>
        <sz val="12"/>
        <color theme="1"/>
        <rFont val="Aptos"/>
        <family val="2"/>
      </rPr>
      <t>2</t>
    </r>
    <r>
      <rPr>
        <sz val="12"/>
        <color theme="1"/>
        <rFont val="Aptos"/>
        <family val="2"/>
      </rPr>
      <t xml:space="preserve"> Emissions from Other Data Sources (2 Tables)</t>
    </r>
  </si>
  <si>
    <r>
      <t>Notes: CO</t>
    </r>
    <r>
      <rPr>
        <vertAlign val="subscript"/>
        <sz val="12"/>
        <rFont val="Aptos"/>
        <family val="2"/>
      </rPr>
      <t>2</t>
    </r>
    <r>
      <rPr>
        <sz val="12"/>
        <rFont val="Aptos"/>
        <family val="2"/>
      </rPr>
      <t xml:space="preserve"> Emissions using EPA SIT CO2FFC with EIA SEDS data as adjusted by MassDEP.</t>
    </r>
  </si>
  <si>
    <r>
      <t>Fuel Specific Summary Data from EPA SIT: CO</t>
    </r>
    <r>
      <rPr>
        <b/>
        <vertAlign val="subscript"/>
        <sz val="12"/>
        <color theme="1"/>
        <rFont val="Aptos"/>
        <family val="2"/>
      </rPr>
      <t>2</t>
    </r>
    <r>
      <rPr>
        <b/>
        <sz val="12"/>
        <color theme="1"/>
        <rFont val="Aptos"/>
        <family val="2"/>
      </rPr>
      <t xml:space="preserve"> Emissions (MMTCO</t>
    </r>
    <r>
      <rPr>
        <b/>
        <vertAlign val="subscript"/>
        <sz val="12"/>
        <color theme="1"/>
        <rFont val="Aptos"/>
        <family val="2"/>
      </rPr>
      <t>2</t>
    </r>
    <r>
      <rPr>
        <b/>
        <sz val="12"/>
        <color theme="1"/>
        <rFont val="Aptos"/>
        <family val="2"/>
      </rPr>
      <t>)</t>
    </r>
  </si>
  <si>
    <r>
      <t>Additional CO</t>
    </r>
    <r>
      <rPr>
        <b/>
        <vertAlign val="subscript"/>
        <sz val="12"/>
        <rFont val="Aptos"/>
        <family val="2"/>
      </rPr>
      <t>2</t>
    </r>
    <r>
      <rPr>
        <b/>
        <sz val="12"/>
        <rFont val="Aptos"/>
        <family val="2"/>
      </rPr>
      <t xml:space="preserve"> Emissions from Other Data Sources and Calculations (2 tables)</t>
    </r>
  </si>
  <si>
    <r>
      <t>fuel consumption data and CO</t>
    </r>
    <r>
      <rPr>
        <b/>
        <vertAlign val="subscript"/>
        <sz val="12"/>
        <rFont val="Aptos"/>
        <family val="2"/>
      </rPr>
      <t>2</t>
    </r>
    <r>
      <rPr>
        <b/>
        <sz val="12"/>
        <rFont val="Aptos"/>
        <family val="2"/>
      </rPr>
      <t xml:space="preserve"> emissions</t>
    </r>
  </si>
  <si>
    <r>
      <t xml:space="preserve"> MMTCO</t>
    </r>
    <r>
      <rPr>
        <b/>
        <vertAlign val="subscript"/>
        <sz val="12"/>
        <rFont val="Aptos"/>
        <family val="2"/>
      </rPr>
      <t>2</t>
    </r>
  </si>
  <si>
    <r>
      <t>NG emission factor MMTCO</t>
    </r>
    <r>
      <rPr>
        <vertAlign val="subscript"/>
        <sz val="12"/>
        <rFont val="Aptos"/>
        <family val="2"/>
      </rPr>
      <t>2</t>
    </r>
    <r>
      <rPr>
        <sz val="12"/>
        <rFont val="Aptos"/>
        <family val="2"/>
      </rPr>
      <t>/BBTU (from SIT CO2FFC)</t>
    </r>
  </si>
  <si>
    <r>
      <t>Emission Factor (EF) lb CO</t>
    </r>
    <r>
      <rPr>
        <vertAlign val="subscript"/>
        <sz val="12"/>
        <rFont val="Aptos"/>
        <family val="2"/>
      </rPr>
      <t>2</t>
    </r>
    <r>
      <rPr>
        <sz val="12"/>
        <rFont val="Aptos"/>
        <family val="2"/>
      </rPr>
      <t>/MWh*</t>
    </r>
  </si>
  <si>
    <r>
      <t>CO</t>
    </r>
    <r>
      <rPr>
        <vertAlign val="subscript"/>
        <sz val="12"/>
        <rFont val="Aptos"/>
        <family val="2"/>
      </rPr>
      <t>2</t>
    </r>
    <r>
      <rPr>
        <sz val="12"/>
        <rFont val="Aptos"/>
        <family val="2"/>
      </rPr>
      <t xml:space="preserve"> from Landfill Oxidation (Biogenic CO</t>
    </r>
    <r>
      <rPr>
        <vertAlign val="subscript"/>
        <sz val="12"/>
        <rFont val="Aptos"/>
        <family val="2"/>
      </rPr>
      <t>2</t>
    </r>
    <r>
      <rPr>
        <sz val="12"/>
        <rFont val="Aptos"/>
        <family val="2"/>
      </rPr>
      <t>)</t>
    </r>
  </si>
  <si>
    <r>
      <t>Meter/Regulator Stations (City Gates) CO</t>
    </r>
    <r>
      <rPr>
        <b/>
        <vertAlign val="subscript"/>
        <sz val="12"/>
        <rFont val="Aptos"/>
        <family val="2"/>
      </rPr>
      <t>2</t>
    </r>
    <r>
      <rPr>
        <b/>
        <sz val="12"/>
        <rFont val="Aptos"/>
        <family val="2"/>
      </rPr>
      <t xml:space="preserve"> Emission Factors (kg)</t>
    </r>
  </si>
  <si>
    <r>
      <t>Customer Meter CO</t>
    </r>
    <r>
      <rPr>
        <b/>
        <vertAlign val="subscript"/>
        <sz val="12"/>
        <rFont val="Aptos"/>
        <family val="2"/>
      </rPr>
      <t>2</t>
    </r>
    <r>
      <rPr>
        <b/>
        <sz val="12"/>
        <rFont val="Aptos"/>
        <family val="2"/>
      </rPr>
      <t xml:space="preserve"> Emission Factors (kg)</t>
    </r>
  </si>
  <si>
    <r>
      <t>Routine Maintenance and Upsets CO</t>
    </r>
    <r>
      <rPr>
        <b/>
        <vertAlign val="subscript"/>
        <sz val="12"/>
        <rFont val="Aptos"/>
        <family val="2"/>
      </rPr>
      <t>2</t>
    </r>
    <r>
      <rPr>
        <b/>
        <sz val="12"/>
        <rFont val="Aptos"/>
        <family val="2"/>
      </rPr>
      <t xml:space="preserve"> Emission Factors (kg)</t>
    </r>
  </si>
  <si>
    <r>
      <t>Pipeline and Services CO</t>
    </r>
    <r>
      <rPr>
        <b/>
        <vertAlign val="subscript"/>
        <sz val="12"/>
        <rFont val="Aptos"/>
        <family val="2"/>
      </rPr>
      <t>2</t>
    </r>
    <r>
      <rPr>
        <b/>
        <sz val="12"/>
        <rFont val="Aptos"/>
        <family val="2"/>
      </rPr>
      <t xml:space="preserve"> Emission Factors (MT)</t>
    </r>
  </si>
  <si>
    <r>
      <t>NG Distribution CO</t>
    </r>
    <r>
      <rPr>
        <b/>
        <vertAlign val="subscript"/>
        <sz val="12"/>
        <rFont val="Aptos"/>
        <family val="2"/>
      </rPr>
      <t>2</t>
    </r>
    <r>
      <rPr>
        <b/>
        <sz val="12"/>
        <rFont val="Aptos"/>
        <family val="2"/>
      </rPr>
      <t xml:space="preserve"> Emission Factors Converted from kg to MT</t>
    </r>
  </si>
  <si>
    <r>
      <t>Meter/Regulator Stations (City Gates) CO</t>
    </r>
    <r>
      <rPr>
        <b/>
        <vertAlign val="subscript"/>
        <sz val="12"/>
        <rFont val="Aptos"/>
        <family val="2"/>
      </rPr>
      <t>2</t>
    </r>
    <r>
      <rPr>
        <b/>
        <sz val="12"/>
        <rFont val="Aptos"/>
        <family val="2"/>
      </rPr>
      <t xml:space="preserve"> Emission Factors (MT)</t>
    </r>
  </si>
  <si>
    <r>
      <t>Customer Meter CO</t>
    </r>
    <r>
      <rPr>
        <b/>
        <vertAlign val="subscript"/>
        <sz val="12"/>
        <rFont val="Aptos"/>
        <family val="2"/>
      </rPr>
      <t>2</t>
    </r>
    <r>
      <rPr>
        <b/>
        <sz val="12"/>
        <rFont val="Aptos"/>
        <family val="2"/>
      </rPr>
      <t xml:space="preserve"> Emission Factors (MT)</t>
    </r>
  </si>
  <si>
    <r>
      <t>Routine Maintenance and Upsets CO</t>
    </r>
    <r>
      <rPr>
        <b/>
        <vertAlign val="subscript"/>
        <sz val="12"/>
        <rFont val="Aptos"/>
        <family val="2"/>
      </rPr>
      <t>2</t>
    </r>
    <r>
      <rPr>
        <b/>
        <sz val="12"/>
        <rFont val="Aptos"/>
        <family val="2"/>
      </rPr>
      <t xml:space="preserve"> Emission Factors (MT)</t>
    </r>
  </si>
  <si>
    <r>
      <t>CO</t>
    </r>
    <r>
      <rPr>
        <b/>
        <vertAlign val="subscript"/>
        <sz val="12"/>
        <rFont val="Aptos"/>
        <family val="2"/>
      </rPr>
      <t>2</t>
    </r>
    <r>
      <rPr>
        <b/>
        <sz val="12"/>
        <rFont val="Aptos"/>
        <family val="2"/>
      </rPr>
      <t xml:space="preserve"> Emissions from Natural Gas Distribution (5 Tables)</t>
    </r>
  </si>
  <si>
    <r>
      <t>CO</t>
    </r>
    <r>
      <rPr>
        <b/>
        <vertAlign val="subscript"/>
        <sz val="12"/>
        <rFont val="Aptos"/>
        <family val="2"/>
      </rPr>
      <t>2</t>
    </r>
    <r>
      <rPr>
        <b/>
        <sz val="12"/>
        <rFont val="Aptos"/>
        <family val="2"/>
      </rPr>
      <t xml:space="preserve"> Emissions from Pipelines and Services (MTCO</t>
    </r>
    <r>
      <rPr>
        <b/>
        <vertAlign val="subscript"/>
        <sz val="12"/>
        <rFont val="Aptos"/>
        <family val="2"/>
      </rPr>
      <t>2</t>
    </r>
    <r>
      <rPr>
        <b/>
        <sz val="12"/>
        <rFont val="Aptos"/>
        <family val="2"/>
      </rPr>
      <t>)</t>
    </r>
  </si>
  <si>
    <r>
      <t>CO</t>
    </r>
    <r>
      <rPr>
        <b/>
        <vertAlign val="subscript"/>
        <sz val="12"/>
        <rFont val="Aptos"/>
        <family val="2"/>
      </rPr>
      <t>2</t>
    </r>
    <r>
      <rPr>
        <b/>
        <sz val="12"/>
        <rFont val="Aptos"/>
        <family val="2"/>
      </rPr>
      <t xml:space="preserve"> Emissions from Meter/Regulator (City Gates) (MTCO</t>
    </r>
    <r>
      <rPr>
        <b/>
        <vertAlign val="subscript"/>
        <sz val="12"/>
        <rFont val="Aptos"/>
        <family val="2"/>
      </rPr>
      <t>2</t>
    </r>
    <r>
      <rPr>
        <b/>
        <sz val="12"/>
        <rFont val="Aptos"/>
        <family val="2"/>
      </rPr>
      <t>)*</t>
    </r>
  </si>
  <si>
    <r>
      <t>CO</t>
    </r>
    <r>
      <rPr>
        <b/>
        <vertAlign val="subscript"/>
        <sz val="12"/>
        <rFont val="Aptos"/>
        <family val="2"/>
      </rPr>
      <t>2</t>
    </r>
    <r>
      <rPr>
        <b/>
        <sz val="12"/>
        <rFont val="Aptos"/>
        <family val="2"/>
      </rPr>
      <t xml:space="preserve"> Emissions from Customer Meters (MTCO</t>
    </r>
    <r>
      <rPr>
        <b/>
        <vertAlign val="subscript"/>
        <sz val="12"/>
        <rFont val="Aptos"/>
        <family val="2"/>
      </rPr>
      <t>2</t>
    </r>
    <r>
      <rPr>
        <b/>
        <sz val="12"/>
        <rFont val="Aptos"/>
        <family val="2"/>
      </rPr>
      <t>)</t>
    </r>
  </si>
  <si>
    <r>
      <t>Total Distribution Carbon Dioxide Leak Emissions (MTCO</t>
    </r>
    <r>
      <rPr>
        <b/>
        <vertAlign val="subscript"/>
        <sz val="12"/>
        <rFont val="Aptos"/>
        <family val="2"/>
      </rPr>
      <t>2</t>
    </r>
    <r>
      <rPr>
        <b/>
        <sz val="12"/>
        <rFont val="Aptos"/>
        <family val="2"/>
      </rPr>
      <t>)</t>
    </r>
  </si>
  <si>
    <r>
      <t>Total Distribution Carbon Dioxide Leak Emissions (MMTCO</t>
    </r>
    <r>
      <rPr>
        <b/>
        <vertAlign val="subscript"/>
        <sz val="12"/>
        <rFont val="Aptos"/>
        <family val="2"/>
      </rPr>
      <t>2</t>
    </r>
    <r>
      <rPr>
        <b/>
        <sz val="12"/>
        <rFont val="Aptos"/>
        <family val="2"/>
      </rPr>
      <t>)</t>
    </r>
  </si>
  <si>
    <r>
      <t>EPA GHGI Annex 3.6 Table 3.6-12: Average CO</t>
    </r>
    <r>
      <rPr>
        <b/>
        <vertAlign val="subscript"/>
        <sz val="12"/>
        <color theme="0"/>
        <rFont val="Aptos"/>
        <family val="2"/>
      </rPr>
      <t>2</t>
    </r>
    <r>
      <rPr>
        <b/>
        <sz val="12"/>
        <color theme="0"/>
        <rFont val="Aptos"/>
        <family val="2"/>
      </rPr>
      <t xml:space="preserve"> Emission Factors (kg/unit activity) for Natural Gas Systems Sources, for All Years: Other</t>
    </r>
  </si>
  <si>
    <r>
      <t>CO</t>
    </r>
    <r>
      <rPr>
        <b/>
        <vertAlign val="subscript"/>
        <sz val="12"/>
        <rFont val="Aptos"/>
        <family val="2"/>
      </rPr>
      <t>2</t>
    </r>
    <r>
      <rPr>
        <b/>
        <sz val="12"/>
        <rFont val="Aptos"/>
        <family val="2"/>
      </rPr>
      <t xml:space="preserve"> Emissions from Natural Gas Post-Meter Leaks</t>
    </r>
  </si>
  <si>
    <r>
      <t>Total Post-Meter Carbon Dioxide Leak Emissions (MTCO</t>
    </r>
    <r>
      <rPr>
        <b/>
        <vertAlign val="subscript"/>
        <sz val="12"/>
        <rFont val="Aptos"/>
        <family val="2"/>
      </rPr>
      <t>2</t>
    </r>
    <r>
      <rPr>
        <b/>
        <sz val="12"/>
        <rFont val="Aptos"/>
        <family val="2"/>
      </rPr>
      <t>)</t>
    </r>
  </si>
  <si>
    <r>
      <t>Total Post-Meter Carbon Dioxide Leak Emissions (MMTCO</t>
    </r>
    <r>
      <rPr>
        <b/>
        <vertAlign val="subscript"/>
        <sz val="12"/>
        <rFont val="Aptos"/>
        <family val="2"/>
      </rPr>
      <t>2</t>
    </r>
    <r>
      <rPr>
        <b/>
        <sz val="12"/>
        <rFont val="Aptos"/>
        <family val="2"/>
      </rPr>
      <t>)</t>
    </r>
  </si>
  <si>
    <r>
      <t>NG Transmission and Storage CO</t>
    </r>
    <r>
      <rPr>
        <b/>
        <vertAlign val="subscript"/>
        <sz val="12"/>
        <rFont val="Aptos"/>
        <family val="2"/>
      </rPr>
      <t>2</t>
    </r>
    <r>
      <rPr>
        <b/>
        <sz val="12"/>
        <rFont val="Aptos"/>
        <family val="2"/>
      </rPr>
      <t xml:space="preserve"> Emission Factors Converted from kg to MT</t>
    </r>
  </si>
  <si>
    <r>
      <t>CO</t>
    </r>
    <r>
      <rPr>
        <vertAlign val="subscript"/>
        <sz val="12"/>
        <color theme="1"/>
        <rFont val="Aptos"/>
        <family val="2"/>
      </rPr>
      <t>2</t>
    </r>
    <r>
      <rPr>
        <sz val="12"/>
        <color theme="1"/>
        <rFont val="Aptos"/>
        <family val="2"/>
      </rPr>
      <t xml:space="preserve"> Emissions by Sector</t>
    </r>
  </si>
  <si>
    <r>
      <t>2010-2023 MSB CO</t>
    </r>
    <r>
      <rPr>
        <vertAlign val="subscript"/>
        <sz val="12"/>
        <rFont val="Aptos"/>
        <family val="2"/>
      </rPr>
      <t>2</t>
    </r>
    <r>
      <rPr>
        <sz val="12"/>
        <rFont val="Aptos"/>
        <family val="2"/>
      </rPr>
      <t xml:space="preserve"> emissions come from EPA FLIGHT Biogenic CO</t>
    </r>
    <r>
      <rPr>
        <vertAlign val="subscript"/>
        <sz val="12"/>
        <rFont val="Aptos"/>
        <family val="2"/>
      </rPr>
      <t>2</t>
    </r>
    <r>
      <rPr>
        <sz val="12"/>
        <rFont val="Aptos"/>
        <family val="2"/>
      </rPr>
      <t xml:space="preserve"> value</t>
    </r>
  </si>
  <si>
    <r>
      <t>CO</t>
    </r>
    <r>
      <rPr>
        <vertAlign val="subscript"/>
        <sz val="12"/>
        <rFont val="Aptos"/>
        <family val="2"/>
      </rPr>
      <t>2</t>
    </r>
    <r>
      <rPr>
        <sz val="12"/>
        <rFont val="Aptos"/>
        <family val="2"/>
      </rPr>
      <t xml:space="preserve"> values are calculated on this worksheet, or obtained from EPA FLIGHT data where noted.</t>
    </r>
  </si>
  <si>
    <r>
      <t>To the extent that biomass harvested in MA is combusted in MA, associated CO</t>
    </r>
    <r>
      <rPr>
        <vertAlign val="subscript"/>
        <sz val="12"/>
        <color theme="1"/>
        <rFont val="Aptos"/>
        <family val="2"/>
      </rPr>
      <t>2</t>
    </r>
    <r>
      <rPr>
        <sz val="12"/>
        <color theme="1"/>
        <rFont val="Aptos"/>
        <family val="2"/>
      </rPr>
      <t xml:space="preserve"> emissions are double-reported in combustion and NWL emissions.</t>
    </r>
  </si>
  <si>
    <r>
      <t>Natural and Working Lands Summary (MMTCO</t>
    </r>
    <r>
      <rPr>
        <b/>
        <vertAlign val="subscript"/>
        <sz val="12"/>
        <rFont val="Aptos"/>
        <family val="2"/>
      </rPr>
      <t>2</t>
    </r>
    <r>
      <rPr>
        <b/>
        <sz val="12"/>
        <rFont val="Aptos"/>
        <family val="2"/>
      </rPr>
      <t>)</t>
    </r>
  </si>
  <si>
    <r>
      <t>Biogenic Emissions Summary Table (MMTCO</t>
    </r>
    <r>
      <rPr>
        <b/>
        <vertAlign val="subscript"/>
        <sz val="12"/>
        <rFont val="Aptos"/>
        <family val="2"/>
      </rPr>
      <t>2</t>
    </r>
    <r>
      <rPr>
        <b/>
        <sz val="12"/>
        <rFont val="Aptos"/>
        <family val="2"/>
      </rPr>
      <t>)</t>
    </r>
  </si>
  <si>
    <r>
      <t>Biogenic CO</t>
    </r>
    <r>
      <rPr>
        <vertAlign val="subscript"/>
        <sz val="12"/>
        <color theme="1"/>
        <rFont val="Aptos"/>
        <family val="2"/>
      </rPr>
      <t>2</t>
    </r>
    <r>
      <rPr>
        <sz val="12"/>
        <color theme="1"/>
        <rFont val="Aptos"/>
        <family val="2"/>
      </rPr>
      <t xml:space="preserve"> Emissions from Combustion by Fuel and Sector stacked chart</t>
    </r>
  </si>
  <si>
    <r>
      <t>MA Biogenic CO</t>
    </r>
    <r>
      <rPr>
        <vertAlign val="subscript"/>
        <sz val="12"/>
        <color theme="1"/>
        <rFont val="Aptos"/>
        <family val="2"/>
      </rPr>
      <t>2</t>
    </r>
    <r>
      <rPr>
        <sz val="12"/>
        <color theme="1"/>
        <rFont val="Aptos"/>
        <family val="2"/>
      </rPr>
      <t xml:space="preserve"> Emissions from Combustion by Sector line chart</t>
    </r>
  </si>
  <si>
    <r>
      <t>Electricity Imports CO</t>
    </r>
    <r>
      <rPr>
        <b/>
        <vertAlign val="subscript"/>
        <sz val="12"/>
        <color theme="1"/>
        <rFont val="Aptos"/>
        <family val="2"/>
      </rPr>
      <t>2</t>
    </r>
    <r>
      <rPr>
        <b/>
        <sz val="12"/>
        <color theme="1"/>
        <rFont val="Aptos"/>
        <family val="2"/>
      </rPr>
      <t>e Summary Table</t>
    </r>
  </si>
  <si>
    <r>
      <t>Non-Biogenic CO</t>
    </r>
    <r>
      <rPr>
        <b/>
        <vertAlign val="subscript"/>
        <sz val="12"/>
        <rFont val="Aptos"/>
        <family val="2"/>
      </rPr>
      <t>2</t>
    </r>
    <r>
      <rPr>
        <b/>
        <sz val="12"/>
        <rFont val="Aptos"/>
        <family val="2"/>
      </rPr>
      <t>e (lbs)</t>
    </r>
  </si>
  <si>
    <r>
      <t>Non-Biogenic CO</t>
    </r>
    <r>
      <rPr>
        <b/>
        <vertAlign val="subscript"/>
        <sz val="12"/>
        <rFont val="Aptos"/>
        <family val="2"/>
      </rPr>
      <t>2</t>
    </r>
    <r>
      <rPr>
        <b/>
        <sz val="12"/>
        <rFont val="Aptos"/>
        <family val="2"/>
      </rPr>
      <t>e (MMTCO</t>
    </r>
    <r>
      <rPr>
        <b/>
        <vertAlign val="subscript"/>
        <sz val="12"/>
        <rFont val="Aptos"/>
        <family val="2"/>
      </rPr>
      <t>2</t>
    </r>
    <r>
      <rPr>
        <b/>
        <sz val="12"/>
        <rFont val="Aptos"/>
        <family val="2"/>
      </rPr>
      <t>e)</t>
    </r>
  </si>
  <si>
    <r>
      <t>Biogenic CO</t>
    </r>
    <r>
      <rPr>
        <b/>
        <vertAlign val="subscript"/>
        <sz val="12"/>
        <color theme="1"/>
        <rFont val="Aptos"/>
        <family val="2"/>
      </rPr>
      <t>2</t>
    </r>
    <r>
      <rPr>
        <b/>
        <sz val="12"/>
        <color theme="1"/>
        <rFont val="Aptos"/>
        <family val="2"/>
      </rPr>
      <t xml:space="preserve"> (lbs)</t>
    </r>
  </si>
  <si>
    <r>
      <t>Biogenic CO</t>
    </r>
    <r>
      <rPr>
        <b/>
        <vertAlign val="subscript"/>
        <sz val="12"/>
        <color theme="1"/>
        <rFont val="Aptos"/>
        <family val="2"/>
      </rPr>
      <t>2</t>
    </r>
    <r>
      <rPr>
        <b/>
        <sz val="12"/>
        <color theme="1"/>
        <rFont val="Aptos"/>
        <family val="2"/>
      </rPr>
      <t xml:space="preserve"> (MMTCO</t>
    </r>
    <r>
      <rPr>
        <b/>
        <vertAlign val="subscript"/>
        <sz val="12"/>
        <color theme="1"/>
        <rFont val="Aptos"/>
        <family val="2"/>
      </rPr>
      <t>2)</t>
    </r>
  </si>
  <si>
    <r>
      <t>CO</t>
    </r>
    <r>
      <rPr>
        <vertAlign val="subscript"/>
        <sz val="12"/>
        <rFont val="Aptos"/>
        <family val="2"/>
      </rPr>
      <t>2</t>
    </r>
    <r>
      <rPr>
        <sz val="12"/>
        <rFont val="Aptos"/>
        <family val="2"/>
      </rPr>
      <t xml:space="preserve"> Emissions from Electricity (MMTCO</t>
    </r>
    <r>
      <rPr>
        <vertAlign val="subscript"/>
        <sz val="12"/>
        <rFont val="Aptos"/>
        <family val="2"/>
      </rPr>
      <t>2</t>
    </r>
    <r>
      <rPr>
        <sz val="12"/>
        <rFont val="Aptos"/>
        <family val="2"/>
      </rPr>
      <t>e)</t>
    </r>
  </si>
  <si>
    <r>
      <t>GHG Emissions from Electricity (MMTCO</t>
    </r>
    <r>
      <rPr>
        <vertAlign val="subscript"/>
        <sz val="12"/>
        <rFont val="Aptos"/>
        <family val="2"/>
      </rPr>
      <t>2</t>
    </r>
    <r>
      <rPr>
        <sz val="12"/>
        <rFont val="Aptos"/>
        <family val="2"/>
      </rPr>
      <t>e)</t>
    </r>
  </si>
  <si>
    <r>
      <t>MA GHG Emissions from Intra-NE Imports (MMTCO</t>
    </r>
    <r>
      <rPr>
        <vertAlign val="subscript"/>
        <sz val="12"/>
        <rFont val="Aptos"/>
        <family val="2"/>
      </rPr>
      <t>2</t>
    </r>
    <r>
      <rPr>
        <sz val="12"/>
        <rFont val="Aptos"/>
        <family val="2"/>
      </rPr>
      <t>e)</t>
    </r>
  </si>
  <si>
    <r>
      <t>MA Total Emissions from NB and Quebec Imports (MMTCO</t>
    </r>
    <r>
      <rPr>
        <vertAlign val="subscript"/>
        <sz val="12"/>
        <rFont val="Aptos"/>
        <family val="2"/>
      </rPr>
      <t>2</t>
    </r>
    <r>
      <rPr>
        <sz val="12"/>
        <rFont val="Aptos"/>
        <family val="2"/>
      </rPr>
      <t>e)</t>
    </r>
  </si>
  <si>
    <r>
      <t>MA Total Emissions from Extra-NE Imports (MMTCO</t>
    </r>
    <r>
      <rPr>
        <vertAlign val="subscript"/>
        <sz val="12"/>
        <rFont val="Aptos"/>
        <family val="2"/>
      </rPr>
      <t>2</t>
    </r>
    <r>
      <rPr>
        <sz val="12"/>
        <rFont val="Aptos"/>
        <family val="2"/>
      </rPr>
      <t>e)</t>
    </r>
  </si>
  <si>
    <r>
      <t>MA Total Emissions from Electricity Imports (MMTCO</t>
    </r>
    <r>
      <rPr>
        <vertAlign val="subscript"/>
        <sz val="12"/>
        <rFont val="Aptos"/>
        <family val="2"/>
      </rPr>
      <t>2</t>
    </r>
    <r>
      <rPr>
        <sz val="12"/>
        <rFont val="Aptos"/>
        <family val="2"/>
      </rPr>
      <t>e)</t>
    </r>
  </si>
  <si>
    <r>
      <t>MA Total Emissions from Electricity Consumption (MMTCO</t>
    </r>
    <r>
      <rPr>
        <vertAlign val="subscript"/>
        <sz val="12"/>
        <rFont val="Aptos"/>
        <family val="2"/>
      </rPr>
      <t>2</t>
    </r>
    <r>
      <rPr>
        <sz val="12"/>
        <rFont val="Aptos"/>
        <family val="2"/>
      </rPr>
      <t>e)</t>
    </r>
  </si>
  <si>
    <r>
      <t>GHG Emissions from Exports (MMTCO</t>
    </r>
    <r>
      <rPr>
        <vertAlign val="subscript"/>
        <sz val="12"/>
        <rFont val="Aptos"/>
        <family val="2"/>
      </rPr>
      <t>2</t>
    </r>
    <r>
      <rPr>
        <sz val="12"/>
        <rFont val="Aptos"/>
        <family val="2"/>
      </rPr>
      <t>e)</t>
    </r>
  </si>
  <si>
    <r>
      <t>MA Share of GHG Emissions from Exports (MMTCO</t>
    </r>
    <r>
      <rPr>
        <vertAlign val="subscript"/>
        <sz val="12"/>
        <rFont val="Aptos"/>
        <family val="2"/>
      </rPr>
      <t>2</t>
    </r>
    <r>
      <rPr>
        <sz val="12"/>
        <rFont val="Aptos"/>
        <family val="2"/>
      </rPr>
      <t>e)</t>
    </r>
  </si>
  <si>
    <r>
      <t>Electricity CO</t>
    </r>
    <r>
      <rPr>
        <vertAlign val="subscript"/>
        <sz val="12"/>
        <rFont val="Aptos"/>
        <family val="2"/>
      </rPr>
      <t>2</t>
    </r>
    <r>
      <rPr>
        <sz val="12"/>
        <rFont val="Aptos"/>
        <family val="2"/>
      </rPr>
      <t xml:space="preserve"> Emissions (MMTCO</t>
    </r>
    <r>
      <rPr>
        <vertAlign val="subscript"/>
        <sz val="12"/>
        <rFont val="Aptos"/>
        <family val="2"/>
      </rPr>
      <t>2</t>
    </r>
    <r>
      <rPr>
        <sz val="12"/>
        <rFont val="Aptos"/>
        <family val="2"/>
      </rPr>
      <t>e)</t>
    </r>
  </si>
  <si>
    <r>
      <t>CO</t>
    </r>
    <r>
      <rPr>
        <vertAlign val="subscript"/>
        <sz val="12"/>
        <rFont val="Aptos"/>
        <family val="2"/>
      </rPr>
      <t>2</t>
    </r>
    <r>
      <rPr>
        <sz val="12"/>
        <rFont val="Aptos"/>
        <family val="2"/>
      </rPr>
      <t xml:space="preserve"> Emissions from Exports (MMTCO</t>
    </r>
    <r>
      <rPr>
        <vertAlign val="subscript"/>
        <sz val="12"/>
        <rFont val="Aptos"/>
        <family val="2"/>
      </rPr>
      <t>2</t>
    </r>
    <r>
      <rPr>
        <sz val="12"/>
        <rFont val="Aptos"/>
        <family val="2"/>
      </rPr>
      <t>e)</t>
    </r>
  </si>
  <si>
    <r>
      <t>MA Share of CO</t>
    </r>
    <r>
      <rPr>
        <vertAlign val="subscript"/>
        <sz val="12"/>
        <rFont val="Aptos"/>
        <family val="2"/>
      </rPr>
      <t>2</t>
    </r>
    <r>
      <rPr>
        <sz val="12"/>
        <rFont val="Aptos"/>
        <family val="2"/>
      </rPr>
      <t xml:space="preserve"> Emissions from Exports (MMTCO</t>
    </r>
    <r>
      <rPr>
        <vertAlign val="subscript"/>
        <sz val="12"/>
        <rFont val="Aptos"/>
        <family val="2"/>
      </rPr>
      <t>2</t>
    </r>
    <r>
      <rPr>
        <sz val="12"/>
        <rFont val="Aptos"/>
        <family val="2"/>
      </rPr>
      <t>e)</t>
    </r>
  </si>
  <si>
    <r>
      <t>MA Share of Total Emissions from Exports (MMTCO</t>
    </r>
    <r>
      <rPr>
        <vertAlign val="subscript"/>
        <sz val="12"/>
        <rFont val="Aptos"/>
        <family val="2"/>
      </rPr>
      <t>2</t>
    </r>
    <r>
      <rPr>
        <sz val="12"/>
        <rFont val="Aptos"/>
        <family val="2"/>
      </rPr>
      <t>e)</t>
    </r>
  </si>
  <si>
    <r>
      <t>NE GHG Emissions Associated with Load (MMTCO</t>
    </r>
    <r>
      <rPr>
        <vertAlign val="subscript"/>
        <sz val="12"/>
        <rFont val="Aptos"/>
        <family val="2"/>
      </rPr>
      <t>2</t>
    </r>
    <r>
      <rPr>
        <sz val="12"/>
        <rFont val="Aptos"/>
        <family val="2"/>
      </rPr>
      <t>e)</t>
    </r>
  </si>
  <si>
    <r>
      <t>NE Average GHG Emission Factor (MMTCO</t>
    </r>
    <r>
      <rPr>
        <vertAlign val="subscript"/>
        <sz val="12"/>
        <rFont val="Aptos"/>
        <family val="2"/>
      </rPr>
      <t>2</t>
    </r>
    <r>
      <rPr>
        <sz val="12"/>
        <rFont val="Aptos"/>
        <family val="2"/>
      </rPr>
      <t>e/MWh)</t>
    </r>
  </si>
  <si>
    <r>
      <t>MA Electricity Consumption Emissions based on NE Average GHG Emission Factor (MMTCO</t>
    </r>
    <r>
      <rPr>
        <vertAlign val="subscript"/>
        <sz val="12"/>
        <rFont val="Aptos"/>
        <family val="2"/>
      </rPr>
      <t>2</t>
    </r>
    <r>
      <rPr>
        <sz val="12"/>
        <rFont val="Aptos"/>
        <family val="2"/>
      </rPr>
      <t>e)</t>
    </r>
  </si>
  <si>
    <r>
      <t>MA CO</t>
    </r>
    <r>
      <rPr>
        <vertAlign val="subscript"/>
        <sz val="12"/>
        <rFont val="Aptos"/>
        <family val="2"/>
      </rPr>
      <t>2</t>
    </r>
    <r>
      <rPr>
        <sz val="12"/>
        <rFont val="Aptos"/>
        <family val="2"/>
      </rPr>
      <t xml:space="preserve"> Emissions from NY Imports (MMTCO</t>
    </r>
    <r>
      <rPr>
        <vertAlign val="subscript"/>
        <sz val="12"/>
        <rFont val="Aptos"/>
        <family val="2"/>
      </rPr>
      <t>2</t>
    </r>
    <r>
      <rPr>
        <sz val="12"/>
        <rFont val="Aptos"/>
        <family val="2"/>
      </rPr>
      <t>e)</t>
    </r>
  </si>
  <si>
    <r>
      <t>(MMTCO</t>
    </r>
    <r>
      <rPr>
        <vertAlign val="subscript"/>
        <sz val="12"/>
        <rFont val="Aptos"/>
        <family val="2"/>
      </rPr>
      <t>2</t>
    </r>
    <r>
      <rPr>
        <sz val="12"/>
        <rFont val="Aptos"/>
        <family val="2"/>
      </rPr>
      <t>e/MWh)</t>
    </r>
  </si>
  <si>
    <r>
      <t>The 2000-2008 EFs in this table are calculated from MA Total Emissions from Extra-NE Imports (MMTCO</t>
    </r>
    <r>
      <rPr>
        <vertAlign val="subscript"/>
        <sz val="12"/>
        <color theme="1"/>
        <rFont val="Aptos"/>
        <family val="2"/>
      </rPr>
      <t>2</t>
    </r>
    <r>
      <rPr>
        <sz val="12"/>
        <color theme="1"/>
        <rFont val="Aptos"/>
        <family val="2"/>
      </rPr>
      <t>e)/Imports to MA from outside NE (MWh) in the Massachusetts Table.</t>
    </r>
  </si>
  <si>
    <r>
      <t>The average of the 2000-2008 emissions factors is used to calculate MA Total Emissions from Extra-NE Imports (MMTCO</t>
    </r>
    <r>
      <rPr>
        <vertAlign val="subscript"/>
        <sz val="12"/>
        <color theme="1"/>
        <rFont val="Aptos"/>
        <family val="2"/>
      </rPr>
      <t>2</t>
    </r>
    <r>
      <rPr>
        <sz val="12"/>
        <color theme="1"/>
        <rFont val="Aptos"/>
        <family val="2"/>
      </rPr>
      <t>e) for 1990-1999 in the Massachusetts Table</t>
    </r>
  </si>
  <si>
    <r>
      <t>MMTCO</t>
    </r>
    <r>
      <rPr>
        <vertAlign val="subscript"/>
        <sz val="12"/>
        <rFont val="Aptos"/>
        <family val="2"/>
      </rPr>
      <t>2</t>
    </r>
    <r>
      <rPr>
        <sz val="12"/>
        <rFont val="Aptos"/>
        <family val="2"/>
      </rPr>
      <t>e/MWh</t>
    </r>
  </si>
  <si>
    <t>Summary of Massachusetts GHG Emissions by Sector and Subsector - with Complete 2023</t>
  </si>
  <si>
    <t>1991-2022 (and 2023 Aircraft Emissions)</t>
  </si>
  <si>
    <t>The portable vaporizers in Lowell have been included as a single LNG station since they appear to have replaced the Westford LNG Station that retired in 1972. The number of portable vaporizers has varied (from 10 up to 12 in 2019, down to 8 in 2022 and 6 in 2023).</t>
  </si>
  <si>
    <t>Charts - Set 1 of 1 (Columns B through X)*</t>
  </si>
  <si>
    <r>
      <t>Natural and Working Lands Emissions (MMTCO</t>
    </r>
    <r>
      <rPr>
        <b/>
        <vertAlign val="subscript"/>
        <sz val="12"/>
        <color theme="1"/>
        <rFont val="Aptos"/>
        <family val="2"/>
      </rPr>
      <t>2</t>
    </r>
    <r>
      <rPr>
        <b/>
        <sz val="12"/>
        <color theme="1"/>
        <rFont val="Aptos"/>
        <family val="2"/>
      </rPr>
      <t>e)</t>
    </r>
  </si>
  <si>
    <r>
      <t>Transportation Non-Highway CH</t>
    </r>
    <r>
      <rPr>
        <vertAlign val="subscript"/>
        <sz val="12"/>
        <color theme="1"/>
        <rFont val="Aptos"/>
        <family val="2"/>
      </rPr>
      <t>4</t>
    </r>
    <r>
      <rPr>
        <sz val="12"/>
        <color theme="1"/>
        <rFont val="Aptos"/>
        <family val="2"/>
      </rPr>
      <t xml:space="preserve"> Emissions Details by Fuel Type (MTCO</t>
    </r>
    <r>
      <rPr>
        <vertAlign val="subscript"/>
        <sz val="12"/>
        <color theme="1"/>
        <rFont val="Aptos"/>
        <family val="2"/>
      </rPr>
      <t>2</t>
    </r>
    <r>
      <rPr>
        <sz val="12"/>
        <color theme="1"/>
        <rFont val="Aptos"/>
        <family val="2"/>
      </rPr>
      <t>e) (4 Tables)</t>
    </r>
  </si>
  <si>
    <r>
      <t>Transportation Non-Highway N</t>
    </r>
    <r>
      <rPr>
        <vertAlign val="subscript"/>
        <sz val="12"/>
        <color theme="1"/>
        <rFont val="Aptos"/>
        <family val="2"/>
      </rPr>
      <t>2</t>
    </r>
    <r>
      <rPr>
        <sz val="12"/>
        <color theme="1"/>
        <rFont val="Aptos"/>
        <family val="2"/>
      </rPr>
      <t>O Emissions Details by Fuel Type (MTCO</t>
    </r>
    <r>
      <rPr>
        <vertAlign val="subscript"/>
        <sz val="12"/>
        <color theme="1"/>
        <rFont val="Aptos"/>
        <family val="2"/>
      </rPr>
      <t>2</t>
    </r>
    <r>
      <rPr>
        <sz val="12"/>
        <color theme="1"/>
        <rFont val="Aptos"/>
        <family val="2"/>
      </rPr>
      <t>e) (4 Tables)</t>
    </r>
  </si>
  <si>
    <r>
      <t>Transportation Non-Highway CH</t>
    </r>
    <r>
      <rPr>
        <b/>
        <vertAlign val="subscript"/>
        <sz val="12"/>
        <color theme="1"/>
        <rFont val="Aptos"/>
        <family val="2"/>
      </rPr>
      <t>4</t>
    </r>
    <r>
      <rPr>
        <b/>
        <sz val="12"/>
        <color theme="1"/>
        <rFont val="Aptos"/>
        <family val="2"/>
      </rPr>
      <t xml:space="preserve"> Emissions Details by Fuel Type (MTCO</t>
    </r>
    <r>
      <rPr>
        <b/>
        <vertAlign val="subscript"/>
        <sz val="12"/>
        <color theme="1"/>
        <rFont val="Aptos"/>
        <family val="2"/>
      </rPr>
      <t>2</t>
    </r>
    <r>
      <rPr>
        <b/>
        <sz val="12"/>
        <color theme="1"/>
        <rFont val="Aptos"/>
        <family val="2"/>
      </rPr>
      <t>e) (4 Tables)</t>
    </r>
  </si>
  <si>
    <r>
      <t>Aviation CH</t>
    </r>
    <r>
      <rPr>
        <b/>
        <vertAlign val="subscript"/>
        <sz val="12"/>
        <rFont val="Aptos"/>
        <family val="2"/>
      </rPr>
      <t>4</t>
    </r>
    <r>
      <rPr>
        <b/>
        <sz val="12"/>
        <rFont val="Aptos"/>
        <family val="2"/>
      </rPr>
      <t xml:space="preserve"> Emissions by Fuel Type (MTCO</t>
    </r>
    <r>
      <rPr>
        <b/>
        <vertAlign val="subscript"/>
        <sz val="12"/>
        <rFont val="Aptos"/>
        <family val="2"/>
      </rPr>
      <t>2</t>
    </r>
    <r>
      <rPr>
        <b/>
        <sz val="12"/>
        <rFont val="Aptos"/>
        <family val="2"/>
      </rPr>
      <t>e)</t>
    </r>
  </si>
  <si>
    <t xml:space="preserve">1990 </t>
  </si>
  <si>
    <t xml:space="preserve">1991 </t>
  </si>
  <si>
    <t xml:space="preserve">1992 </t>
  </si>
  <si>
    <t xml:space="preserve">1993 </t>
  </si>
  <si>
    <t xml:space="preserve">1994 </t>
  </si>
  <si>
    <t xml:space="preserve">1995 </t>
  </si>
  <si>
    <t xml:space="preserve">1996 </t>
  </si>
  <si>
    <t xml:space="preserve">1997 </t>
  </si>
  <si>
    <t xml:space="preserve">1998 </t>
  </si>
  <si>
    <t xml:space="preserve">1999 </t>
  </si>
  <si>
    <t xml:space="preserve">2000 </t>
  </si>
  <si>
    <t xml:space="preserve">2001 </t>
  </si>
  <si>
    <t xml:space="preserve">2002 </t>
  </si>
  <si>
    <t xml:space="preserve">2003 </t>
  </si>
  <si>
    <t xml:space="preserve">2004 </t>
  </si>
  <si>
    <t xml:space="preserve">2005 </t>
  </si>
  <si>
    <t xml:space="preserve">2006 </t>
  </si>
  <si>
    <t xml:space="preserve">2007 </t>
  </si>
  <si>
    <t xml:space="preserve">2008 </t>
  </si>
  <si>
    <t xml:space="preserve">2009 </t>
  </si>
  <si>
    <t xml:space="preserve">2010 </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</si>
  <si>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</si>
  <si>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</si>
  <si>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</si>
  <si>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</si>
  <si>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</si>
  <si>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</si>
  <si>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</si>
  <si>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</si>
  <si>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</si>
  <si>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</si>
  <si>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</si>
  <si>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</si>
  <si>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</si>
  <si>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Jet Fuel, Naphtha</t>
  </si>
  <si>
    <t>Aviation Subtotal</t>
  </si>
  <si>
    <r>
      <t>Boat CH</t>
    </r>
    <r>
      <rPr>
        <b/>
        <vertAlign val="subscript"/>
        <sz val="12"/>
        <rFont val="Aptos"/>
        <family val="2"/>
      </rPr>
      <t>4</t>
    </r>
    <r>
      <rPr>
        <b/>
        <sz val="12"/>
        <rFont val="Aptos"/>
        <family val="2"/>
      </rPr>
      <t xml:space="preserve"> Emissions by Fuel Type (MTCO</t>
    </r>
    <r>
      <rPr>
        <b/>
        <vertAlign val="subscript"/>
        <sz val="12"/>
        <rFont val="Aptos"/>
        <family val="2"/>
      </rPr>
      <t>2</t>
    </r>
    <r>
      <rPr>
        <b/>
        <sz val="12"/>
        <rFont val="Aptos"/>
        <family val="2"/>
      </rPr>
      <t>e)</t>
    </r>
  </si>
  <si>
    <t>Residual Fuel Oil</t>
  </si>
  <si>
    <t>Distillate Fuel Oil</t>
  </si>
  <si>
    <t>Gasoline</t>
  </si>
  <si>
    <t>Boats Emissions Subtotal</t>
  </si>
  <si>
    <r>
      <t>Locomotive CH</t>
    </r>
    <r>
      <rPr>
        <b/>
        <vertAlign val="subscript"/>
        <sz val="12"/>
        <rFont val="Aptos"/>
        <family val="2"/>
      </rPr>
      <t>4</t>
    </r>
    <r>
      <rPr>
        <b/>
        <sz val="12"/>
        <rFont val="Aptos"/>
        <family val="2"/>
      </rPr>
      <t xml:space="preserve"> Emissions by Fuel Type (MTCO</t>
    </r>
    <r>
      <rPr>
        <b/>
        <vertAlign val="subscript"/>
        <sz val="12"/>
        <rFont val="Aptos"/>
        <family val="2"/>
      </rPr>
      <t>2</t>
    </r>
    <r>
      <rPr>
        <b/>
        <sz val="12"/>
        <rFont val="Aptos"/>
        <family val="2"/>
      </rPr>
      <t>e)</t>
    </r>
  </si>
  <si>
    <t>Locomotive Emissions Subtotal</t>
  </si>
  <si>
    <r>
      <t>Other Non-Highway CH</t>
    </r>
    <r>
      <rPr>
        <b/>
        <vertAlign val="subscript"/>
        <sz val="12"/>
        <rFont val="Aptos"/>
        <family val="2"/>
      </rPr>
      <t>4</t>
    </r>
    <r>
      <rPr>
        <b/>
        <sz val="12"/>
        <rFont val="Aptos"/>
        <family val="2"/>
      </rPr>
      <t xml:space="preserve"> Emissions by Vehicle and Fuel Type (MTCO2e)</t>
    </r>
  </si>
  <si>
    <t>Gasoline Tractor</t>
  </si>
  <si>
    <t>Gasoline Construction</t>
  </si>
  <si>
    <t>Gasoline Heavy Duty Utility</t>
  </si>
  <si>
    <t>Gasoline Small Utility</t>
  </si>
  <si>
    <t>Diesel Tractor</t>
  </si>
  <si>
    <t>Diesel Construction</t>
  </si>
  <si>
    <t>Diesel Heavy Duty Utility</t>
  </si>
  <si>
    <t>Other Non-Highway Emissions Subtotal</t>
  </si>
  <si>
    <r>
      <t>Transportation Non-Highway N</t>
    </r>
    <r>
      <rPr>
        <b/>
        <vertAlign val="subscript"/>
        <sz val="12"/>
        <color theme="1"/>
        <rFont val="Aptos"/>
        <family val="2"/>
      </rPr>
      <t>2</t>
    </r>
    <r>
      <rPr>
        <b/>
        <sz val="12"/>
        <color theme="1"/>
        <rFont val="Aptos"/>
        <family val="2"/>
      </rPr>
      <t>O Emissions Details by Fuel Type  (MTCO</t>
    </r>
    <r>
      <rPr>
        <b/>
        <vertAlign val="subscript"/>
        <sz val="12"/>
        <color theme="1"/>
        <rFont val="Aptos"/>
        <family val="2"/>
      </rPr>
      <t>2</t>
    </r>
    <r>
      <rPr>
        <b/>
        <sz val="12"/>
        <color theme="1"/>
        <rFont val="Aptos"/>
        <family val="2"/>
      </rPr>
      <t>e) (4 Tables)</t>
    </r>
  </si>
  <si>
    <r>
      <t>Aviation N</t>
    </r>
    <r>
      <rPr>
        <b/>
        <vertAlign val="subscript"/>
        <sz val="12"/>
        <rFont val="Aptos"/>
        <family val="2"/>
      </rPr>
      <t>2</t>
    </r>
    <r>
      <rPr>
        <b/>
        <sz val="12"/>
        <rFont val="Aptos"/>
        <family val="2"/>
      </rPr>
      <t>O Emissions by Fuel Type (MTCO</t>
    </r>
    <r>
      <rPr>
        <b/>
        <vertAlign val="subscript"/>
        <sz val="12"/>
        <rFont val="Aptos"/>
        <family val="2"/>
      </rPr>
      <t>2</t>
    </r>
    <r>
      <rPr>
        <b/>
        <sz val="12"/>
        <rFont val="Aptos"/>
        <family val="2"/>
      </rPr>
      <t>e)</t>
    </r>
  </si>
  <si>
    <r>
      <t>Boat N</t>
    </r>
    <r>
      <rPr>
        <b/>
        <vertAlign val="subscript"/>
        <sz val="12"/>
        <rFont val="Aptos"/>
        <family val="2"/>
      </rPr>
      <t>2</t>
    </r>
    <r>
      <rPr>
        <b/>
        <sz val="12"/>
        <rFont val="Aptos"/>
        <family val="2"/>
      </rPr>
      <t>O Emissions by Fuel Type (MTCO</t>
    </r>
    <r>
      <rPr>
        <b/>
        <vertAlign val="subscript"/>
        <sz val="12"/>
        <rFont val="Aptos"/>
        <family val="2"/>
      </rPr>
      <t>2</t>
    </r>
    <r>
      <rPr>
        <b/>
        <sz val="12"/>
        <rFont val="Aptos"/>
        <family val="2"/>
      </rPr>
      <t>e)</t>
    </r>
  </si>
  <si>
    <r>
      <t>Locomotive N</t>
    </r>
    <r>
      <rPr>
        <b/>
        <vertAlign val="subscript"/>
        <sz val="12"/>
        <rFont val="Aptos"/>
        <family val="2"/>
      </rPr>
      <t>2</t>
    </r>
    <r>
      <rPr>
        <b/>
        <sz val="12"/>
        <rFont val="Aptos"/>
        <family val="2"/>
      </rPr>
      <t>O Emissions by Fuel Type (MTCO</t>
    </r>
    <r>
      <rPr>
        <b/>
        <vertAlign val="subscript"/>
        <sz val="12"/>
        <rFont val="Aptos"/>
        <family val="2"/>
      </rPr>
      <t>2</t>
    </r>
    <r>
      <rPr>
        <b/>
        <sz val="12"/>
        <rFont val="Aptos"/>
        <family val="2"/>
      </rPr>
      <t>e)</t>
    </r>
  </si>
  <si>
    <r>
      <t>Other Non-Highway N</t>
    </r>
    <r>
      <rPr>
        <b/>
        <vertAlign val="subscript"/>
        <sz val="12"/>
        <rFont val="Aptos"/>
        <family val="2"/>
      </rPr>
      <t>2</t>
    </r>
    <r>
      <rPr>
        <b/>
        <sz val="12"/>
        <rFont val="Aptos"/>
        <family val="2"/>
      </rPr>
      <t>O Emissions by Vehicle and Fuel Type (MTCO</t>
    </r>
    <r>
      <rPr>
        <b/>
        <vertAlign val="subscript"/>
        <sz val="12"/>
        <rFont val="Aptos"/>
        <family val="2"/>
      </rPr>
      <t>2</t>
    </r>
    <r>
      <rPr>
        <b/>
        <sz val="12"/>
        <rFont val="Aptos"/>
        <family val="2"/>
      </rPr>
      <t>e)</t>
    </r>
  </si>
  <si>
    <r>
      <t>Transportation Non-Highway CO</t>
    </r>
    <r>
      <rPr>
        <vertAlign val="subscript"/>
        <sz val="12"/>
        <color theme="1"/>
        <rFont val="Aptos"/>
        <family val="2"/>
      </rPr>
      <t>2</t>
    </r>
    <r>
      <rPr>
        <sz val="12"/>
        <color theme="1"/>
        <rFont val="Aptos"/>
        <family val="2"/>
      </rPr>
      <t xml:space="preserve"> Emissions Details by Fuel Type (4 Tables)</t>
    </r>
  </si>
  <si>
    <r>
      <t>Transportation Non-Highway CO</t>
    </r>
    <r>
      <rPr>
        <b/>
        <vertAlign val="subscript"/>
        <sz val="12"/>
        <color theme="1"/>
        <rFont val="Aptos"/>
        <family val="2"/>
      </rPr>
      <t>2</t>
    </r>
    <r>
      <rPr>
        <b/>
        <sz val="12"/>
        <color theme="1"/>
        <rFont val="Aptos"/>
        <family val="2"/>
      </rPr>
      <t xml:space="preserve"> Emissions Details by Fuel Type (4 Tables)</t>
    </r>
  </si>
  <si>
    <r>
      <t>Aviation Emissions by Fuel Type (MTCO</t>
    </r>
    <r>
      <rPr>
        <b/>
        <vertAlign val="subscript"/>
        <sz val="12"/>
        <rFont val="Aptos"/>
        <family val="2"/>
      </rPr>
      <t>2</t>
    </r>
    <r>
      <rPr>
        <b/>
        <sz val="12"/>
        <rFont val="Aptos"/>
        <family val="2"/>
      </rPr>
      <t>)</t>
    </r>
  </si>
  <si>
    <r>
      <t>Boat Emissions by Fuel Type (MTCO</t>
    </r>
    <r>
      <rPr>
        <b/>
        <vertAlign val="subscript"/>
        <sz val="12"/>
        <rFont val="Aptos"/>
        <family val="2"/>
      </rPr>
      <t>2</t>
    </r>
    <r>
      <rPr>
        <b/>
        <sz val="12"/>
        <rFont val="Aptos"/>
        <family val="2"/>
      </rPr>
      <t>)</t>
    </r>
  </si>
  <si>
    <r>
      <t>Locomotive Emissions by Fuel Type (MTCO</t>
    </r>
    <r>
      <rPr>
        <b/>
        <vertAlign val="subscript"/>
        <sz val="12"/>
        <rFont val="Aptos"/>
        <family val="2"/>
      </rPr>
      <t>2</t>
    </r>
    <r>
      <rPr>
        <b/>
        <sz val="12"/>
        <rFont val="Aptos"/>
        <family val="2"/>
      </rPr>
      <t>)</t>
    </r>
  </si>
  <si>
    <t>Other Non-Highway Emissions by Vehicle and Fuel Type (MTCO2)</t>
  </si>
  <si>
    <r>
      <t>The Transportation Non-Highway CO</t>
    </r>
    <r>
      <rPr>
        <vertAlign val="subscript"/>
        <sz val="12"/>
        <color theme="1"/>
        <rFont val="Aptos"/>
        <family val="2"/>
      </rPr>
      <t>2</t>
    </r>
    <r>
      <rPr>
        <sz val="12"/>
        <color theme="1"/>
        <rFont val="Aptos"/>
        <family val="2"/>
      </rPr>
      <t xml:space="preserve"> Details tables are from the SIT Mobile module.</t>
    </r>
  </si>
  <si>
    <r>
      <t>1990-2022 (Transportation Non-Highway CO</t>
    </r>
    <r>
      <rPr>
        <vertAlign val="subscript"/>
        <sz val="12"/>
        <rFont val="Aptos"/>
        <family val="2"/>
      </rPr>
      <t>2</t>
    </r>
    <r>
      <rPr>
        <sz val="12"/>
        <rFont val="Aptos"/>
        <family val="2"/>
      </rPr>
      <t xml:space="preserve"> Details)</t>
    </r>
  </si>
  <si>
    <t>SIT Mobile incorrectly calculated locomotive emissions. They have been calculated correctly here for 1991+.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</si>
</sst>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1">
    <numFmt numFmtId="43" formatCode="_(* #,##0.00_);_(* \(#,##0.00\);_(* &quot;-&quot;??_);_(@_)"/>
    <numFmt numFmtId="164" formatCode="0.000"/>
    <numFmt numFmtId="165" formatCode="0.0000"/>
    <numFmt numFmtId="166" formatCode="_(* #,##0_);_(* \(#,##0\);_(* &quot;-&quot;??_);_(@_)"/>
    <numFmt numFmtId="167" formatCode="0.000000000"/>
    <numFmt numFmtId="168" formatCode="0.0"/>
    <numFmt numFmtId="169" formatCode="_(* #,##0.000_);_(* \(#,##0.000\);_(* &quot;-&quot;??_);_(@_)"/>
    <numFmt numFmtId="170" formatCode="[&lt;0.05]&quot;+&quot;_);#,##0.0_)"/>
    <numFmt numFmtId="171" formatCode="0.00000"/>
    <numFmt numFmtId="172" formatCode="0.0%"/>
    <numFmt numFmtId="173" formatCode="#,##0.000"/>
    <numFmt numFmtId="174" formatCode="0.00000000"/>
    <numFmt numFmtId="175" formatCode="#,##0.0"/>
    <numFmt numFmtId="176" formatCode="_(* #,##0.0_);_(* \(#,##0.0\);_(* &quot;-&quot;??_);_(@_)"/>
    <numFmt numFmtId="177" formatCode="#,##0.00000"/>
    <numFmt numFmtId="178" formatCode="#,##0.0000_);\(#,##0.0000\)"/>
    <numFmt numFmtId="179" formatCode="#,##0.0000"/>
    <numFmt numFmtId="180" formatCode="#,##0.000_);\(#,##0.000\)"/>
    <numFmt numFmtId="181" formatCode="_(* #,##0.0_);_(* \(#,##0.0\);_(* &quot;-&quot;?_);_(@_)"/>
    <numFmt numFmtId="182" formatCode="#,##0.0_);\(#,##0.0\)"/>
    <numFmt numFmtId="183" formatCode="0.000000"/>
    <numFmt numFmtId="184" formatCode="#,##0.00000_);\(#,##0.00000\)"/>
    <numFmt numFmtId="185" formatCode="_(* #,##0.0000000_);_(* \(#,##0.0000000\);_(* &quot;-&quot;??_);_(@_)"/>
    <numFmt numFmtId="186" formatCode="#,##0.00000000"/>
    <numFmt numFmtId="187" formatCode="0.0000%"/>
    <numFmt numFmtId="188" formatCode="0.000000%"/>
    <numFmt numFmtId="189" formatCode="#,##0.000000"/>
    <numFmt numFmtId="190" formatCode="0.000000000000000"/>
    <numFmt numFmtId="191" formatCode="0.0000000"/>
    <numFmt numFmtId="192" formatCode="0.00_)"/>
    <numFmt numFmtId="193" formatCode="0_)"/>
  </numFmts>
  <fonts count="118" x14ac:knownFonts="1">
    <font>
      <sz val="11"/>
      <color theme="1"/>
      <name val="Calibri"/>
      <family val="2"/>
      <scheme val="minor"/>
    </font>
    <font>
      <sz val="12"/>
      <color theme="1"/>
      <name val="Aptos"/>
      <family val="2"/>
    </font>
    <font>
      <sz val="12"/>
      <color theme="1"/>
      <name val="Aptos"/>
      <family val="2"/>
    </font>
    <font>
      <sz val="12"/>
      <color theme="1"/>
      <name val="Aptos"/>
      <family val="2"/>
    </font>
    <font>
      <sz val="12"/>
      <color theme="1"/>
      <name val="Aptos"/>
      <family val="2"/>
    </font>
    <font>
      <sz val="12"/>
      <name val="Aptos"/>
      <family val="2"/>
    </font>
    <font>
      <sz val="12"/>
      <color theme="1"/>
      <name val="Aptos"/>
      <family val="2"/>
    </font>
    <font>
      <sz val="12"/>
      <name val="Aptos"/>
      <family val="2"/>
    </font>
    <font>
      <sz val="12"/>
      <color theme="1"/>
      <name val="Aptos"/>
      <family val="2"/>
    </font>
    <font>
      <sz val="12"/>
      <color theme="1"/>
      <name val="Aptos"/>
      <family val="2"/>
    </font>
    <font>
      <sz val="12"/>
      <name val="Aptos"/>
      <family val="2"/>
    </font>
    <font>
      <sz val="12"/>
      <color theme="1"/>
      <name val="Aptos"/>
      <family val="2"/>
    </font>
    <font>
      <sz val="12"/>
      <color theme="1"/>
      <name val="Aptos"/>
      <family val="2"/>
    </font>
    <font>
      <sz val="12"/>
      <color theme="1"/>
      <name val="Aptos"/>
      <family val="2"/>
    </font>
    <font>
      <sz val="12"/>
      <color theme="1"/>
      <name val="Aptos"/>
      <family val="2"/>
    </font>
    <font>
      <sz val="12"/>
      <name val="Aptos"/>
      <family val="2"/>
    </font>
    <font>
      <sz val="12"/>
      <color theme="1"/>
      <name val="Aptos"/>
      <family val="2"/>
    </font>
    <font>
      <sz val="12"/>
      <color theme="1"/>
      <name val="Aptos"/>
      <family val="2"/>
    </font>
    <font>
      <sz val="12"/>
      <color theme="1"/>
      <name val="Aptos"/>
      <family val="2"/>
    </font>
    <font>
      <sz val="12"/>
      <color theme="1"/>
      <name val="Aptos"/>
      <family val="2"/>
    </font>
    <font>
      <sz val="12"/>
      <color theme="1"/>
      <name val="Aptos"/>
      <family val="2"/>
    </font>
    <font>
      <sz val="12"/>
      <color theme="1"/>
      <name val="Aptos"/>
      <family val="2"/>
    </font>
    <font>
      <sz val="12"/>
      <color theme="1"/>
      <name val="Aptos"/>
      <family val="2"/>
    </font>
    <font>
      <sz val="12"/>
      <color theme="1"/>
      <name val="Aptos"/>
      <family val="2"/>
    </font>
    <font>
      <sz val="12"/>
      <color theme="1"/>
      <name val="Aptos"/>
      <family val="2"/>
    </font>
    <font>
      <sz val="12"/>
      <color theme="1"/>
      <name val="Aptos"/>
      <family val="2"/>
    </font>
    <font>
      <sz val="12"/>
      <color theme="1"/>
      <name val="Aptos"/>
      <family val="2"/>
    </font>
    <font>
      <sz val="12"/>
      <color theme="1"/>
      <name val="Aptos"/>
      <family val="2"/>
    </font>
    <font>
      <sz val="12"/>
      <color theme="1"/>
      <name val="Aptos"/>
      <family val="2"/>
    </font>
    <font>
      <sz val="11"/>
      <color indexed="8"/>
      <name val="Calibri"/>
      <family val="2"/>
    </font>
    <font>
      <sz val="10"/>
      <name val="Arial"/>
      <family val="2"/>
    </font>
    <font>
      <sz val="8"/>
      <name val="Arial"/>
      <family val="2"/>
    </font>
    <font>
      <sz val="8"/>
      <name val="Arial"/>
      <family val="2"/>
    </font>
    <font>
      <sz val="11"/>
      <color indexed="8"/>
      <name val="Calibri"/>
      <family val="2"/>
    </font>
    <font>
      <sz val="8"/>
      <name val="Calibri"/>
      <family val="2"/>
    </font>
    <font>
      <u/>
      <sz val="11"/>
      <color indexed="12"/>
      <name val="Calibri"/>
      <family val="2"/>
    </font>
    <font>
      <sz val="11"/>
      <color theme="1"/>
      <name val="Calibri"/>
      <family val="2"/>
      <scheme val="minor"/>
    </font>
    <font>
      <sz val="11"/>
      <name val="Calibri"/>
      <family val="2"/>
      <scheme val="minor"/>
    </font>
    <font>
      <sz val="8"/>
      <name val="Calibri"/>
      <family val="2"/>
      <scheme val="minor"/>
    </font>
    <font>
      <u/>
      <sz val="11"/>
      <color theme="10"/>
      <name val="Calibri"/>
      <family val="2"/>
      <scheme val="minor"/>
    </font>
    <font>
      <sz val="18"/>
      <color theme="3"/>
      <name val="Cambria"/>
      <family val="2"/>
      <scheme val="major"/>
    </font>
    <font>
      <sz val="10"/>
      <name val="MS Sans Serif"/>
      <family val="2"/>
    </font>
    <font>
      <b/>
      <sz val="12"/>
      <color indexed="8"/>
      <name val="Aptos"/>
      <family val="2"/>
    </font>
    <font>
      <sz val="12"/>
      <color theme="1"/>
      <name val="Aptos"/>
      <family val="2"/>
    </font>
    <font>
      <sz val="12"/>
      <color rgb="FFFF0000"/>
      <name val="Aptos"/>
      <family val="2"/>
    </font>
    <font>
      <u/>
      <sz val="12"/>
      <color indexed="12"/>
      <name val="Aptos"/>
      <family val="2"/>
    </font>
    <font>
      <sz val="12"/>
      <color indexed="8"/>
      <name val="Aptos"/>
      <family val="2"/>
    </font>
    <font>
      <i/>
      <sz val="12"/>
      <color indexed="8"/>
      <name val="Aptos"/>
      <family val="2"/>
    </font>
    <font>
      <b/>
      <sz val="12"/>
      <color theme="0"/>
      <name val="Aptos"/>
      <family val="2"/>
    </font>
    <font>
      <b/>
      <sz val="12"/>
      <color theme="1"/>
      <name val="Aptos"/>
      <family val="2"/>
    </font>
    <font>
      <b/>
      <sz val="12"/>
      <name val="Aptos"/>
      <family val="2"/>
    </font>
    <font>
      <b/>
      <sz val="12"/>
      <color indexed="18"/>
      <name val="Aptos"/>
      <family val="2"/>
    </font>
    <font>
      <sz val="12"/>
      <name val="Aptos"/>
      <family val="2"/>
    </font>
    <font>
      <b/>
      <sz val="12"/>
      <color rgb="FFFF0000"/>
      <name val="Aptos"/>
      <family val="2"/>
    </font>
    <font>
      <sz val="12"/>
      <color theme="3" tint="0.39997558519241921"/>
      <name val="Aptos"/>
      <family val="2"/>
    </font>
    <font>
      <i/>
      <sz val="12"/>
      <color rgb="FFFF0000"/>
      <name val="Aptos"/>
      <family val="2"/>
    </font>
    <font>
      <i/>
      <sz val="12"/>
      <name val="Aptos"/>
      <family val="2"/>
    </font>
    <font>
      <b/>
      <vertAlign val="subscript"/>
      <sz val="12"/>
      <color theme="1"/>
      <name val="Aptos"/>
      <family val="2"/>
    </font>
    <font>
      <i/>
      <sz val="12"/>
      <color theme="1"/>
      <name val="Aptos"/>
      <family val="2"/>
    </font>
    <font>
      <b/>
      <sz val="16"/>
      <name val="Aptos"/>
      <family val="2"/>
    </font>
    <font>
      <sz val="12"/>
      <color theme="0"/>
      <name val="Aptos"/>
      <family val="2"/>
    </font>
    <font>
      <b/>
      <sz val="14"/>
      <name val="Aptos"/>
      <family val="2"/>
    </font>
    <font>
      <sz val="12"/>
      <color indexed="9"/>
      <name val="Aptos"/>
      <family val="2"/>
    </font>
    <font>
      <b/>
      <vertAlign val="subscript"/>
      <sz val="12"/>
      <name val="Aptos"/>
      <family val="2"/>
    </font>
    <font>
      <sz val="12"/>
      <color theme="0" tint="-0.34998626667073579"/>
      <name val="Aptos"/>
      <family val="2"/>
    </font>
    <font>
      <vertAlign val="subscript"/>
      <sz val="12"/>
      <name val="Aptos"/>
      <family val="2"/>
    </font>
    <font>
      <b/>
      <vertAlign val="subscript"/>
      <sz val="12"/>
      <color indexed="8"/>
      <name val="Aptos"/>
      <family val="2"/>
    </font>
    <font>
      <vertAlign val="subscript"/>
      <sz val="12"/>
      <color indexed="8"/>
      <name val="Aptos"/>
      <family val="2"/>
    </font>
    <font>
      <b/>
      <vertAlign val="subscript"/>
      <sz val="12"/>
      <color rgb="FF000000"/>
      <name val="Aptos"/>
      <family val="2"/>
    </font>
    <font>
      <sz val="12"/>
      <color rgb="FF000000"/>
      <name val="Aptos"/>
      <family val="2"/>
    </font>
    <font>
      <b/>
      <sz val="12"/>
      <color theme="0" tint="-0.499984740745262"/>
      <name val="Aptos"/>
      <family val="2"/>
    </font>
    <font>
      <b/>
      <sz val="16"/>
      <color theme="1"/>
      <name val="Aptos"/>
      <family val="2"/>
    </font>
    <font>
      <b/>
      <sz val="12"/>
      <color rgb="FF000000"/>
      <name val="Aptos"/>
      <family val="2"/>
    </font>
    <font>
      <b/>
      <sz val="12"/>
      <color theme="0" tint="-4.9989318521683403E-2"/>
      <name val="Aptos"/>
      <family val="2"/>
    </font>
    <font>
      <sz val="12"/>
      <color theme="0" tint="-4.9989318521683403E-2"/>
      <name val="Aptos"/>
      <family val="2"/>
    </font>
    <font>
      <b/>
      <vertAlign val="subscript"/>
      <sz val="16"/>
      <name val="Aptos"/>
      <family val="2"/>
    </font>
    <font>
      <sz val="11"/>
      <color theme="0"/>
      <name val="Calibri"/>
      <family val="2"/>
      <scheme val="minor"/>
    </font>
    <font>
      <b/>
      <sz val="12"/>
      <color rgb="FF5E5E5E"/>
      <name val="Aptos"/>
      <family val="2"/>
    </font>
    <font>
      <b/>
      <sz val="12"/>
      <color rgb="FF4472C4"/>
      <name val="Aptos"/>
      <family val="2"/>
    </font>
    <font>
      <b/>
      <sz val="12"/>
      <color rgb="FFFFFFFF"/>
      <name val="Aptos"/>
      <family val="2"/>
    </font>
    <font>
      <b/>
      <sz val="12"/>
      <color rgb="FFF2F2F2"/>
      <name val="Aptos"/>
      <family val="2"/>
    </font>
    <font>
      <sz val="12"/>
      <color rgb="FFF2F2F2"/>
      <name val="Aptos"/>
      <family val="2"/>
    </font>
    <font>
      <sz val="12"/>
      <color rgb="FF808080"/>
      <name val="Aptos"/>
      <family val="2"/>
    </font>
    <font>
      <i/>
      <vertAlign val="superscript"/>
      <sz val="12"/>
      <color theme="1"/>
      <name val="Aptos"/>
      <family val="2"/>
    </font>
    <font>
      <u/>
      <sz val="12"/>
      <color theme="10"/>
      <name val="Aptos"/>
      <family val="2"/>
    </font>
    <font>
      <i/>
      <vertAlign val="superscript"/>
      <sz val="12"/>
      <name val="Aptos"/>
      <family val="2"/>
    </font>
    <font>
      <b/>
      <i/>
      <sz val="12"/>
      <color rgb="FF000000"/>
      <name val="Aptos"/>
      <family val="2"/>
    </font>
    <font>
      <b/>
      <sz val="16"/>
      <color rgb="FF5E5E5E"/>
      <name val="Aptos"/>
      <family val="2"/>
    </font>
    <font>
      <b/>
      <sz val="16"/>
      <color rgb="FFFF0000"/>
      <name val="Aptos"/>
      <family val="2"/>
    </font>
    <font>
      <sz val="12"/>
      <color rgb="FF002060"/>
      <name val="Aptos"/>
      <family val="2"/>
    </font>
    <font>
      <vertAlign val="subscript"/>
      <sz val="12"/>
      <color theme="1"/>
      <name val="Aptos"/>
      <family val="2"/>
    </font>
    <font>
      <vertAlign val="subscript"/>
      <sz val="12"/>
      <color rgb="FF000000"/>
      <name val="Aptos"/>
      <family val="2"/>
    </font>
    <font>
      <sz val="12"/>
      <color theme="0" tint="-0.499984740745262"/>
      <name val="Aptos"/>
      <family val="2"/>
    </font>
    <font>
      <b/>
      <i/>
      <sz val="12"/>
      <name val="Aptos"/>
      <family val="2"/>
    </font>
    <font>
      <vertAlign val="superscript"/>
      <sz val="12"/>
      <name val="Aptos"/>
      <family val="2"/>
    </font>
    <font>
      <b/>
      <vertAlign val="superscript"/>
      <sz val="12"/>
      <name val="Aptos"/>
      <family val="2"/>
    </font>
    <font>
      <b/>
      <vertAlign val="superscript"/>
      <sz val="12"/>
      <color rgb="FFF2F2F2"/>
      <name val="Aptos"/>
      <family val="2"/>
    </font>
    <font>
      <sz val="9"/>
      <name val="Arial"/>
      <family val="2"/>
    </font>
    <font>
      <b/>
      <u/>
      <sz val="12"/>
      <color theme="1"/>
      <name val="Aptos"/>
      <family val="2"/>
    </font>
    <font>
      <b/>
      <sz val="12"/>
      <color theme="5" tint="-0.249977111117893"/>
      <name val="Aptos"/>
      <family val="2"/>
    </font>
    <font>
      <b/>
      <i/>
      <sz val="12"/>
      <color theme="5" tint="-0.249977111117893"/>
      <name val="Aptos"/>
      <family val="2"/>
    </font>
    <font>
      <sz val="12"/>
      <color rgb="FF383838"/>
      <name val="Aptos"/>
      <family val="2"/>
    </font>
    <font>
      <sz val="12"/>
      <color theme="5" tint="-0.499984740745262"/>
      <name val="Aptos"/>
      <family val="2"/>
    </font>
    <font>
      <i/>
      <sz val="12"/>
      <color theme="5" tint="-0.499984740745262"/>
      <name val="Aptos"/>
      <family val="2"/>
    </font>
    <font>
      <b/>
      <sz val="16"/>
      <color rgb="FF000000"/>
      <name val="Aptos"/>
      <family val="2"/>
    </font>
    <font>
      <sz val="12"/>
      <color rgb="FF595959"/>
      <name val="Aptos"/>
      <family val="2"/>
    </font>
    <font>
      <sz val="14"/>
      <name val="Aptos"/>
      <family val="2"/>
    </font>
    <font>
      <sz val="12"/>
      <color indexed="8"/>
      <name val="Aptos"/>
      <family val="2"/>
    </font>
    <font>
      <sz val="12"/>
      <color theme="1"/>
      <name val="Aptos"/>
      <family val="2"/>
    </font>
    <font>
      <u/>
      <sz val="12"/>
      <color indexed="12"/>
      <name val="Aptos"/>
      <family val="2"/>
    </font>
    <font>
      <sz val="12"/>
      <name val="Aptos"/>
      <family val="2"/>
    </font>
    <font>
      <b/>
      <sz val="12"/>
      <color theme="1"/>
      <name val="Aptos"/>
      <family val="2"/>
    </font>
    <font>
      <u/>
      <sz val="12"/>
      <name val="Aptos"/>
      <family val="2"/>
    </font>
    <font>
      <sz val="11"/>
      <color theme="1"/>
      <name val="Aptos"/>
      <family val="2"/>
    </font>
    <font>
      <b/>
      <vertAlign val="subscript"/>
      <sz val="12"/>
      <color theme="0"/>
      <name val="Aptos"/>
      <family val="2"/>
    </font>
    <font>
      <u/>
      <vertAlign val="subscript"/>
      <sz val="12"/>
      <color rgb="FF0000FF"/>
      <name val="Aptos"/>
      <family val="2"/>
    </font>
    <font>
      <vertAlign val="subscript"/>
      <sz val="12"/>
      <color rgb="FF595959"/>
      <name val="Aptos"/>
      <family val="2"/>
    </font>
    <font>
      <b/>
      <vertAlign val="subscript"/>
      <sz val="14"/>
      <name val="Aptos"/>
      <family val="2"/>
    </font>
  </fonts>
  <fills count="59">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45"/>
        <bgColor indexed="64"/>
      </patternFill>
    </fill>
    <fill>
      <patternFill patternType="solid">
        <fgColor indexed="46"/>
        <bgColor indexed="64"/>
      </patternFill>
    </fill>
    <fill>
      <patternFill patternType="solid">
        <fgColor indexed="42"/>
        <bgColor indexed="64"/>
      </patternFill>
    </fill>
    <fill>
      <patternFill patternType="solid">
        <fgColor indexed="53"/>
        <bgColor indexed="64"/>
      </patternFill>
    </fill>
    <fill>
      <patternFill patternType="solid">
        <fgColor indexed="51"/>
        <bgColor indexed="64"/>
      </patternFill>
    </fill>
    <fill>
      <patternFill patternType="solid">
        <fgColor indexed="9"/>
        <bgColor indexed="64"/>
      </patternFill>
    </fill>
    <fill>
      <patternFill patternType="solid">
        <fgColor indexed="11"/>
        <bgColor indexed="64"/>
      </patternFill>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FCCFF"/>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3"/>
        <bgColor indexed="64"/>
      </patternFill>
    </fill>
    <fill>
      <patternFill patternType="solid">
        <fgColor rgb="FFFFFFFF"/>
        <bgColor rgb="FF000000"/>
      </patternFill>
    </fill>
    <fill>
      <patternFill patternType="solid">
        <fgColor theme="8" tint="0.79998168889431442"/>
        <bgColor indexed="64"/>
      </patternFill>
    </fill>
    <fill>
      <patternFill patternType="solid">
        <fgColor theme="4" tint="0.79998168889431442"/>
        <bgColor rgb="FF000000"/>
      </patternFill>
    </fill>
    <fill>
      <patternFill patternType="solid">
        <fgColor rgb="FFFFC000"/>
        <bgColor indexed="64"/>
      </patternFill>
    </fill>
    <fill>
      <patternFill patternType="solid">
        <fgColor theme="6" tint="-0.499984740745262"/>
        <bgColor indexed="64"/>
      </patternFill>
    </fill>
    <fill>
      <patternFill patternType="solid">
        <fgColor theme="6" tint="0.79998168889431442"/>
        <bgColor rgb="FF000000"/>
      </patternFill>
    </fill>
    <fill>
      <patternFill patternType="solid">
        <fgColor theme="5" tint="-0.499984740745262"/>
        <bgColor indexed="64"/>
      </patternFill>
    </fill>
    <fill>
      <patternFill patternType="solid">
        <fgColor theme="5" tint="-0.499984740745262"/>
        <bgColor rgb="FF000000"/>
      </patternFill>
    </fill>
    <fill>
      <patternFill patternType="solid">
        <fgColor theme="6" tint="0.39997558519241921"/>
        <bgColor rgb="FF000000"/>
      </patternFill>
    </fill>
    <fill>
      <patternFill patternType="solid">
        <fgColor theme="4" tint="-0.249977111117893"/>
        <bgColor rgb="FF000000"/>
      </patternFill>
    </fill>
    <fill>
      <patternFill patternType="solid">
        <fgColor theme="9"/>
        <bgColor rgb="FF000000"/>
      </patternFill>
    </fill>
    <fill>
      <patternFill patternType="solid">
        <fgColor theme="3"/>
        <bgColor rgb="FF000000"/>
      </patternFill>
    </fill>
    <fill>
      <patternFill patternType="solid">
        <fgColor rgb="FF535B13"/>
        <bgColor rgb="FF000000"/>
      </patternFill>
    </fill>
    <fill>
      <patternFill patternType="solid">
        <fgColor rgb="FFFFEACA"/>
        <bgColor rgb="FF000000"/>
      </patternFill>
    </fill>
    <fill>
      <patternFill patternType="solid">
        <fgColor rgb="FFD8E9F1"/>
        <bgColor rgb="FF000000"/>
      </patternFill>
    </fill>
    <fill>
      <patternFill patternType="solid">
        <fgColor rgb="FF5E5E5E"/>
        <bgColor rgb="FF000000"/>
      </patternFill>
    </fill>
    <fill>
      <patternFill patternType="solid">
        <fgColor theme="1"/>
        <bgColor theme="1"/>
      </patternFill>
    </fill>
    <fill>
      <patternFill patternType="solid">
        <fgColor theme="0" tint="-0.14999847407452621"/>
        <bgColor theme="0" tint="-0.14999847407452621"/>
      </patternFill>
    </fill>
    <fill>
      <patternFill patternType="solid">
        <fgColor theme="5" tint="0.79998168889431442"/>
        <bgColor rgb="FF000000"/>
      </patternFill>
    </fill>
    <fill>
      <patternFill patternType="solid">
        <fgColor theme="0"/>
        <bgColor rgb="FF000000"/>
      </patternFill>
    </fill>
    <fill>
      <patternFill patternType="solid">
        <fgColor theme="5" tint="-0.249977111117893"/>
        <bgColor rgb="FF000000"/>
      </patternFill>
    </fill>
    <fill>
      <patternFill patternType="solid">
        <fgColor theme="9" tint="-0.499984740745262"/>
        <bgColor rgb="FF000000"/>
      </patternFill>
    </fill>
    <fill>
      <patternFill patternType="solid">
        <fgColor theme="3" tint="-0.249977111117893"/>
        <bgColor rgb="FF000000"/>
      </patternFill>
    </fill>
    <fill>
      <patternFill patternType="solid">
        <fgColor theme="3" tint="0.79998168889431442"/>
        <bgColor indexed="64"/>
      </patternFill>
    </fill>
    <fill>
      <patternFill patternType="solid">
        <fgColor theme="0"/>
        <bgColor theme="0" tint="-0.14999847407452621"/>
      </patternFill>
    </fill>
    <fill>
      <patternFill patternType="solid">
        <fgColor theme="8" tint="0.79998168889431442"/>
        <bgColor rgb="FF000000"/>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FFFEFE"/>
        <bgColor indexed="64"/>
      </patternFill>
    </fill>
    <fill>
      <patternFill patternType="solid">
        <fgColor theme="4" tint="-0.499984740745262"/>
        <bgColor indexed="64"/>
      </patternFill>
    </fill>
    <fill>
      <patternFill patternType="solid">
        <fgColor rgb="FFFFCC00"/>
        <bgColor indexed="64"/>
      </patternFill>
    </fill>
  </fills>
  <borders count="78">
    <border>
      <left/>
      <right/>
      <top/>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style="thin">
        <color theme="1"/>
      </top>
      <bottom style="thin">
        <color theme="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medium">
        <color indexed="64"/>
      </left>
      <right style="thin">
        <color indexed="64"/>
      </right>
      <top/>
      <bottom/>
      <diagonal/>
    </border>
    <border>
      <left/>
      <right/>
      <top style="thin">
        <color theme="1"/>
      </top>
      <bottom style="medium">
        <color indexed="64"/>
      </bottom>
      <diagonal/>
    </border>
    <border>
      <left style="thin">
        <color theme="1"/>
      </left>
      <right style="medium">
        <color indexed="64"/>
      </right>
      <top style="thin">
        <color indexed="64"/>
      </top>
      <bottom style="medium">
        <color indexed="64"/>
      </bottom>
      <diagonal/>
    </border>
    <border>
      <left style="thin">
        <color theme="1"/>
      </left>
      <right style="medium">
        <color indexed="64"/>
      </right>
      <top style="thin">
        <color indexed="64"/>
      </top>
      <bottom/>
      <diagonal/>
    </border>
    <border>
      <left style="thin">
        <color indexed="64"/>
      </left>
      <right style="thin">
        <color indexed="64"/>
      </right>
      <top style="thin">
        <color indexed="64"/>
      </top>
      <bottom style="thin">
        <color theme="1"/>
      </bottom>
      <diagonal/>
    </border>
    <border>
      <left style="thin">
        <color indexed="64"/>
      </left>
      <right/>
      <top style="thin">
        <color theme="1"/>
      </top>
      <bottom style="thin">
        <color indexed="64"/>
      </bottom>
      <diagonal/>
    </border>
    <border>
      <left style="thin">
        <color indexed="64"/>
      </left>
      <right style="thin">
        <color indexed="64"/>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style="thin">
        <color theme="1"/>
      </bottom>
      <diagonal/>
    </border>
    <border>
      <left/>
      <right style="thin">
        <color indexed="64"/>
      </right>
      <top style="thin">
        <color theme="1"/>
      </top>
      <bottom/>
      <diagonal/>
    </border>
    <border>
      <left/>
      <right style="thin">
        <color indexed="64"/>
      </right>
      <top style="thin">
        <color indexed="64"/>
      </top>
      <bottom style="thin">
        <color theme="1"/>
      </bottom>
      <diagonal/>
    </border>
    <border>
      <left/>
      <right style="thin">
        <color theme="1"/>
      </right>
      <top style="thin">
        <color theme="1"/>
      </top>
      <bottom style="thin">
        <color theme="1"/>
      </bottom>
      <diagonal/>
    </border>
    <border>
      <left style="thin">
        <color indexed="64"/>
      </left>
      <right/>
      <top style="thin">
        <color theme="1"/>
      </top>
      <bottom style="medium">
        <color indexed="64"/>
      </bottom>
      <diagonal/>
    </border>
    <border>
      <left style="medium">
        <color indexed="64"/>
      </left>
      <right/>
      <top style="thin">
        <color theme="1"/>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theme="1"/>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theme="1"/>
      </top>
      <bottom style="thin">
        <color theme="1"/>
      </bottom>
      <diagonal/>
    </border>
    <border>
      <left style="thin">
        <color indexed="64"/>
      </left>
      <right/>
      <top/>
      <bottom style="thin">
        <color theme="1"/>
      </bottom>
      <diagonal/>
    </border>
  </borders>
  <cellStyleXfs count="15">
    <xf numFmtId="0" fontId="0" fillId="0" borderId="0"/>
    <xf numFmtId="43" fontId="33" fillId="0" borderId="0" applyFont="0" applyFill="0" applyBorder="0" applyAlignment="0" applyProtection="0"/>
    <xf numFmtId="43" fontId="29" fillId="0" borderId="0" applyFont="0" applyFill="0" applyBorder="0" applyAlignment="0" applyProtection="0"/>
    <xf numFmtId="0" fontId="35" fillId="0" borderId="0" applyNumberFormat="0" applyFill="0" applyBorder="0" applyAlignment="0" applyProtection="0">
      <alignment vertical="top"/>
      <protection locked="0"/>
    </xf>
    <xf numFmtId="0" fontId="30" fillId="0" borderId="0" applyBorder="0"/>
    <xf numFmtId="0" fontId="32" fillId="0" borderId="0"/>
    <xf numFmtId="0" fontId="31" fillId="0" borderId="0"/>
    <xf numFmtId="9" fontId="33" fillId="0" borderId="0" applyFont="0" applyFill="0" applyBorder="0" applyAlignment="0" applyProtection="0"/>
    <xf numFmtId="9" fontId="29" fillId="0" borderId="0" applyFont="0" applyFill="0" applyBorder="0" applyAlignment="0" applyProtection="0"/>
    <xf numFmtId="43" fontId="36" fillId="0" borderId="0" applyFont="0" applyFill="0" applyBorder="0" applyAlignment="0" applyProtection="0"/>
    <xf numFmtId="0" fontId="39" fillId="0" borderId="0" applyNumberFormat="0" applyFill="0" applyBorder="0" applyAlignment="0" applyProtection="0"/>
    <xf numFmtId="0" fontId="30" fillId="0" borderId="0"/>
    <xf numFmtId="0" fontId="40" fillId="0" borderId="0" applyNumberFormat="0" applyFill="0" applyBorder="0" applyAlignment="0" applyProtection="0"/>
    <xf numFmtId="0" fontId="41" fillId="0" borderId="0"/>
    <xf numFmtId="192" fontId="31" fillId="0" borderId="0"/>
  </cellStyleXfs>
  <cellXfs count="1527">
    <xf numFmtId="0" fontId="0" fillId="0" borderId="0" xfId="0"/>
    <xf numFmtId="0" fontId="37" fillId="0" borderId="0" xfId="0" applyFont="1"/>
    <xf numFmtId="0" fontId="35" fillId="0" borderId="0" xfId="3" applyAlignment="1" applyProtection="1"/>
    <xf numFmtId="0" fontId="43" fillId="0" borderId="0" xfId="0" applyFont="1"/>
    <xf numFmtId="14" fontId="44" fillId="0" borderId="0" xfId="0" applyNumberFormat="1" applyFont="1"/>
    <xf numFmtId="0" fontId="45" fillId="0" borderId="0" xfId="3" applyFont="1" applyAlignment="1" applyProtection="1"/>
    <xf numFmtId="0" fontId="43" fillId="0" borderId="0" xfId="0" applyFont="1" applyAlignment="1">
      <alignment wrapText="1"/>
    </xf>
    <xf numFmtId="10" fontId="43" fillId="0" borderId="0" xfId="0" applyNumberFormat="1" applyFont="1"/>
    <xf numFmtId="1" fontId="43" fillId="0" borderId="0" xfId="0" applyNumberFormat="1" applyFont="1"/>
    <xf numFmtId="3" fontId="43" fillId="0" borderId="0" xfId="0" applyNumberFormat="1" applyFont="1"/>
    <xf numFmtId="10" fontId="46" fillId="0" borderId="0" xfId="7" applyNumberFormat="1" applyFont="1"/>
    <xf numFmtId="0" fontId="42" fillId="0" borderId="0" xfId="0" applyFont="1"/>
    <xf numFmtId="0" fontId="44" fillId="0" borderId="0" xfId="0" applyFont="1"/>
    <xf numFmtId="10" fontId="46" fillId="0" borderId="0" xfId="7" applyNumberFormat="1" applyFont="1" applyBorder="1"/>
    <xf numFmtId="0" fontId="43" fillId="0" borderId="0" xfId="0" applyFont="1" applyAlignment="1">
      <alignment horizontal="right"/>
    </xf>
    <xf numFmtId="1" fontId="47" fillId="0" borderId="0" xfId="0" applyNumberFormat="1" applyFont="1"/>
    <xf numFmtId="0" fontId="43" fillId="45" borderId="52" xfId="0" applyFont="1" applyFill="1" applyBorder="1" applyAlignment="1">
      <alignment horizontal="right"/>
    </xf>
    <xf numFmtId="0" fontId="43" fillId="0" borderId="52" xfId="0" applyFont="1" applyBorder="1" applyAlignment="1">
      <alignment horizontal="right"/>
    </xf>
    <xf numFmtId="3" fontId="43" fillId="0" borderId="48" xfId="0" applyNumberFormat="1" applyFont="1" applyBorder="1"/>
    <xf numFmtId="3" fontId="43" fillId="0" borderId="46" xfId="0" applyNumberFormat="1" applyFont="1" applyBorder="1"/>
    <xf numFmtId="3" fontId="43" fillId="0" borderId="47" xfId="0" applyNumberFormat="1" applyFont="1" applyBorder="1"/>
    <xf numFmtId="1" fontId="43" fillId="0" borderId="48" xfId="0" applyNumberFormat="1" applyFont="1" applyBorder="1"/>
    <xf numFmtId="1" fontId="43" fillId="0" borderId="46" xfId="0" applyNumberFormat="1" applyFont="1" applyBorder="1"/>
    <xf numFmtId="1" fontId="43" fillId="0" borderId="47" xfId="0" applyNumberFormat="1" applyFont="1" applyBorder="1"/>
    <xf numFmtId="0" fontId="43" fillId="0" borderId="0" xfId="0" applyFont="1" applyAlignment="1">
      <alignment horizontal="center"/>
    </xf>
    <xf numFmtId="0" fontId="51" fillId="0" borderId="0" xfId="6" applyFont="1" applyAlignment="1">
      <alignment vertical="center"/>
    </xf>
    <xf numFmtId="0" fontId="52" fillId="0" borderId="0" xfId="6" applyFont="1"/>
    <xf numFmtId="0" fontId="53" fillId="0" borderId="0" xfId="6" applyFont="1" applyAlignment="1">
      <alignment vertical="center"/>
    </xf>
    <xf numFmtId="0" fontId="52" fillId="0" borderId="0" xfId="0" applyFont="1"/>
    <xf numFmtId="0" fontId="53" fillId="0" borderId="0" xfId="0" applyFont="1"/>
    <xf numFmtId="0" fontId="54" fillId="0" borderId="1" xfId="0" applyFont="1" applyBorder="1"/>
    <xf numFmtId="0" fontId="55" fillId="0" borderId="0" xfId="0" applyFont="1"/>
    <xf numFmtId="43" fontId="52" fillId="0" borderId="0" xfId="1" applyFont="1" applyFill="1" applyBorder="1"/>
    <xf numFmtId="2" fontId="52" fillId="0" borderId="0" xfId="0" applyNumberFormat="1" applyFont="1"/>
    <xf numFmtId="0" fontId="50" fillId="16" borderId="47" xfId="5" applyFont="1" applyFill="1" applyBorder="1"/>
    <xf numFmtId="2" fontId="52" fillId="0" borderId="0" xfId="0" applyNumberFormat="1" applyFont="1" applyAlignment="1">
      <alignment horizontal="right"/>
    </xf>
    <xf numFmtId="166" fontId="52" fillId="0" borderId="0" xfId="1" applyNumberFormat="1" applyFont="1" applyFill="1" applyBorder="1"/>
    <xf numFmtId="43" fontId="52" fillId="0" borderId="0" xfId="1" applyFont="1" applyFill="1" applyBorder="1" applyAlignment="1">
      <alignment horizontal="right"/>
    </xf>
    <xf numFmtId="166" fontId="43" fillId="0" borderId="0" xfId="1" applyNumberFormat="1" applyFont="1"/>
    <xf numFmtId="43" fontId="56" fillId="0" borderId="0" xfId="1" applyFont="1" applyFill="1" applyBorder="1"/>
    <xf numFmtId="0" fontId="49" fillId="0" borderId="0" xfId="0" applyFont="1" applyAlignment="1">
      <alignment horizontal="right"/>
    </xf>
    <xf numFmtId="43" fontId="43" fillId="0" borderId="0" xfId="0" applyNumberFormat="1" applyFont="1"/>
    <xf numFmtId="0" fontId="49" fillId="0" borderId="0" xfId="0" applyFont="1"/>
    <xf numFmtId="43" fontId="44" fillId="0" borderId="0" xfId="1" applyFont="1" applyFill="1" applyBorder="1"/>
    <xf numFmtId="176" fontId="43" fillId="0" borderId="0" xfId="0" applyNumberFormat="1" applyFont="1"/>
    <xf numFmtId="0" fontId="49" fillId="11" borderId="0" xfId="0" applyFont="1" applyFill="1" applyAlignment="1">
      <alignment horizontal="center" vertical="center"/>
    </xf>
    <xf numFmtId="0" fontId="49" fillId="11" borderId="0" xfId="0" applyFont="1" applyFill="1" applyAlignment="1">
      <alignment horizontal="center" vertical="center" wrapText="1"/>
    </xf>
    <xf numFmtId="0" fontId="58" fillId="11" borderId="0" xfId="0" applyFont="1" applyFill="1" applyAlignment="1">
      <alignment horizontal="center" vertical="center" wrapText="1"/>
    </xf>
    <xf numFmtId="0" fontId="58" fillId="11" borderId="0" xfId="0" applyFont="1" applyFill="1" applyAlignment="1">
      <alignment horizontal="center" vertical="center"/>
    </xf>
    <xf numFmtId="0" fontId="49" fillId="11" borderId="0" xfId="0" applyFont="1" applyFill="1" applyAlignment="1">
      <alignment horizontal="center"/>
    </xf>
    <xf numFmtId="3" fontId="43" fillId="11" borderId="0" xfId="0" applyNumberFormat="1" applyFont="1" applyFill="1" applyAlignment="1">
      <alignment horizontal="center"/>
    </xf>
    <xf numFmtId="9" fontId="43" fillId="11" borderId="0" xfId="0" applyNumberFormat="1" applyFont="1" applyFill="1" applyAlignment="1">
      <alignment horizontal="center"/>
    </xf>
    <xf numFmtId="0" fontId="59" fillId="0" borderId="0" xfId="0" applyFont="1" applyProtection="1">
      <protection locked="0"/>
    </xf>
    <xf numFmtId="0" fontId="43" fillId="0" borderId="0" xfId="0" applyFont="1" applyAlignment="1">
      <alignment vertical="top"/>
    </xf>
    <xf numFmtId="0" fontId="52" fillId="0" borderId="0" xfId="0" applyFont="1" applyAlignment="1">
      <alignment vertical="center"/>
    </xf>
    <xf numFmtId="0" fontId="54" fillId="0" borderId="0" xfId="0" applyFont="1"/>
    <xf numFmtId="0" fontId="43" fillId="0" borderId="0" xfId="0" applyFont="1" applyAlignment="1">
      <alignment horizontal="left"/>
    </xf>
    <xf numFmtId="0" fontId="45" fillId="0" borderId="0" xfId="3" applyFont="1" applyBorder="1" applyAlignment="1" applyProtection="1"/>
    <xf numFmtId="0" fontId="49" fillId="0" borderId="0" xfId="0" applyFont="1" applyAlignment="1">
      <alignment horizontal="left"/>
    </xf>
    <xf numFmtId="0" fontId="49" fillId="0" borderId="0" xfId="0" applyFont="1" applyAlignment="1">
      <alignment horizontal="center"/>
    </xf>
    <xf numFmtId="0" fontId="60" fillId="0" borderId="0" xfId="0" applyFont="1"/>
    <xf numFmtId="0" fontId="43" fillId="11" borderId="0" xfId="0" applyFont="1" applyFill="1"/>
    <xf numFmtId="2" fontId="50" fillId="0" borderId="0" xfId="0" applyNumberFormat="1" applyFont="1" applyAlignment="1">
      <alignment horizontal="left"/>
    </xf>
    <xf numFmtId="43" fontId="52" fillId="0" borderId="0" xfId="2" applyFont="1" applyFill="1" applyBorder="1" applyAlignment="1">
      <alignment horizontal="right"/>
    </xf>
    <xf numFmtId="43" fontId="52" fillId="0" borderId="6" xfId="1" applyFont="1" applyFill="1" applyBorder="1" applyAlignment="1">
      <alignment horizontal="right"/>
    </xf>
    <xf numFmtId="43" fontId="52" fillId="0" borderId="1" xfId="2" applyFont="1" applyFill="1" applyBorder="1" applyAlignment="1">
      <alignment horizontal="right"/>
    </xf>
    <xf numFmtId="43" fontId="52" fillId="0" borderId="1" xfId="1" applyFont="1" applyFill="1" applyBorder="1" applyAlignment="1">
      <alignment horizontal="right"/>
    </xf>
    <xf numFmtId="43" fontId="52" fillId="16" borderId="15" xfId="0" applyNumberFormat="1" applyFont="1" applyFill="1" applyBorder="1" applyAlignment="1">
      <alignment horizontal="right"/>
    </xf>
    <xf numFmtId="0" fontId="55" fillId="0" borderId="0" xfId="0" applyFont="1" applyAlignment="1">
      <alignment horizontal="right"/>
    </xf>
    <xf numFmtId="166" fontId="52" fillId="0" borderId="0" xfId="1" applyNumberFormat="1" applyFont="1" applyFill="1" applyBorder="1" applyAlignment="1">
      <alignment horizontal="right"/>
    </xf>
    <xf numFmtId="166" fontId="52" fillId="0" borderId="3" xfId="1" applyNumberFormat="1" applyFont="1" applyFill="1" applyBorder="1" applyAlignment="1">
      <alignment horizontal="right"/>
    </xf>
    <xf numFmtId="0" fontId="48" fillId="0" borderId="0" xfId="0" applyFont="1" applyAlignment="1">
      <alignment horizontal="center"/>
    </xf>
    <xf numFmtId="0" fontId="60" fillId="0" borderId="0" xfId="0" applyFont="1" applyAlignment="1">
      <alignment horizontal="center"/>
    </xf>
    <xf numFmtId="166" fontId="52" fillId="0" borderId="0" xfId="2" applyNumberFormat="1" applyFont="1" applyFill="1" applyBorder="1" applyAlignment="1">
      <alignment horizontal="right"/>
    </xf>
    <xf numFmtId="0" fontId="43" fillId="17" borderId="0" xfId="0" applyFont="1" applyFill="1" applyAlignment="1">
      <alignment horizontal="right"/>
    </xf>
    <xf numFmtId="166" fontId="52" fillId="17" borderId="0" xfId="1" applyNumberFormat="1" applyFont="1" applyFill="1" applyBorder="1" applyAlignment="1">
      <alignment horizontal="right"/>
    </xf>
    <xf numFmtId="0" fontId="43" fillId="11" borderId="0" xfId="0" applyFont="1" applyFill="1" applyAlignment="1">
      <alignment horizontal="right"/>
    </xf>
    <xf numFmtId="166" fontId="52" fillId="11" borderId="0" xfId="1" applyNumberFormat="1" applyFont="1" applyFill="1" applyBorder="1" applyAlignment="1">
      <alignment horizontal="right"/>
    </xf>
    <xf numFmtId="43" fontId="50" fillId="0" borderId="35" xfId="1" applyFont="1" applyFill="1" applyBorder="1" applyAlignment="1">
      <alignment horizontal="right"/>
    </xf>
    <xf numFmtId="2" fontId="50" fillId="0" borderId="35" xfId="0" applyNumberFormat="1" applyFont="1" applyBorder="1" applyAlignment="1">
      <alignment horizontal="right"/>
    </xf>
    <xf numFmtId="2" fontId="52" fillId="0" borderId="35" xfId="0" applyNumberFormat="1" applyFont="1" applyBorder="1" applyAlignment="1">
      <alignment horizontal="right"/>
    </xf>
    <xf numFmtId="43" fontId="52" fillId="0" borderId="35" xfId="1" applyFont="1" applyFill="1" applyBorder="1" applyAlignment="1">
      <alignment horizontal="right"/>
    </xf>
    <xf numFmtId="2" fontId="52" fillId="11" borderId="35" xfId="0" applyNumberFormat="1" applyFont="1" applyFill="1" applyBorder="1" applyAlignment="1">
      <alignment horizontal="right"/>
    </xf>
    <xf numFmtId="43" fontId="52" fillId="11" borderId="35" xfId="1" applyFont="1" applyFill="1" applyBorder="1" applyAlignment="1">
      <alignment horizontal="right"/>
    </xf>
    <xf numFmtId="0" fontId="49" fillId="0" borderId="35" xfId="0" applyFont="1" applyBorder="1" applyAlignment="1">
      <alignment horizontal="right"/>
    </xf>
    <xf numFmtId="0" fontId="45" fillId="0" borderId="0" xfId="3" applyFont="1" applyAlignment="1" applyProtection="1">
      <alignment horizontal="left"/>
    </xf>
    <xf numFmtId="0" fontId="52" fillId="0" borderId="0" xfId="0" applyFont="1" applyAlignment="1">
      <alignment horizontal="center"/>
    </xf>
    <xf numFmtId="14" fontId="52" fillId="0" borderId="0" xfId="0" applyNumberFormat="1" applyFont="1"/>
    <xf numFmtId="0" fontId="50" fillId="0" borderId="0" xfId="0" applyFont="1" applyAlignment="1">
      <alignment horizontal="left"/>
    </xf>
    <xf numFmtId="175" fontId="52" fillId="0" borderId="0" xfId="0" applyNumberFormat="1" applyFont="1" applyAlignment="1">
      <alignment horizontal="right" vertical="center"/>
    </xf>
    <xf numFmtId="0" fontId="50" fillId="0" borderId="0" xfId="0" applyFont="1" applyProtection="1">
      <protection locked="0"/>
    </xf>
    <xf numFmtId="0" fontId="50" fillId="0" borderId="0" xfId="0" applyFont="1" applyAlignment="1">
      <alignment horizontal="right"/>
    </xf>
    <xf numFmtId="0" fontId="52" fillId="0" borderId="0" xfId="0" applyFont="1" applyAlignment="1">
      <alignment horizontal="right"/>
    </xf>
    <xf numFmtId="0" fontId="50" fillId="0" borderId="1" xfId="0" applyFont="1" applyBorder="1"/>
    <xf numFmtId="0" fontId="52" fillId="0" borderId="1" xfId="0" applyFont="1" applyBorder="1"/>
    <xf numFmtId="0" fontId="43" fillId="0" borderId="1" xfId="0" applyFont="1" applyBorder="1"/>
    <xf numFmtId="0" fontId="48" fillId="0" borderId="1" xfId="0" applyFont="1" applyBorder="1"/>
    <xf numFmtId="169" fontId="52" fillId="0" borderId="5" xfId="1" applyNumberFormat="1" applyFont="1" applyFill="1" applyBorder="1"/>
    <xf numFmtId="169" fontId="52" fillId="0" borderId="0" xfId="1" applyNumberFormat="1" applyFont="1" applyFill="1" applyBorder="1"/>
    <xf numFmtId="169" fontId="50" fillId="11" borderId="0" xfId="1" applyNumberFormat="1" applyFont="1" applyFill="1" applyBorder="1"/>
    <xf numFmtId="169" fontId="50" fillId="0" borderId="0" xfId="1" applyNumberFormat="1" applyFont="1" applyFill="1" applyBorder="1"/>
    <xf numFmtId="0" fontId="50" fillId="24" borderId="0" xfId="0" applyFont="1" applyFill="1"/>
    <xf numFmtId="169" fontId="50" fillId="24" borderId="8" xfId="1" applyNumberFormat="1" applyFont="1" applyFill="1" applyBorder="1"/>
    <xf numFmtId="169" fontId="50" fillId="24" borderId="3" xfId="1" applyNumberFormat="1" applyFont="1" applyFill="1" applyBorder="1"/>
    <xf numFmtId="0" fontId="52" fillId="0" borderId="0" xfId="0" applyFont="1" applyAlignment="1">
      <alignment horizontal="left" indent="1"/>
    </xf>
    <xf numFmtId="169" fontId="50" fillId="24" borderId="5" xfId="1" applyNumberFormat="1" applyFont="1" applyFill="1" applyBorder="1"/>
    <xf numFmtId="169" fontId="50" fillId="24" borderId="0" xfId="1" applyNumberFormat="1" applyFont="1" applyFill="1" applyBorder="1"/>
    <xf numFmtId="180" fontId="50" fillId="0" borderId="0" xfId="1" applyNumberFormat="1" applyFont="1" applyFill="1" applyBorder="1"/>
    <xf numFmtId="0" fontId="50" fillId="0" borderId="0" xfId="0" applyFont="1"/>
    <xf numFmtId="0" fontId="50" fillId="15" borderId="0" xfId="0" applyFont="1" applyFill="1"/>
    <xf numFmtId="169" fontId="50" fillId="15" borderId="5" xfId="1" applyNumberFormat="1" applyFont="1" applyFill="1" applyBorder="1"/>
    <xf numFmtId="169" fontId="50" fillId="15" borderId="0" xfId="1" applyNumberFormat="1" applyFont="1" applyFill="1" applyBorder="1"/>
    <xf numFmtId="0" fontId="48" fillId="0" borderId="0" xfId="0" applyFont="1"/>
    <xf numFmtId="180" fontId="52" fillId="15" borderId="0" xfId="1" applyNumberFormat="1" applyFont="1" applyFill="1" applyBorder="1"/>
    <xf numFmtId="0" fontId="52" fillId="0" borderId="2" xfId="0" applyFont="1" applyBorder="1" applyAlignment="1">
      <alignment horizontal="left" indent="1"/>
    </xf>
    <xf numFmtId="0" fontId="61" fillId="0" borderId="0" xfId="0" applyFont="1"/>
    <xf numFmtId="0" fontId="44" fillId="0" borderId="0" xfId="0" applyFont="1" applyAlignment="1">
      <alignment horizontal="left"/>
    </xf>
    <xf numFmtId="14" fontId="44" fillId="0" borderId="0" xfId="1" applyNumberFormat="1" applyFont="1" applyFill="1"/>
    <xf numFmtId="0" fontId="50" fillId="0" borderId="0" xfId="6" applyFont="1" applyAlignment="1">
      <alignment vertical="center"/>
    </xf>
    <xf numFmtId="169" fontId="52" fillId="0" borderId="0" xfId="1" applyNumberFormat="1" applyFont="1" applyFill="1" applyBorder="1" applyAlignment="1"/>
    <xf numFmtId="169" fontId="44" fillId="0" borderId="0" xfId="1" applyNumberFormat="1" applyFont="1" applyFill="1" applyBorder="1" applyAlignment="1"/>
    <xf numFmtId="169" fontId="52" fillId="0" borderId="0" xfId="1" applyNumberFormat="1" applyFont="1" applyFill="1"/>
    <xf numFmtId="0" fontId="50" fillId="0" borderId="15" xfId="0" applyFont="1" applyBorder="1"/>
    <xf numFmtId="0" fontId="52" fillId="21" borderId="0" xfId="0" applyFont="1" applyFill="1"/>
    <xf numFmtId="169" fontId="52" fillId="9" borderId="0" xfId="1" applyNumberFormat="1" applyFont="1" applyFill="1" applyBorder="1"/>
    <xf numFmtId="169" fontId="52" fillId="20" borderId="0" xfId="1" applyNumberFormat="1" applyFont="1" applyFill="1" applyBorder="1"/>
    <xf numFmtId="169" fontId="52" fillId="0" borderId="0" xfId="2" applyNumberFormat="1" applyFont="1" applyFill="1" applyBorder="1"/>
    <xf numFmtId="0" fontId="52" fillId="18" borderId="0" xfId="0" applyFont="1" applyFill="1"/>
    <xf numFmtId="0" fontId="52" fillId="23" borderId="0" xfId="0" applyFont="1" applyFill="1"/>
    <xf numFmtId="169" fontId="52" fillId="0" borderId="1" xfId="1" applyNumberFormat="1" applyFont="1" applyFill="1" applyBorder="1"/>
    <xf numFmtId="169" fontId="52" fillId="0" borderId="1" xfId="2" applyNumberFormat="1" applyFont="1" applyFill="1" applyBorder="1"/>
    <xf numFmtId="43" fontId="52" fillId="0" borderId="0" xfId="1" applyFont="1" applyBorder="1"/>
    <xf numFmtId="169" fontId="44" fillId="0" borderId="0" xfId="1" applyNumberFormat="1" applyFont="1" applyFill="1" applyBorder="1"/>
    <xf numFmtId="169" fontId="43" fillId="0" borderId="0" xfId="1" applyNumberFormat="1" applyFont="1" applyFill="1" applyBorder="1"/>
    <xf numFmtId="169" fontId="43" fillId="0" borderId="1" xfId="1" applyNumberFormat="1" applyFont="1" applyFill="1" applyBorder="1"/>
    <xf numFmtId="169" fontId="43" fillId="9" borderId="0" xfId="1" applyNumberFormat="1" applyFont="1" applyFill="1" applyBorder="1"/>
    <xf numFmtId="177" fontId="52" fillId="0" borderId="0" xfId="0" applyNumberFormat="1" applyFont="1"/>
    <xf numFmtId="1" fontId="52" fillId="0" borderId="0" xfId="0" applyNumberFormat="1" applyFont="1"/>
    <xf numFmtId="0" fontId="52" fillId="0" borderId="1" xfId="0" applyFont="1" applyBorder="1" applyAlignment="1">
      <alignment horizontal="left" indent="1"/>
    </xf>
    <xf numFmtId="169" fontId="52" fillId="0" borderId="0" xfId="0" applyNumberFormat="1" applyFont="1"/>
    <xf numFmtId="0" fontId="52" fillId="0" borderId="7" xfId="0" applyFont="1" applyBorder="1" applyAlignment="1">
      <alignment horizontal="left" indent="1"/>
    </xf>
    <xf numFmtId="0" fontId="48" fillId="0" borderId="30" xfId="0" applyFont="1" applyBorder="1"/>
    <xf numFmtId="0" fontId="48" fillId="0" borderId="15" xfId="0" applyFont="1" applyBorder="1"/>
    <xf numFmtId="169" fontId="52" fillId="0" borderId="6" xfId="1" applyNumberFormat="1" applyFont="1" applyFill="1" applyBorder="1"/>
    <xf numFmtId="0" fontId="52" fillId="0" borderId="21" xfId="0" applyFont="1" applyBorder="1"/>
    <xf numFmtId="0" fontId="53" fillId="0" borderId="1" xfId="0" applyFont="1" applyBorder="1"/>
    <xf numFmtId="3" fontId="52" fillId="0" borderId="5" xfId="1" applyNumberFormat="1" applyFont="1" applyFill="1" applyBorder="1"/>
    <xf numFmtId="3" fontId="52" fillId="0" borderId="0" xfId="1" applyNumberFormat="1" applyFont="1" applyFill="1" applyBorder="1"/>
    <xf numFmtId="3" fontId="52" fillId="0" borderId="0" xfId="1" applyNumberFormat="1" applyFont="1"/>
    <xf numFmtId="3" fontId="52" fillId="0" borderId="8" xfId="1" applyNumberFormat="1" applyFont="1" applyFill="1" applyBorder="1"/>
    <xf numFmtId="3" fontId="52" fillId="0" borderId="3" xfId="1" applyNumberFormat="1" applyFont="1" applyFill="1" applyBorder="1"/>
    <xf numFmtId="3" fontId="52" fillId="0" borderId="3" xfId="1" applyNumberFormat="1" applyFont="1" applyBorder="1"/>
    <xf numFmtId="3" fontId="52" fillId="0" borderId="0" xfId="1" applyNumberFormat="1" applyFont="1" applyFill="1" applyBorder="1" applyAlignment="1"/>
    <xf numFmtId="1" fontId="52" fillId="0" borderId="5" xfId="1" applyNumberFormat="1" applyFont="1" applyFill="1" applyBorder="1" applyAlignment="1">
      <alignment horizontal="right"/>
    </xf>
    <xf numFmtId="3" fontId="52" fillId="0" borderId="1" xfId="1" applyNumberFormat="1" applyFont="1" applyBorder="1"/>
    <xf numFmtId="3" fontId="52" fillId="0" borderId="6" xfId="1" applyNumberFormat="1" applyFont="1" applyFill="1" applyBorder="1"/>
    <xf numFmtId="3" fontId="52" fillId="0" borderId="1" xfId="1" applyNumberFormat="1" applyFont="1" applyFill="1" applyBorder="1"/>
    <xf numFmtId="43" fontId="52" fillId="0" borderId="0" xfId="1" applyFont="1"/>
    <xf numFmtId="3" fontId="52" fillId="0" borderId="5" xfId="1" applyNumberFormat="1" applyFont="1" applyFill="1" applyBorder="1" applyAlignment="1">
      <alignment horizontal="right"/>
    </xf>
    <xf numFmtId="170" fontId="52" fillId="0" borderId="0" xfId="0" applyNumberFormat="1" applyFont="1" applyAlignment="1">
      <alignment horizontal="right"/>
    </xf>
    <xf numFmtId="0" fontId="50" fillId="0" borderId="21" xfId="0" applyFont="1" applyBorder="1"/>
    <xf numFmtId="43" fontId="52" fillId="0" borderId="1" xfId="1" applyFont="1" applyFill="1" applyBorder="1"/>
    <xf numFmtId="164" fontId="43" fillId="0" borderId="0" xfId="0" applyNumberFormat="1" applyFont="1"/>
    <xf numFmtId="165" fontId="43" fillId="0" borderId="0" xfId="0" applyNumberFormat="1" applyFont="1"/>
    <xf numFmtId="0" fontId="60" fillId="0" borderId="1" xfId="0" applyFont="1" applyBorder="1"/>
    <xf numFmtId="0" fontId="50" fillId="0" borderId="16" xfId="0" applyFont="1" applyBorder="1"/>
    <xf numFmtId="4" fontId="52" fillId="0" borderId="21" xfId="0" applyNumberFormat="1" applyFont="1" applyBorder="1"/>
    <xf numFmtId="0" fontId="50" fillId="0" borderId="4" xfId="0" applyFont="1" applyBorder="1"/>
    <xf numFmtId="0" fontId="50" fillId="0" borderId="3" xfId="0" applyFont="1" applyBorder="1"/>
    <xf numFmtId="1" fontId="50" fillId="0" borderId="3" xfId="1" applyNumberFormat="1" applyFont="1" applyFill="1" applyBorder="1"/>
    <xf numFmtId="0" fontId="52" fillId="0" borderId="21" xfId="0" applyFont="1" applyBorder="1" applyAlignment="1">
      <alignment horizontal="left"/>
    </xf>
    <xf numFmtId="0" fontId="44" fillId="0" borderId="21" xfId="0" applyFont="1" applyBorder="1" applyAlignment="1">
      <alignment horizontal="left"/>
    </xf>
    <xf numFmtId="0" fontId="44" fillId="0" borderId="10" xfId="0" applyFont="1" applyBorder="1" applyAlignment="1">
      <alignment horizontal="left"/>
    </xf>
    <xf numFmtId="43" fontId="52" fillId="21" borderId="5" xfId="1" applyFont="1" applyFill="1" applyBorder="1"/>
    <xf numFmtId="43" fontId="52" fillId="21" borderId="0" xfId="1" applyFont="1" applyFill="1" applyBorder="1"/>
    <xf numFmtId="0" fontId="52" fillId="20" borderId="3" xfId="0" applyFont="1" applyFill="1" applyBorder="1"/>
    <xf numFmtId="43" fontId="52" fillId="20" borderId="8" xfId="1" applyFont="1" applyFill="1" applyBorder="1"/>
    <xf numFmtId="43" fontId="52" fillId="20" borderId="3" xfId="1" applyFont="1" applyFill="1" applyBorder="1"/>
    <xf numFmtId="43" fontId="52" fillId="0" borderId="5" xfId="1" applyFont="1" applyFill="1" applyBorder="1"/>
    <xf numFmtId="43" fontId="52" fillId="18" borderId="8" xfId="1" applyFont="1" applyFill="1" applyBorder="1"/>
    <xf numFmtId="43" fontId="52" fillId="18" borderId="3" xfId="1" applyFont="1" applyFill="1" applyBorder="1"/>
    <xf numFmtId="43" fontId="52" fillId="18" borderId="3" xfId="2" applyFont="1" applyFill="1" applyBorder="1"/>
    <xf numFmtId="43" fontId="52" fillId="0" borderId="1" xfId="2" applyFont="1" applyFill="1" applyBorder="1"/>
    <xf numFmtId="43" fontId="52" fillId="0" borderId="0" xfId="2" applyFont="1" applyFill="1" applyBorder="1"/>
    <xf numFmtId="43" fontId="52" fillId="23" borderId="8" xfId="1" applyFont="1" applyFill="1" applyBorder="1"/>
    <xf numFmtId="43" fontId="52" fillId="23" borderId="3" xfId="1" applyFont="1" applyFill="1" applyBorder="1"/>
    <xf numFmtId="43" fontId="52" fillId="23" borderId="3" xfId="2" applyFont="1" applyFill="1" applyBorder="1"/>
    <xf numFmtId="43" fontId="52" fillId="0" borderId="6" xfId="1" applyFont="1" applyFill="1" applyBorder="1"/>
    <xf numFmtId="3" fontId="52" fillId="0" borderId="0" xfId="0" applyNumberFormat="1" applyFont="1"/>
    <xf numFmtId="2" fontId="52" fillId="21" borderId="0" xfId="0" applyNumberFormat="1" applyFont="1" applyFill="1"/>
    <xf numFmtId="2" fontId="52" fillId="20" borderId="3" xfId="0" applyNumberFormat="1" applyFont="1" applyFill="1" applyBorder="1"/>
    <xf numFmtId="2" fontId="52" fillId="18" borderId="0" xfId="0" applyNumberFormat="1" applyFont="1" applyFill="1"/>
    <xf numFmtId="2" fontId="52" fillId="23" borderId="0" xfId="0" applyNumberFormat="1" applyFont="1" applyFill="1"/>
    <xf numFmtId="43" fontId="52" fillId="0" borderId="0" xfId="1" applyFont="1" applyFill="1" applyBorder="1" applyAlignment="1"/>
    <xf numFmtId="0" fontId="64" fillId="0" borderId="0" xfId="0" applyFont="1"/>
    <xf numFmtId="0" fontId="56" fillId="0" borderId="0" xfId="0" applyFont="1"/>
    <xf numFmtId="0" fontId="52" fillId="0" borderId="0" xfId="0" applyFont="1" applyAlignment="1">
      <alignment horizontal="left"/>
    </xf>
    <xf numFmtId="178" fontId="52" fillId="0" borderId="0" xfId="0" applyNumberFormat="1" applyFont="1"/>
    <xf numFmtId="43" fontId="52" fillId="0" borderId="0" xfId="1" applyFont="1" applyFill="1"/>
    <xf numFmtId="0" fontId="52" fillId="0" borderId="31" xfId="0" applyFont="1" applyBorder="1"/>
    <xf numFmtId="0" fontId="62" fillId="0" borderId="0" xfId="0" applyFont="1"/>
    <xf numFmtId="0" fontId="43" fillId="0" borderId="0" xfId="0" applyFont="1" applyAlignment="1">
      <alignment vertical="center"/>
    </xf>
    <xf numFmtId="166" fontId="52" fillId="0" borderId="28" xfId="5" applyNumberFormat="1" applyFont="1" applyBorder="1"/>
    <xf numFmtId="166" fontId="52" fillId="0" borderId="0" xfId="5" applyNumberFormat="1" applyFont="1"/>
    <xf numFmtId="166" fontId="52" fillId="0" borderId="43" xfId="5" applyNumberFormat="1" applyFont="1" applyBorder="1"/>
    <xf numFmtId="166" fontId="52" fillId="0" borderId="16" xfId="5" applyNumberFormat="1" applyFont="1" applyBorder="1"/>
    <xf numFmtId="166" fontId="52" fillId="0" borderId="0" xfId="0" applyNumberFormat="1" applyFont="1"/>
    <xf numFmtId="166" fontId="50" fillId="0" borderId="0" xfId="0" applyNumberFormat="1" applyFont="1"/>
    <xf numFmtId="0" fontId="52" fillId="0" borderId="16" xfId="0" applyFont="1" applyBorder="1" applyAlignment="1">
      <alignment horizontal="left" indent="1"/>
    </xf>
    <xf numFmtId="166" fontId="52" fillId="0" borderId="43" xfId="1" applyNumberFormat="1" applyFont="1" applyFill="1" applyBorder="1"/>
    <xf numFmtId="166" fontId="52" fillId="0" borderId="16" xfId="1" applyNumberFormat="1" applyFont="1" applyFill="1" applyBorder="1"/>
    <xf numFmtId="180" fontId="52" fillId="0" borderId="16" xfId="1" applyNumberFormat="1" applyFont="1" applyFill="1" applyBorder="1"/>
    <xf numFmtId="180" fontId="52" fillId="0" borderId="16" xfId="2" applyNumberFormat="1" applyFont="1" applyFill="1" applyBorder="1"/>
    <xf numFmtId="180" fontId="43" fillId="0" borderId="16" xfId="2" applyNumberFormat="1" applyFont="1" applyFill="1" applyBorder="1"/>
    <xf numFmtId="166" fontId="50" fillId="0" borderId="43" xfId="1" applyNumberFormat="1" applyFont="1" applyFill="1" applyBorder="1"/>
    <xf numFmtId="166" fontId="50" fillId="0" borderId="16" xfId="1" applyNumberFormat="1" applyFont="1" applyFill="1" applyBorder="1"/>
    <xf numFmtId="43" fontId="52" fillId="0" borderId="0" xfId="0" applyNumberFormat="1" applyFont="1"/>
    <xf numFmtId="185" fontId="52" fillId="0" borderId="0" xfId="0" applyNumberFormat="1" applyFont="1"/>
    <xf numFmtId="166" fontId="50" fillId="0" borderId="28" xfId="1" applyNumberFormat="1" applyFont="1" applyFill="1" applyBorder="1"/>
    <xf numFmtId="166" fontId="50" fillId="0" borderId="0" xfId="1" applyNumberFormat="1" applyFont="1" applyFill="1" applyBorder="1"/>
    <xf numFmtId="166" fontId="50" fillId="0" borderId="0" xfId="2" applyNumberFormat="1" applyFont="1" applyFill="1" applyBorder="1"/>
    <xf numFmtId="166" fontId="52" fillId="0" borderId="28" xfId="1" applyNumberFormat="1" applyFont="1" applyFill="1" applyBorder="1"/>
    <xf numFmtId="166" fontId="50" fillId="0" borderId="16" xfId="2" applyNumberFormat="1" applyFont="1" applyFill="1" applyBorder="1"/>
    <xf numFmtId="166" fontId="50" fillId="0" borderId="42" xfId="1" applyNumberFormat="1" applyFont="1" applyFill="1" applyBorder="1"/>
    <xf numFmtId="166" fontId="50" fillId="0" borderId="24" xfId="1" applyNumberFormat="1" applyFont="1" applyFill="1" applyBorder="1"/>
    <xf numFmtId="166" fontId="50" fillId="0" borderId="21" xfId="1" applyNumberFormat="1" applyFont="1" applyFill="1" applyBorder="1"/>
    <xf numFmtId="166" fontId="50" fillId="0" borderId="0" xfId="1" applyNumberFormat="1" applyFont="1" applyFill="1" applyBorder="1" applyAlignment="1">
      <alignment horizontal="right"/>
    </xf>
    <xf numFmtId="4" fontId="52" fillId="0" borderId="0" xfId="0" applyNumberFormat="1" applyFont="1"/>
    <xf numFmtId="4" fontId="52" fillId="0" borderId="0" xfId="0" applyNumberFormat="1" applyFont="1" applyAlignment="1">
      <alignment horizontal="right"/>
    </xf>
    <xf numFmtId="0" fontId="50" fillId="0" borderId="0" xfId="0" applyFont="1" applyAlignment="1">
      <alignment horizontal="left" wrapText="1"/>
    </xf>
    <xf numFmtId="0" fontId="50" fillId="0" borderId="0" xfId="0" applyFont="1" applyAlignment="1">
      <alignment horizontal="center"/>
    </xf>
    <xf numFmtId="179" fontId="52" fillId="0" borderId="0" xfId="0" applyNumberFormat="1" applyFont="1"/>
    <xf numFmtId="0" fontId="50" fillId="0" borderId="18" xfId="0" applyFont="1" applyBorder="1" applyAlignment="1">
      <alignment horizontal="left" wrapText="1"/>
    </xf>
    <xf numFmtId="4" fontId="52" fillId="0" borderId="31" xfId="0" applyNumberFormat="1" applyFont="1" applyBorder="1"/>
    <xf numFmtId="3" fontId="52" fillId="0" borderId="9" xfId="0" applyNumberFormat="1" applyFont="1" applyBorder="1"/>
    <xf numFmtId="0" fontId="50" fillId="0" borderId="9" xfId="0" applyFont="1" applyBorder="1" applyAlignment="1">
      <alignment wrapText="1"/>
    </xf>
    <xf numFmtId="0" fontId="50" fillId="0" borderId="0" xfId="0" applyFont="1" applyAlignment="1">
      <alignment horizontal="right" wrapText="1"/>
    </xf>
    <xf numFmtId="4" fontId="43" fillId="0" borderId="0" xfId="0" applyNumberFormat="1" applyFont="1"/>
    <xf numFmtId="0" fontId="50" fillId="0" borderId="0" xfId="0" applyFont="1" applyAlignment="1">
      <alignment vertical="center"/>
    </xf>
    <xf numFmtId="179" fontId="52" fillId="0" borderId="0" xfId="0" applyNumberFormat="1" applyFont="1" applyAlignment="1">
      <alignment horizontal="center"/>
    </xf>
    <xf numFmtId="177" fontId="52" fillId="0" borderId="0" xfId="0" applyNumberFormat="1" applyFont="1" applyAlignment="1">
      <alignment horizontal="center"/>
    </xf>
    <xf numFmtId="0" fontId="52" fillId="25" borderId="0" xfId="0" applyFont="1" applyFill="1"/>
    <xf numFmtId="0" fontId="50" fillId="18" borderId="0" xfId="0" applyFont="1" applyFill="1" applyAlignment="1">
      <alignment horizontal="right"/>
    </xf>
    <xf numFmtId="0" fontId="50" fillId="20" borderId="0" xfId="0" applyFont="1" applyFill="1" applyAlignment="1">
      <alignment horizontal="right"/>
    </xf>
    <xf numFmtId="0" fontId="50" fillId="9" borderId="2" xfId="0" applyFont="1" applyFill="1" applyBorder="1"/>
    <xf numFmtId="0" fontId="50" fillId="21" borderId="0" xfId="0" applyFont="1" applyFill="1"/>
    <xf numFmtId="0" fontId="50" fillId="20" borderId="0" xfId="0" applyFont="1" applyFill="1"/>
    <xf numFmtId="0" fontId="50" fillId="18" borderId="0" xfId="0" applyFont="1" applyFill="1"/>
    <xf numFmtId="0" fontId="50" fillId="21" borderId="4" xfId="0" applyFont="1" applyFill="1" applyBorder="1"/>
    <xf numFmtId="0" fontId="50" fillId="20" borderId="2" xfId="0" applyFont="1" applyFill="1" applyBorder="1"/>
    <xf numFmtId="0" fontId="50" fillId="18" borderId="2" xfId="0" applyFont="1" applyFill="1" applyBorder="1"/>
    <xf numFmtId="0" fontId="50" fillId="20" borderId="3" xfId="0" applyFont="1" applyFill="1" applyBorder="1"/>
    <xf numFmtId="0" fontId="50" fillId="25" borderId="0" xfId="0" applyFont="1" applyFill="1"/>
    <xf numFmtId="43" fontId="52" fillId="25" borderId="5" xfId="1" applyFont="1" applyFill="1" applyBorder="1"/>
    <xf numFmtId="43" fontId="52" fillId="25" borderId="0" xfId="1" applyFont="1" applyFill="1" applyBorder="1"/>
    <xf numFmtId="43" fontId="52" fillId="25" borderId="0" xfId="2" applyFont="1" applyFill="1" applyBorder="1"/>
    <xf numFmtId="0" fontId="50" fillId="23" borderId="0" xfId="0" applyFont="1" applyFill="1"/>
    <xf numFmtId="43" fontId="52" fillId="13" borderId="5" xfId="1" applyFont="1" applyFill="1" applyBorder="1"/>
    <xf numFmtId="2" fontId="52" fillId="25" borderId="0" xfId="0" applyNumberFormat="1" applyFont="1" applyFill="1"/>
    <xf numFmtId="0" fontId="52" fillId="0" borderId="9" xfId="0" applyFont="1" applyBorder="1"/>
    <xf numFmtId="164" fontId="52" fillId="20" borderId="0" xfId="0" applyNumberFormat="1" applyFont="1" applyFill="1"/>
    <xf numFmtId="0" fontId="52" fillId="0" borderId="0" xfId="0" applyFont="1" applyAlignment="1">
      <alignment vertical="center" readingOrder="1"/>
    </xf>
    <xf numFmtId="0" fontId="52" fillId="0" borderId="0" xfId="0" applyFont="1" applyAlignment="1" applyProtection="1">
      <alignment horizontal="right"/>
      <protection locked="0"/>
    </xf>
    <xf numFmtId="0" fontId="59" fillId="0" borderId="0" xfId="0" applyFont="1" applyAlignment="1">
      <alignment vertical="center"/>
    </xf>
    <xf numFmtId="0" fontId="52" fillId="0" borderId="0" xfId="0" applyFont="1" applyAlignment="1">
      <alignment vertical="center" wrapText="1"/>
    </xf>
    <xf numFmtId="0" fontId="42" fillId="0" borderId="0" xfId="0" applyFont="1" applyAlignment="1">
      <alignment vertical="center"/>
    </xf>
    <xf numFmtId="0" fontId="42" fillId="0" borderId="0" xfId="0" applyFont="1" applyAlignment="1">
      <alignment horizontal="center" vertical="center"/>
    </xf>
    <xf numFmtId="168" fontId="44" fillId="0" borderId="0" xfId="0" applyNumberFormat="1" applyFont="1" applyAlignment="1">
      <alignment horizontal="right"/>
    </xf>
    <xf numFmtId="168" fontId="52" fillId="0" borderId="0" xfId="0" applyNumberFormat="1" applyFont="1" applyAlignment="1">
      <alignment horizontal="right"/>
    </xf>
    <xf numFmtId="0" fontId="48" fillId="0" borderId="6" xfId="0" applyFont="1" applyBorder="1" applyAlignment="1">
      <alignment horizontal="right"/>
    </xf>
    <xf numFmtId="0" fontId="48" fillId="0" borderId="1" xfId="0" applyFont="1" applyBorder="1" applyAlignment="1">
      <alignment horizontal="right"/>
    </xf>
    <xf numFmtId="14" fontId="48" fillId="0" borderId="0" xfId="0" applyNumberFormat="1" applyFont="1" applyAlignment="1">
      <alignment horizontal="center"/>
    </xf>
    <xf numFmtId="175" fontId="44" fillId="0" borderId="0" xfId="0" applyNumberFormat="1" applyFont="1"/>
    <xf numFmtId="0" fontId="50" fillId="21" borderId="38" xfId="0" applyFont="1" applyFill="1" applyBorder="1" applyAlignment="1">
      <alignment horizontal="left" indent="3"/>
    </xf>
    <xf numFmtId="175" fontId="52" fillId="21" borderId="0" xfId="0" applyNumberFormat="1" applyFont="1" applyFill="1"/>
    <xf numFmtId="175" fontId="43" fillId="21" borderId="0" xfId="0" applyNumberFormat="1" applyFont="1" applyFill="1"/>
    <xf numFmtId="4" fontId="44" fillId="0" borderId="0" xfId="0" applyNumberFormat="1" applyFont="1"/>
    <xf numFmtId="179" fontId="50" fillId="0" borderId="0" xfId="0" applyNumberFormat="1" applyFont="1"/>
    <xf numFmtId="11" fontId="43" fillId="0" borderId="0" xfId="0" applyNumberFormat="1" applyFont="1"/>
    <xf numFmtId="0" fontId="52" fillId="0" borderId="38" xfId="0" applyFont="1" applyBorder="1" applyAlignment="1">
      <alignment horizontal="left" indent="4"/>
    </xf>
    <xf numFmtId="175" fontId="52" fillId="0" borderId="0" xfId="0" applyNumberFormat="1" applyFont="1"/>
    <xf numFmtId="175" fontId="43" fillId="0" borderId="0" xfId="0" applyNumberFormat="1" applyFont="1"/>
    <xf numFmtId="172" fontId="52" fillId="0" borderId="0" xfId="7" applyNumberFormat="1" applyFont="1"/>
    <xf numFmtId="175" fontId="46" fillId="0" borderId="0" xfId="0" applyNumberFormat="1" applyFont="1"/>
    <xf numFmtId="10" fontId="52" fillId="0" borderId="0" xfId="7" applyNumberFormat="1" applyFont="1"/>
    <xf numFmtId="179" fontId="43" fillId="0" borderId="0" xfId="0" applyNumberFormat="1" applyFont="1"/>
    <xf numFmtId="0" fontId="50" fillId="20" borderId="38" xfId="0" applyFont="1" applyFill="1" applyBorder="1" applyAlignment="1">
      <alignment horizontal="left" indent="3"/>
    </xf>
    <xf numFmtId="175" fontId="52" fillId="20" borderId="0" xfId="0" applyNumberFormat="1" applyFont="1" applyFill="1"/>
    <xf numFmtId="175" fontId="43" fillId="20" borderId="0" xfId="0" applyNumberFormat="1" applyFont="1" applyFill="1"/>
    <xf numFmtId="172" fontId="43" fillId="0" borderId="0" xfId="7" applyNumberFormat="1" applyFont="1"/>
    <xf numFmtId="175" fontId="50" fillId="0" borderId="0" xfId="0" applyNumberFormat="1" applyFont="1" applyAlignment="1">
      <alignment horizontal="right"/>
    </xf>
    <xf numFmtId="173" fontId="52" fillId="0" borderId="0" xfId="0" applyNumberFormat="1" applyFont="1"/>
    <xf numFmtId="11" fontId="42" fillId="0" borderId="0" xfId="0" applyNumberFormat="1" applyFont="1"/>
    <xf numFmtId="173" fontId="43" fillId="0" borderId="0" xfId="0" applyNumberFormat="1" applyFont="1"/>
    <xf numFmtId="173" fontId="52" fillId="0" borderId="0" xfId="0" applyNumberFormat="1" applyFont="1" applyAlignment="1">
      <alignment horizontal="right"/>
    </xf>
    <xf numFmtId="0" fontId="50" fillId="18" borderId="38" xfId="0" applyFont="1" applyFill="1" applyBorder="1" applyAlignment="1">
      <alignment horizontal="left" indent="3"/>
    </xf>
    <xf numFmtId="175" fontId="52" fillId="18" borderId="0" xfId="0" applyNumberFormat="1" applyFont="1" applyFill="1"/>
    <xf numFmtId="175" fontId="43" fillId="18" borderId="0" xfId="0" applyNumberFormat="1" applyFont="1" applyFill="1"/>
    <xf numFmtId="43" fontId="43" fillId="0" borderId="0" xfId="1" applyFont="1" applyFill="1" applyBorder="1" applyAlignment="1">
      <alignment horizontal="right"/>
    </xf>
    <xf numFmtId="167" fontId="43" fillId="0" borderId="0" xfId="0" applyNumberFormat="1" applyFont="1"/>
    <xf numFmtId="173" fontId="52" fillId="0" borderId="0" xfId="0" applyNumberFormat="1" applyFont="1" applyAlignment="1">
      <alignment horizontal="left"/>
    </xf>
    <xf numFmtId="0" fontId="50" fillId="22" borderId="37" xfId="0" applyFont="1" applyFill="1" applyBorder="1" applyAlignment="1">
      <alignment horizontal="left" indent="3"/>
    </xf>
    <xf numFmtId="175" fontId="52" fillId="22" borderId="0" xfId="0" applyNumberFormat="1" applyFont="1" applyFill="1"/>
    <xf numFmtId="175" fontId="43" fillId="22" borderId="0" xfId="0" applyNumberFormat="1" applyFont="1" applyFill="1"/>
    <xf numFmtId="187" fontId="43" fillId="0" borderId="0" xfId="7" applyNumberFormat="1" applyFont="1" applyFill="1" applyBorder="1"/>
    <xf numFmtId="183" fontId="43" fillId="0" borderId="0" xfId="7" applyNumberFormat="1" applyFont="1" applyFill="1" applyBorder="1"/>
    <xf numFmtId="188" fontId="43" fillId="0" borderId="0" xfId="7" applyNumberFormat="1" applyFont="1" applyFill="1" applyBorder="1"/>
    <xf numFmtId="189" fontId="50" fillId="0" borderId="0" xfId="0" applyNumberFormat="1" applyFont="1"/>
    <xf numFmtId="0" fontId="42" fillId="23" borderId="37" xfId="0" applyFont="1" applyFill="1" applyBorder="1" applyAlignment="1">
      <alignment horizontal="left" indent="3"/>
    </xf>
    <xf numFmtId="175" fontId="52" fillId="23" borderId="0" xfId="0" applyNumberFormat="1" applyFont="1" applyFill="1"/>
    <xf numFmtId="175" fontId="43" fillId="23" borderId="0" xfId="0" applyNumberFormat="1" applyFont="1" applyFill="1"/>
    <xf numFmtId="187" fontId="44" fillId="0" borderId="0" xfId="7" applyNumberFormat="1" applyFont="1" applyFill="1" applyBorder="1"/>
    <xf numFmtId="0" fontId="46" fillId="0" borderId="37" xfId="0" applyFont="1" applyBorder="1" applyAlignment="1">
      <alignment horizontal="left" indent="4"/>
    </xf>
    <xf numFmtId="0" fontId="42" fillId="12" borderId="37" xfId="0" applyFont="1" applyFill="1" applyBorder="1"/>
    <xf numFmtId="175" fontId="46" fillId="12" borderId="0" xfId="0" applyNumberFormat="1" applyFont="1" applyFill="1"/>
    <xf numFmtId="175" fontId="52" fillId="12" borderId="0" xfId="0" applyNumberFormat="1" applyFont="1" applyFill="1"/>
    <xf numFmtId="186" fontId="52" fillId="0" borderId="0" xfId="0" applyNumberFormat="1" applyFont="1"/>
    <xf numFmtId="0" fontId="42" fillId="18" borderId="37" xfId="0" applyFont="1" applyFill="1" applyBorder="1"/>
    <xf numFmtId="175" fontId="46" fillId="18" borderId="0" xfId="0" applyNumberFormat="1" applyFont="1" applyFill="1"/>
    <xf numFmtId="173" fontId="43" fillId="0" borderId="0" xfId="0" applyNumberFormat="1" applyFont="1" applyAlignment="1">
      <alignment vertical="center"/>
    </xf>
    <xf numFmtId="175" fontId="43" fillId="0" borderId="0" xfId="0" applyNumberFormat="1" applyFont="1" applyAlignment="1">
      <alignment vertical="center"/>
    </xf>
    <xf numFmtId="0" fontId="50" fillId="24" borderId="37" xfId="0" applyFont="1" applyFill="1" applyBorder="1"/>
    <xf numFmtId="175" fontId="52" fillId="24" borderId="0" xfId="0" applyNumberFormat="1" applyFont="1" applyFill="1"/>
    <xf numFmtId="175" fontId="43" fillId="24" borderId="0" xfId="0" applyNumberFormat="1" applyFont="1" applyFill="1"/>
    <xf numFmtId="0" fontId="42" fillId="16" borderId="37" xfId="0" applyFont="1" applyFill="1" applyBorder="1"/>
    <xf numFmtId="175" fontId="46" fillId="16" borderId="0" xfId="0" applyNumberFormat="1" applyFont="1" applyFill="1"/>
    <xf numFmtId="175" fontId="52" fillId="16" borderId="0" xfId="0" applyNumberFormat="1" applyFont="1" applyFill="1"/>
    <xf numFmtId="0" fontId="46" fillId="0" borderId="37" xfId="0" applyFont="1" applyBorder="1" applyAlignment="1">
      <alignment horizontal="left" indent="3"/>
    </xf>
    <xf numFmtId="172" fontId="43" fillId="0" borderId="0" xfId="7" applyNumberFormat="1" applyFont="1" applyBorder="1"/>
    <xf numFmtId="172" fontId="43" fillId="0" borderId="0" xfId="7" applyNumberFormat="1" applyFont="1" applyFill="1" applyBorder="1"/>
    <xf numFmtId="0" fontId="69" fillId="0" borderId="0" xfId="0" applyFont="1" applyAlignment="1">
      <alignment horizontal="left" vertical="center" readingOrder="1"/>
    </xf>
    <xf numFmtId="0" fontId="44" fillId="0" borderId="0" xfId="0" applyFont="1" applyAlignment="1">
      <alignment horizontal="left" vertical="center"/>
    </xf>
    <xf numFmtId="0" fontId="59" fillId="0" borderId="0" xfId="0" applyFont="1"/>
    <xf numFmtId="168" fontId="52" fillId="0" borderId="16" xfId="0" applyNumberFormat="1" applyFont="1" applyBorder="1"/>
    <xf numFmtId="172" fontId="43" fillId="0" borderId="0" xfId="0" applyNumberFormat="1" applyFont="1"/>
    <xf numFmtId="168" fontId="43" fillId="0" borderId="16" xfId="0" applyNumberFormat="1" applyFont="1" applyBorder="1"/>
    <xf numFmtId="168" fontId="52" fillId="0" borderId="42" xfId="0" applyNumberFormat="1" applyFont="1" applyBorder="1"/>
    <xf numFmtId="168" fontId="46" fillId="0" borderId="24" xfId="0" applyNumberFormat="1" applyFont="1" applyBorder="1"/>
    <xf numFmtId="168" fontId="52" fillId="0" borderId="24" xfId="0" applyNumberFormat="1" applyFont="1" applyBorder="1"/>
    <xf numFmtId="0" fontId="42" fillId="0" borderId="44" xfId="0" applyFont="1" applyBorder="1"/>
    <xf numFmtId="168" fontId="46" fillId="0" borderId="1" xfId="0" applyNumberFormat="1" applyFont="1" applyBorder="1"/>
    <xf numFmtId="168" fontId="52" fillId="0" borderId="1" xfId="0" applyNumberFormat="1" applyFont="1" applyBorder="1"/>
    <xf numFmtId="0" fontId="50" fillId="0" borderId="45" xfId="0" applyFont="1" applyBorder="1"/>
    <xf numFmtId="0" fontId="42" fillId="0" borderId="45" xfId="0" applyFont="1" applyBorder="1"/>
    <xf numFmtId="0" fontId="43" fillId="2" borderId="0" xfId="0" applyFont="1" applyFill="1"/>
    <xf numFmtId="0" fontId="50" fillId="0" borderId="44" xfId="0" applyFont="1" applyBorder="1" applyAlignment="1">
      <alignment horizontal="right"/>
    </xf>
    <xf numFmtId="175" fontId="52" fillId="0" borderId="15" xfId="0" applyNumberFormat="1" applyFont="1" applyBorder="1"/>
    <xf numFmtId="175" fontId="43" fillId="0" borderId="15" xfId="0" applyNumberFormat="1" applyFont="1" applyBorder="1"/>
    <xf numFmtId="175" fontId="50" fillId="0" borderId="1" xfId="0" applyNumberFormat="1" applyFont="1" applyBorder="1"/>
    <xf numFmtId="175" fontId="52" fillId="0" borderId="1" xfId="0" applyNumberFormat="1" applyFont="1" applyBorder="1"/>
    <xf numFmtId="0" fontId="52" fillId="2" borderId="0" xfId="0" applyFont="1" applyFill="1"/>
    <xf numFmtId="0" fontId="50" fillId="0" borderId="15" xfId="0" applyFont="1" applyBorder="1" applyAlignment="1">
      <alignment horizontal="right"/>
    </xf>
    <xf numFmtId="175" fontId="50" fillId="0" borderId="15" xfId="0" applyNumberFormat="1" applyFont="1" applyBorder="1"/>
    <xf numFmtId="0" fontId="50" fillId="0" borderId="1" xfId="0" applyFont="1" applyBorder="1" applyAlignment="1">
      <alignment horizontal="right"/>
    </xf>
    <xf numFmtId="168" fontId="43" fillId="0" borderId="0" xfId="0" applyNumberFormat="1" applyFont="1"/>
    <xf numFmtId="0" fontId="50" fillId="0" borderId="44" xfId="0" applyFont="1" applyBorder="1"/>
    <xf numFmtId="168" fontId="44" fillId="0" borderId="0" xfId="0" applyNumberFormat="1" applyFont="1"/>
    <xf numFmtId="168" fontId="46" fillId="0" borderId="17" xfId="0" applyNumberFormat="1" applyFont="1" applyBorder="1"/>
    <xf numFmtId="168" fontId="46" fillId="0" borderId="21" xfId="0" applyNumberFormat="1" applyFont="1" applyBorder="1"/>
    <xf numFmtId="168" fontId="52" fillId="0" borderId="21" xfId="0" applyNumberFormat="1" applyFont="1" applyBorder="1"/>
    <xf numFmtId="168" fontId="46" fillId="0" borderId="31" xfId="0" applyNumberFormat="1" applyFont="1" applyBorder="1"/>
    <xf numFmtId="168" fontId="46" fillId="0" borderId="16" xfId="0" applyNumberFormat="1" applyFont="1" applyBorder="1"/>
    <xf numFmtId="168" fontId="46" fillId="0" borderId="43" xfId="0" applyNumberFormat="1" applyFont="1" applyBorder="1"/>
    <xf numFmtId="168" fontId="52" fillId="0" borderId="0" xfId="0" applyNumberFormat="1" applyFont="1"/>
    <xf numFmtId="175" fontId="52" fillId="21" borderId="8" xfId="0" applyNumberFormat="1" applyFont="1" applyFill="1" applyBorder="1"/>
    <xf numFmtId="175" fontId="52" fillId="21" borderId="3" xfId="0" applyNumberFormat="1" applyFont="1" applyFill="1" applyBorder="1"/>
    <xf numFmtId="175" fontId="43" fillId="21" borderId="3" xfId="0" applyNumberFormat="1" applyFont="1" applyFill="1" applyBorder="1"/>
    <xf numFmtId="175" fontId="52" fillId="0" borderId="5" xfId="0" applyNumberFormat="1" applyFont="1" applyBorder="1"/>
    <xf numFmtId="175" fontId="46" fillId="0" borderId="23" xfId="0" applyNumberFormat="1" applyFont="1" applyBorder="1"/>
    <xf numFmtId="175" fontId="46" fillId="0" borderId="16" xfId="0" applyNumberFormat="1" applyFont="1" applyBorder="1"/>
    <xf numFmtId="175" fontId="52" fillId="0" borderId="16" xfId="0" applyNumberFormat="1" applyFont="1" applyBorder="1"/>
    <xf numFmtId="175" fontId="43" fillId="0" borderId="16" xfId="0" applyNumberFormat="1" applyFont="1" applyBorder="1"/>
    <xf numFmtId="0" fontId="50" fillId="0" borderId="37" xfId="0" applyFont="1" applyBorder="1" applyAlignment="1">
      <alignment horizontal="left"/>
    </xf>
    <xf numFmtId="175" fontId="52" fillId="0" borderId="21" xfId="0" applyNumberFormat="1" applyFont="1" applyBorder="1"/>
    <xf numFmtId="0" fontId="50" fillId="0" borderId="37" xfId="0" applyFont="1" applyBorder="1" applyAlignment="1">
      <alignment horizontal="right"/>
    </xf>
    <xf numFmtId="175" fontId="52" fillId="0" borderId="25" xfId="0" applyNumberFormat="1" applyFont="1" applyBorder="1"/>
    <xf numFmtId="0" fontId="50" fillId="0" borderId="7" xfId="0" applyFont="1" applyBorder="1" applyAlignment="1">
      <alignment horizontal="right"/>
    </xf>
    <xf numFmtId="168" fontId="52" fillId="0" borderId="6" xfId="0" applyNumberFormat="1" applyFont="1" applyBorder="1"/>
    <xf numFmtId="0" fontId="50" fillId="0" borderId="2" xfId="0" applyFont="1" applyBorder="1" applyAlignment="1">
      <alignment horizontal="right"/>
    </xf>
    <xf numFmtId="0" fontId="50" fillId="0" borderId="16" xfId="0" applyFont="1" applyBorder="1" applyAlignment="1">
      <alignment horizontal="left"/>
    </xf>
    <xf numFmtId="175" fontId="52" fillId="0" borderId="14" xfId="0" applyNumberFormat="1" applyFont="1" applyBorder="1"/>
    <xf numFmtId="175" fontId="43" fillId="0" borderId="21" xfId="0" applyNumberFormat="1" applyFont="1" applyBorder="1"/>
    <xf numFmtId="168" fontId="52" fillId="0" borderId="1" xfId="0" applyNumberFormat="1" applyFont="1" applyBorder="1" applyAlignment="1">
      <alignment horizontal="right"/>
    </xf>
    <xf numFmtId="168" fontId="52" fillId="0" borderId="5" xfId="0" applyNumberFormat="1" applyFont="1" applyBorder="1"/>
    <xf numFmtId="0" fontId="52" fillId="0" borderId="40" xfId="0" applyFont="1" applyBorder="1" applyAlignment="1">
      <alignment horizontal="right"/>
    </xf>
    <xf numFmtId="0" fontId="52" fillId="0" borderId="58" xfId="0" applyFont="1" applyBorder="1" applyAlignment="1">
      <alignment horizontal="right"/>
    </xf>
    <xf numFmtId="0" fontId="48" fillId="0" borderId="0" xfId="0" applyFont="1" applyAlignment="1">
      <alignment horizontal="left"/>
    </xf>
    <xf numFmtId="0" fontId="42" fillId="12" borderId="38" xfId="0" applyFont="1" applyFill="1" applyBorder="1"/>
    <xf numFmtId="0" fontId="42" fillId="18" borderId="38" xfId="0" applyFont="1" applyFill="1" applyBorder="1"/>
    <xf numFmtId="0" fontId="52" fillId="0" borderId="59" xfId="0" applyFont="1" applyBorder="1" applyAlignment="1">
      <alignment horizontal="right"/>
    </xf>
    <xf numFmtId="168" fontId="44" fillId="0" borderId="0" xfId="0" applyNumberFormat="1" applyFont="1" applyAlignment="1">
      <alignment horizontal="left"/>
    </xf>
    <xf numFmtId="175" fontId="50" fillId="0" borderId="0" xfId="0" applyNumberFormat="1" applyFont="1"/>
    <xf numFmtId="175" fontId="52" fillId="0" borderId="3" xfId="0" applyNumberFormat="1" applyFont="1" applyBorder="1"/>
    <xf numFmtId="0" fontId="70" fillId="0" borderId="0" xfId="0" applyFont="1" applyAlignment="1">
      <alignment horizontal="right"/>
    </xf>
    <xf numFmtId="168" fontId="70" fillId="0" borderId="0" xfId="0" applyNumberFormat="1" applyFont="1"/>
    <xf numFmtId="0" fontId="43" fillId="26" borderId="0" xfId="0" applyFont="1" applyFill="1"/>
    <xf numFmtId="2" fontId="52" fillId="0" borderId="0" xfId="0" applyNumberFormat="1" applyFont="1" applyAlignment="1">
      <alignment horizontal="left"/>
    </xf>
    <xf numFmtId="0" fontId="43" fillId="0" borderId="35" xfId="0" applyFont="1" applyBorder="1" applyAlignment="1">
      <alignment horizontal="left"/>
    </xf>
    <xf numFmtId="2" fontId="52" fillId="0" borderId="56" xfId="0" applyNumberFormat="1" applyFont="1" applyBorder="1" applyAlignment="1">
      <alignment horizontal="left"/>
    </xf>
    <xf numFmtId="0" fontId="52" fillId="0" borderId="46" xfId="0" applyFont="1" applyBorder="1" applyAlignment="1">
      <alignment horizontal="left"/>
    </xf>
    <xf numFmtId="0" fontId="46" fillId="0" borderId="0" xfId="0" applyFont="1"/>
    <xf numFmtId="0" fontId="71" fillId="0" borderId="0" xfId="0" applyFont="1"/>
    <xf numFmtId="0" fontId="52" fillId="0" borderId="0" xfId="0" applyFont="1" applyProtection="1">
      <protection locked="0"/>
    </xf>
    <xf numFmtId="176" fontId="52" fillId="0" borderId="5" xfId="1" applyNumberFormat="1" applyFont="1" applyBorder="1"/>
    <xf numFmtId="181" fontId="52" fillId="0" borderId="0" xfId="1" applyNumberFormat="1" applyFont="1" applyBorder="1"/>
    <xf numFmtId="181" fontId="43" fillId="0" borderId="0" xfId="1" applyNumberFormat="1" applyFont="1" applyBorder="1"/>
    <xf numFmtId="0" fontId="50" fillId="21" borderId="2" xfId="0" applyFont="1" applyFill="1" applyBorder="1"/>
    <xf numFmtId="175" fontId="50" fillId="21" borderId="0" xfId="1" applyNumberFormat="1" applyFont="1" applyFill="1" applyBorder="1"/>
    <xf numFmtId="175" fontId="50" fillId="20" borderId="5" xfId="1" applyNumberFormat="1" applyFont="1" applyFill="1" applyBorder="1"/>
    <xf numFmtId="175" fontId="50" fillId="20" borderId="0" xfId="1" applyNumberFormat="1" applyFont="1" applyFill="1" applyBorder="1"/>
    <xf numFmtId="175" fontId="50" fillId="18" borderId="5" xfId="1" applyNumberFormat="1" applyFont="1" applyFill="1" applyBorder="1"/>
    <xf numFmtId="175" fontId="50" fillId="18" borderId="0" xfId="1" applyNumberFormat="1" applyFont="1" applyFill="1" applyBorder="1"/>
    <xf numFmtId="182" fontId="50" fillId="22" borderId="0" xfId="1" applyNumberFormat="1" applyFont="1" applyFill="1" applyBorder="1"/>
    <xf numFmtId="175" fontId="50" fillId="23" borderId="5" xfId="1" applyNumberFormat="1" applyFont="1" applyFill="1" applyBorder="1"/>
    <xf numFmtId="175" fontId="50" fillId="23" borderId="0" xfId="0" applyNumberFormat="1" applyFont="1" applyFill="1"/>
    <xf numFmtId="175" fontId="49" fillId="23" borderId="0" xfId="0" applyNumberFormat="1" applyFont="1" applyFill="1"/>
    <xf numFmtId="0" fontId="50" fillId="16" borderId="0" xfId="0" applyFont="1" applyFill="1"/>
    <xf numFmtId="176" fontId="52" fillId="0" borderId="5" xfId="1" applyNumberFormat="1" applyFont="1" applyFill="1" applyBorder="1"/>
    <xf numFmtId="181" fontId="52" fillId="0" borderId="0" xfId="1" applyNumberFormat="1" applyFont="1" applyFill="1" applyBorder="1"/>
    <xf numFmtId="0" fontId="52" fillId="14" borderId="0" xfId="0" applyFont="1" applyFill="1"/>
    <xf numFmtId="175" fontId="52" fillId="14" borderId="28" xfId="1" applyNumberFormat="1" applyFont="1" applyFill="1" applyBorder="1"/>
    <xf numFmtId="175" fontId="52" fillId="14" borderId="0" xfId="1" applyNumberFormat="1" applyFont="1" applyFill="1"/>
    <xf numFmtId="175" fontId="52" fillId="0" borderId="0" xfId="1" applyNumberFormat="1" applyFont="1" applyFill="1"/>
    <xf numFmtId="0" fontId="48" fillId="34" borderId="21" xfId="0" applyFont="1" applyFill="1" applyBorder="1" applyAlignment="1">
      <alignment vertical="center" readingOrder="1"/>
    </xf>
    <xf numFmtId="168" fontId="48" fillId="35" borderId="21" xfId="0" applyNumberFormat="1" applyFont="1" applyFill="1" applyBorder="1" applyAlignment="1">
      <alignment horizontal="center"/>
    </xf>
    <xf numFmtId="0" fontId="72" fillId="36" borderId="21" xfId="0" applyFont="1" applyFill="1" applyBorder="1" applyAlignment="1">
      <alignment vertical="center" readingOrder="1"/>
    </xf>
    <xf numFmtId="168" fontId="52" fillId="36" borderId="21" xfId="0" applyNumberFormat="1" applyFont="1" applyFill="1" applyBorder="1" applyAlignment="1">
      <alignment horizontal="center"/>
    </xf>
    <xf numFmtId="0" fontId="73" fillId="37" borderId="21" xfId="0" applyFont="1" applyFill="1" applyBorder="1"/>
    <xf numFmtId="168" fontId="74" fillId="37" borderId="21" xfId="0" applyNumberFormat="1" applyFont="1" applyFill="1" applyBorder="1" applyAlignment="1">
      <alignment horizontal="center"/>
    </xf>
    <xf numFmtId="0" fontId="50" fillId="38" borderId="21" xfId="0" applyFont="1" applyFill="1" applyBorder="1" applyAlignment="1">
      <alignment vertical="center" readingOrder="1"/>
    </xf>
    <xf numFmtId="168" fontId="52" fillId="38" borderId="21" xfId="0" applyNumberFormat="1" applyFont="1" applyFill="1" applyBorder="1" applyAlignment="1">
      <alignment horizontal="center"/>
    </xf>
    <xf numFmtId="2" fontId="73" fillId="39" borderId="0" xfId="0" applyNumberFormat="1" applyFont="1" applyFill="1" applyAlignment="1">
      <alignment vertical="center" wrapText="1"/>
    </xf>
    <xf numFmtId="168" fontId="74" fillId="39" borderId="0" xfId="0" applyNumberFormat="1" applyFont="1" applyFill="1" applyAlignment="1">
      <alignment horizontal="center"/>
    </xf>
    <xf numFmtId="175" fontId="52" fillId="0" borderId="0" xfId="1" applyNumberFormat="1" applyFont="1" applyBorder="1"/>
    <xf numFmtId="175" fontId="52" fillId="0" borderId="0" xfId="1" applyNumberFormat="1" applyFont="1" applyFill="1" applyBorder="1"/>
    <xf numFmtId="175" fontId="52" fillId="0" borderId="5" xfId="1" applyNumberFormat="1" applyFont="1" applyFill="1" applyBorder="1"/>
    <xf numFmtId="182" fontId="52" fillId="0" borderId="0" xfId="1" applyNumberFormat="1" applyFont="1" applyFill="1" applyBorder="1"/>
    <xf numFmtId="175" fontId="43" fillId="0" borderId="0" xfId="1" applyNumberFormat="1" applyFont="1" applyFill="1" applyBorder="1"/>
    <xf numFmtId="175" fontId="43" fillId="0" borderId="0" xfId="1" applyNumberFormat="1" applyFont="1" applyFill="1"/>
    <xf numFmtId="175" fontId="52" fillId="0" borderId="1" xfId="1" applyNumberFormat="1" applyFont="1" applyFill="1" applyBorder="1"/>
    <xf numFmtId="175" fontId="43" fillId="0" borderId="1" xfId="1" applyNumberFormat="1" applyFont="1" applyFill="1" applyBorder="1"/>
    <xf numFmtId="2" fontId="50" fillId="0" borderId="31" xfId="0" applyNumberFormat="1" applyFont="1" applyBorder="1"/>
    <xf numFmtId="168" fontId="50" fillId="0" borderId="31" xfId="0" applyNumberFormat="1" applyFont="1" applyBorder="1" applyAlignment="1">
      <alignment horizontal="center" vertical="center"/>
    </xf>
    <xf numFmtId="0" fontId="60" fillId="0" borderId="1" xfId="0" applyFont="1" applyBorder="1" applyAlignment="1">
      <alignment horizontal="left" vertical="center"/>
    </xf>
    <xf numFmtId="0" fontId="77" fillId="0" borderId="0" xfId="12" applyFont="1" applyFill="1" applyBorder="1"/>
    <xf numFmtId="0" fontId="72" fillId="0" borderId="0" xfId="0" applyFont="1"/>
    <xf numFmtId="168" fontId="50" fillId="0" borderId="0" xfId="0" applyNumberFormat="1" applyFont="1" applyAlignment="1">
      <alignment horizontal="right" vertical="center"/>
    </xf>
    <xf numFmtId="0" fontId="78" fillId="0" borderId="0" xfId="13" applyFont="1"/>
    <xf numFmtId="0" fontId="69" fillId="0" borderId="0" xfId="0" applyFont="1"/>
    <xf numFmtId="0" fontId="79" fillId="40" borderId="21" xfId="0" applyFont="1" applyFill="1" applyBorder="1" applyAlignment="1">
      <alignment horizontal="left" vertical="center" readingOrder="1"/>
    </xf>
    <xf numFmtId="2" fontId="79" fillId="40" borderId="21" xfId="0" applyNumberFormat="1" applyFont="1" applyFill="1" applyBorder="1" applyAlignment="1">
      <alignment horizontal="right"/>
    </xf>
    <xf numFmtId="2" fontId="50" fillId="41" borderId="0" xfId="0" applyNumberFormat="1" applyFont="1" applyFill="1" applyAlignment="1">
      <alignment vertical="center" wrapText="1"/>
    </xf>
    <xf numFmtId="2" fontId="50" fillId="41" borderId="0" xfId="0" applyNumberFormat="1" applyFont="1" applyFill="1" applyAlignment="1">
      <alignment vertical="center"/>
    </xf>
    <xf numFmtId="2" fontId="50" fillId="42" borderId="0" xfId="0" applyNumberFormat="1" applyFont="1" applyFill="1" applyAlignment="1">
      <alignment vertical="center" wrapText="1"/>
    </xf>
    <xf numFmtId="2" fontId="72" fillId="42" borderId="0" xfId="0" applyNumberFormat="1" applyFont="1" applyFill="1"/>
    <xf numFmtId="0" fontId="72" fillId="0" borderId="0" xfId="0" applyFont="1" applyAlignment="1">
      <alignment horizontal="center" vertical="center"/>
    </xf>
    <xf numFmtId="2" fontId="43" fillId="0" borderId="0" xfId="0" applyNumberFormat="1" applyFont="1"/>
    <xf numFmtId="2" fontId="80" fillId="43" borderId="0" xfId="0" applyNumberFormat="1" applyFont="1" applyFill="1" applyAlignment="1">
      <alignment vertical="center" wrapText="1"/>
    </xf>
    <xf numFmtId="2" fontId="81" fillId="43" borderId="0" xfId="0" applyNumberFormat="1" applyFont="1" applyFill="1"/>
    <xf numFmtId="0" fontId="82" fillId="0" borderId="0" xfId="0" applyFont="1"/>
    <xf numFmtId="0" fontId="84" fillId="0" borderId="0" xfId="10" applyFont="1" applyAlignment="1" applyProtection="1">
      <alignment horizontal="left" vertical="center"/>
    </xf>
    <xf numFmtId="2" fontId="52" fillId="0" borderId="0" xfId="0" applyNumberFormat="1" applyFont="1" applyAlignment="1">
      <alignment vertical="center"/>
    </xf>
    <xf numFmtId="0" fontId="45" fillId="0" borderId="0" xfId="10" applyFont="1" applyFill="1" applyAlignment="1" applyProtection="1">
      <alignment horizontal="left" vertical="top"/>
    </xf>
    <xf numFmtId="0" fontId="84" fillId="0" borderId="0" xfId="10" applyFont="1" applyAlignment="1" applyProtection="1">
      <alignment vertical="top"/>
    </xf>
    <xf numFmtId="0" fontId="69" fillId="0" borderId="0" xfId="0" applyFont="1" applyAlignment="1">
      <alignment horizontal="left" indent="1"/>
    </xf>
    <xf numFmtId="0" fontId="69" fillId="0" borderId="0" xfId="0" applyFont="1" applyAlignment="1">
      <alignment horizontal="left" vertical="center" indent="1" readingOrder="1"/>
    </xf>
    <xf numFmtId="2" fontId="86" fillId="0" borderId="0" xfId="0" applyNumberFormat="1" applyFont="1" applyAlignment="1">
      <alignment horizontal="right" vertical="center"/>
    </xf>
    <xf numFmtId="0" fontId="72" fillId="0" borderId="0" xfId="0" applyFont="1" applyAlignment="1">
      <alignment horizontal="left" vertical="center" readingOrder="1"/>
    </xf>
    <xf numFmtId="0" fontId="86" fillId="0" borderId="0" xfId="0" applyFont="1" applyAlignment="1">
      <alignment vertical="center" readingOrder="1"/>
    </xf>
    <xf numFmtId="2" fontId="50" fillId="0" borderId="0" xfId="0" applyNumberFormat="1" applyFont="1" applyAlignment="1">
      <alignment horizontal="right" vertical="center"/>
    </xf>
    <xf numFmtId="2" fontId="69" fillId="0" borderId="0" xfId="0" applyNumberFormat="1" applyFont="1" applyAlignment="1">
      <alignment horizontal="right" vertical="center"/>
    </xf>
    <xf numFmtId="0" fontId="87" fillId="0" borderId="0" xfId="12" applyFont="1" applyFill="1" applyBorder="1"/>
    <xf numFmtId="0" fontId="43" fillId="0" borderId="0" xfId="0" applyFont="1" applyAlignment="1">
      <alignment horizontal="left" vertical="center"/>
    </xf>
    <xf numFmtId="1" fontId="72" fillId="0" borderId="0" xfId="0" applyNumberFormat="1" applyFont="1" applyAlignment="1">
      <alignment horizontal="center"/>
    </xf>
    <xf numFmtId="1" fontId="69" fillId="0" borderId="0" xfId="0" applyNumberFormat="1" applyFont="1" applyAlignment="1">
      <alignment horizontal="center"/>
    </xf>
    <xf numFmtId="0" fontId="52" fillId="0" borderId="0" xfId="0" applyFont="1" applyAlignment="1">
      <alignment vertical="top"/>
    </xf>
    <xf numFmtId="10" fontId="49" fillId="0" borderId="0" xfId="7" applyNumberFormat="1" applyFont="1" applyAlignment="1">
      <alignment horizontal="left"/>
    </xf>
    <xf numFmtId="176" fontId="43" fillId="0" borderId="0" xfId="1" applyNumberFormat="1" applyFont="1"/>
    <xf numFmtId="0" fontId="43" fillId="0" borderId="5" xfId="0" applyFont="1" applyBorder="1"/>
    <xf numFmtId="4" fontId="52" fillId="0" borderId="16" xfId="0" applyNumberFormat="1" applyFont="1" applyBorder="1"/>
    <xf numFmtId="172" fontId="43" fillId="0" borderId="0" xfId="7" applyNumberFormat="1" applyFont="1" applyFill="1"/>
    <xf numFmtId="4" fontId="89" fillId="0" borderId="31" xfId="0" applyNumberFormat="1" applyFont="1" applyBorder="1"/>
    <xf numFmtId="175" fontId="50" fillId="0" borderId="21" xfId="0" applyNumberFormat="1" applyFont="1" applyBorder="1"/>
    <xf numFmtId="10" fontId="43" fillId="0" borderId="0" xfId="7" applyNumberFormat="1" applyFont="1"/>
    <xf numFmtId="0" fontId="52" fillId="0" borderId="5" xfId="0" applyFont="1" applyBorder="1"/>
    <xf numFmtId="168" fontId="50" fillId="0" borderId="15" xfId="0" applyNumberFormat="1" applyFont="1" applyBorder="1"/>
    <xf numFmtId="168" fontId="50" fillId="0" borderId="0" xfId="0" applyNumberFormat="1" applyFont="1"/>
    <xf numFmtId="3" fontId="52" fillId="0" borderId="21" xfId="0" applyNumberFormat="1" applyFont="1" applyBorder="1"/>
    <xf numFmtId="0" fontId="44" fillId="0" borderId="0" xfId="0" applyFont="1" applyAlignment="1">
      <alignment horizontal="right"/>
    </xf>
    <xf numFmtId="0" fontId="48" fillId="0" borderId="16" xfId="0" applyFont="1" applyBorder="1" applyAlignment="1">
      <alignment horizontal="right"/>
    </xf>
    <xf numFmtId="0" fontId="76" fillId="0" borderId="0" xfId="0" applyFont="1"/>
    <xf numFmtId="172" fontId="52" fillId="0" borderId="0" xfId="7" applyNumberFormat="1" applyFont="1" applyFill="1" applyBorder="1"/>
    <xf numFmtId="172" fontId="52" fillId="0" borderId="0" xfId="7" applyNumberFormat="1" applyFont="1" applyFill="1"/>
    <xf numFmtId="0" fontId="50" fillId="0" borderId="0" xfId="0" applyFont="1" applyAlignment="1">
      <alignment horizontal="left" indent="2"/>
    </xf>
    <xf numFmtId="190" fontId="52" fillId="0" borderId="0" xfId="0" applyNumberFormat="1" applyFont="1"/>
    <xf numFmtId="3" fontId="52" fillId="0" borderId="31" xfId="0" applyNumberFormat="1" applyFont="1" applyBorder="1"/>
    <xf numFmtId="168" fontId="52" fillId="0" borderId="31" xfId="0" applyNumberFormat="1" applyFont="1" applyBorder="1"/>
    <xf numFmtId="0" fontId="50" fillId="0" borderId="21" xfId="0" applyFont="1" applyBorder="1" applyAlignment="1">
      <alignment horizontal="left"/>
    </xf>
    <xf numFmtId="0" fontId="48" fillId="27" borderId="0" xfId="0" applyFont="1" applyFill="1"/>
    <xf numFmtId="0" fontId="48" fillId="32" borderId="0" xfId="0" applyFont="1" applyFill="1"/>
    <xf numFmtId="0" fontId="48" fillId="32" borderId="0" xfId="0" applyFont="1" applyFill="1" applyAlignment="1">
      <alignment horizontal="right"/>
    </xf>
    <xf numFmtId="0" fontId="52" fillId="0" borderId="0" xfId="4" applyFont="1"/>
    <xf numFmtId="0" fontId="50" fillId="0" borderId="0" xfId="4" applyFont="1"/>
    <xf numFmtId="0" fontId="44" fillId="0" borderId="0" xfId="4" applyFont="1"/>
    <xf numFmtId="0" fontId="52" fillId="0" borderId="0" xfId="4" applyFont="1" applyBorder="1" applyAlignment="1">
      <alignment vertical="top" wrapText="1"/>
    </xf>
    <xf numFmtId="0" fontId="44" fillId="0" borderId="0" xfId="4" applyFont="1" applyBorder="1" applyAlignment="1">
      <alignment vertical="top" wrapText="1"/>
    </xf>
    <xf numFmtId="14" fontId="44" fillId="0" borderId="0" xfId="4" applyNumberFormat="1" applyFont="1" applyBorder="1" applyAlignment="1">
      <alignment vertical="top" wrapText="1"/>
    </xf>
    <xf numFmtId="0" fontId="52" fillId="0" borderId="0" xfId="4" applyFont="1" applyBorder="1"/>
    <xf numFmtId="0" fontId="52" fillId="0" borderId="0" xfId="4" applyFont="1" applyAlignment="1">
      <alignment horizontal="left" vertical="top" wrapText="1"/>
    </xf>
    <xf numFmtId="0" fontId="52" fillId="0" borderId="0" xfId="4" applyFont="1" applyBorder="1" applyAlignment="1">
      <alignment horizontal="left" indent="1"/>
    </xf>
    <xf numFmtId="0" fontId="50" fillId="0" borderId="1" xfId="4" applyFont="1" applyBorder="1"/>
    <xf numFmtId="0" fontId="50" fillId="0" borderId="1" xfId="4" quotePrefix="1" applyFont="1" applyBorder="1" applyAlignment="1">
      <alignment horizontal="right"/>
    </xf>
    <xf numFmtId="0" fontId="50" fillId="0" borderId="0" xfId="4" applyFont="1" applyBorder="1"/>
    <xf numFmtId="39" fontId="52" fillId="0" borderId="0" xfId="1" applyNumberFormat="1" applyFont="1" applyFill="1"/>
    <xf numFmtId="166" fontId="52" fillId="0" borderId="0" xfId="1" applyNumberFormat="1" applyFont="1" applyFill="1"/>
    <xf numFmtId="166" fontId="43" fillId="0" borderId="0" xfId="1" applyNumberFormat="1" applyFont="1" applyFill="1" applyBorder="1"/>
    <xf numFmtId="166" fontId="44" fillId="0" borderId="0" xfId="1" applyNumberFormat="1" applyFont="1" applyFill="1" applyBorder="1"/>
    <xf numFmtId="0" fontId="49" fillId="0" borderId="16" xfId="0" applyFont="1" applyBorder="1"/>
    <xf numFmtId="0" fontId="43" fillId="0" borderId="39" xfId="0" applyFont="1" applyBorder="1"/>
    <xf numFmtId="0" fontId="43" fillId="0" borderId="28" xfId="0" applyFont="1" applyBorder="1"/>
    <xf numFmtId="0" fontId="43" fillId="0" borderId="43" xfId="0" applyFont="1" applyBorder="1"/>
    <xf numFmtId="0" fontId="43" fillId="0" borderId="16" xfId="0" applyFont="1" applyBorder="1"/>
    <xf numFmtId="3" fontId="43" fillId="0" borderId="16" xfId="0" applyNumberFormat="1" applyFont="1" applyBorder="1"/>
    <xf numFmtId="3" fontId="52" fillId="0" borderId="16" xfId="0" applyNumberFormat="1" applyFont="1" applyBorder="1"/>
    <xf numFmtId="0" fontId="43" fillId="0" borderId="31" xfId="0" applyFont="1" applyBorder="1"/>
    <xf numFmtId="43" fontId="43" fillId="0" borderId="0" xfId="1" applyFont="1" applyFill="1" applyBorder="1"/>
    <xf numFmtId="0" fontId="43" fillId="0" borderId="9" xfId="0" applyFont="1" applyBorder="1"/>
    <xf numFmtId="0" fontId="52" fillId="0" borderId="16" xfId="0" applyFont="1" applyBorder="1"/>
    <xf numFmtId="3" fontId="43" fillId="0" borderId="31" xfId="0" applyNumberFormat="1" applyFont="1" applyBorder="1"/>
    <xf numFmtId="166" fontId="43" fillId="13" borderId="31" xfId="1" applyNumberFormat="1" applyFont="1" applyFill="1" applyBorder="1"/>
    <xf numFmtId="166" fontId="43" fillId="0" borderId="31" xfId="1" applyNumberFormat="1" applyFont="1" applyFill="1" applyBorder="1"/>
    <xf numFmtId="1" fontId="92" fillId="0" borderId="0" xfId="0" applyNumberFormat="1" applyFont="1"/>
    <xf numFmtId="0" fontId="52" fillId="0" borderId="18" xfId="0" applyFont="1" applyBorder="1" applyAlignment="1">
      <alignment horizontal="left" vertical="center" wrapText="1"/>
    </xf>
    <xf numFmtId="0" fontId="52" fillId="0" borderId="9" xfId="0" applyFont="1" applyBorder="1" applyAlignment="1">
      <alignment horizontal="left" vertical="center" wrapText="1"/>
    </xf>
    <xf numFmtId="175" fontId="52" fillId="0" borderId="9" xfId="0" applyNumberFormat="1" applyFont="1" applyBorder="1" applyAlignment="1">
      <alignment horizontal="right" vertical="center"/>
    </xf>
    <xf numFmtId="0" fontId="52" fillId="0" borderId="27" xfId="0" applyFont="1" applyBorder="1" applyAlignment="1">
      <alignment horizontal="left" vertical="center" wrapText="1"/>
    </xf>
    <xf numFmtId="175" fontId="52" fillId="0" borderId="27" xfId="0" applyNumberFormat="1" applyFont="1" applyBorder="1" applyAlignment="1">
      <alignment horizontal="right" vertical="center"/>
    </xf>
    <xf numFmtId="175" fontId="52" fillId="0" borderId="18" xfId="0" applyNumberFormat="1" applyFont="1" applyBorder="1" applyAlignment="1">
      <alignment horizontal="right" vertical="center"/>
    </xf>
    <xf numFmtId="0" fontId="52" fillId="0" borderId="26" xfId="0" applyFont="1" applyBorder="1" applyAlignment="1">
      <alignment horizontal="left" vertical="center" wrapText="1"/>
    </xf>
    <xf numFmtId="175" fontId="52" fillId="0" borderId="43" xfId="0" applyNumberFormat="1" applyFont="1" applyBorder="1" applyAlignment="1">
      <alignment horizontal="right" vertical="center"/>
    </xf>
    <xf numFmtId="173" fontId="52" fillId="0" borderId="9" xfId="0" applyNumberFormat="1" applyFont="1" applyBorder="1" applyAlignment="1">
      <alignment horizontal="right" vertical="center"/>
    </xf>
    <xf numFmtId="173" fontId="52" fillId="0" borderId="27" xfId="0" applyNumberFormat="1" applyFont="1" applyBorder="1" applyAlignment="1">
      <alignment horizontal="right" vertical="center"/>
    </xf>
    <xf numFmtId="173" fontId="52" fillId="0" borderId="18" xfId="0" applyNumberFormat="1" applyFont="1" applyBorder="1" applyAlignment="1">
      <alignment horizontal="right" vertical="center"/>
    </xf>
    <xf numFmtId="43" fontId="43" fillId="0" borderId="0" xfId="1" applyFont="1" applyBorder="1"/>
    <xf numFmtId="0" fontId="52" fillId="0" borderId="39" xfId="0" applyFont="1" applyBorder="1" applyAlignment="1">
      <alignment horizontal="left" vertical="center" wrapText="1"/>
    </xf>
    <xf numFmtId="43" fontId="49" fillId="0" borderId="0" xfId="1" applyFont="1" applyBorder="1"/>
    <xf numFmtId="0" fontId="52" fillId="0" borderId="9" xfId="0" applyFont="1" applyBorder="1" applyAlignment="1">
      <alignment vertical="center" wrapText="1"/>
    </xf>
    <xf numFmtId="0" fontId="52" fillId="0" borderId="18" xfId="0" applyFont="1" applyBorder="1" applyAlignment="1">
      <alignment vertical="center" wrapText="1"/>
    </xf>
    <xf numFmtId="165" fontId="43" fillId="0" borderId="18" xfId="0" applyNumberFormat="1" applyFont="1" applyBorder="1"/>
    <xf numFmtId="0" fontId="43" fillId="0" borderId="18" xfId="0" applyFont="1" applyBorder="1"/>
    <xf numFmtId="165" fontId="52" fillId="0" borderId="18" xfId="0" applyNumberFormat="1" applyFont="1" applyBorder="1"/>
    <xf numFmtId="165" fontId="43" fillId="0" borderId="9" xfId="0" applyNumberFormat="1" applyFont="1" applyBorder="1"/>
    <xf numFmtId="175" fontId="52" fillId="0" borderId="17" xfId="0" applyNumberFormat="1" applyFont="1" applyBorder="1" applyAlignment="1">
      <alignment horizontal="right" vertical="center"/>
    </xf>
    <xf numFmtId="4" fontId="52" fillId="0" borderId="9" xfId="0" applyNumberFormat="1" applyFont="1" applyBorder="1" applyAlignment="1">
      <alignment horizontal="right" vertical="center"/>
    </xf>
    <xf numFmtId="4" fontId="52" fillId="0" borderId="17" xfId="0" applyNumberFormat="1" applyFont="1" applyBorder="1" applyAlignment="1">
      <alignment horizontal="right" vertical="center"/>
    </xf>
    <xf numFmtId="175" fontId="52" fillId="0" borderId="39" xfId="0" applyNumberFormat="1" applyFont="1" applyBorder="1" applyAlignment="1">
      <alignment horizontal="right" vertical="center"/>
    </xf>
    <xf numFmtId="4" fontId="52" fillId="0" borderId="18" xfId="0" applyNumberFormat="1" applyFont="1" applyBorder="1" applyAlignment="1">
      <alignment horizontal="right" vertical="center"/>
    </xf>
    <xf numFmtId="4" fontId="52" fillId="0" borderId="43" xfId="0" applyNumberFormat="1" applyFont="1" applyBorder="1" applyAlignment="1">
      <alignment horizontal="right" vertical="center"/>
    </xf>
    <xf numFmtId="4" fontId="52" fillId="0" borderId="34" xfId="0" applyNumberFormat="1" applyFont="1" applyBorder="1" applyAlignment="1">
      <alignment horizontal="right" vertical="center"/>
    </xf>
    <xf numFmtId="4" fontId="52" fillId="0" borderId="16" xfId="0" applyNumberFormat="1" applyFont="1" applyBorder="1" applyAlignment="1">
      <alignment horizontal="right" vertical="center"/>
    </xf>
    <xf numFmtId="164" fontId="43" fillId="0" borderId="9" xfId="0" applyNumberFormat="1" applyFont="1" applyBorder="1"/>
    <xf numFmtId="164" fontId="52" fillId="0" borderId="9" xfId="0" applyNumberFormat="1" applyFont="1" applyBorder="1"/>
    <xf numFmtId="171" fontId="43" fillId="0" borderId="9" xfId="0" applyNumberFormat="1" applyFont="1" applyBorder="1"/>
    <xf numFmtId="171" fontId="52" fillId="0" borderId="9" xfId="0" applyNumberFormat="1" applyFont="1" applyBorder="1"/>
    <xf numFmtId="0" fontId="52" fillId="0" borderId="27" xfId="0" applyFont="1" applyBorder="1" applyAlignment="1">
      <alignment vertical="center" wrapText="1"/>
    </xf>
    <xf numFmtId="175" fontId="52" fillId="0" borderId="31" xfId="0" applyNumberFormat="1" applyFont="1" applyBorder="1" applyAlignment="1">
      <alignment horizontal="right" vertical="center"/>
    </xf>
    <xf numFmtId="3" fontId="52" fillId="0" borderId="31" xfId="0" applyNumberFormat="1" applyFont="1" applyBorder="1" applyAlignment="1">
      <alignment horizontal="right" vertical="center"/>
    </xf>
    <xf numFmtId="3" fontId="52" fillId="0" borderId="0" xfId="0" applyNumberFormat="1" applyFont="1" applyAlignment="1">
      <alignment horizontal="right" vertical="center"/>
    </xf>
    <xf numFmtId="0" fontId="52" fillId="0" borderId="9" xfId="0" applyFont="1" applyBorder="1" applyAlignment="1">
      <alignment horizontal="left" vertical="center" wrapText="1" indent="1"/>
    </xf>
    <xf numFmtId="175" fontId="52" fillId="0" borderId="26" xfId="0" applyNumberFormat="1" applyFont="1" applyBorder="1" applyAlignment="1">
      <alignment horizontal="right" vertical="center"/>
    </xf>
    <xf numFmtId="0" fontId="52" fillId="0" borderId="31" xfId="0" applyFont="1" applyBorder="1" applyAlignment="1">
      <alignment horizontal="left" vertical="center" wrapText="1"/>
    </xf>
    <xf numFmtId="4" fontId="52" fillId="0" borderId="0" xfId="0" applyNumberFormat="1" applyFont="1" applyAlignment="1">
      <alignment horizontal="right" vertical="center"/>
    </xf>
    <xf numFmtId="4" fontId="52" fillId="0" borderId="31" xfId="0" applyNumberFormat="1" applyFont="1" applyBorder="1" applyAlignment="1">
      <alignment horizontal="right" vertical="center"/>
    </xf>
    <xf numFmtId="175" fontId="44" fillId="0" borderId="0" xfId="0" applyNumberFormat="1" applyFont="1" applyAlignment="1">
      <alignment horizontal="right" vertical="center"/>
    </xf>
    <xf numFmtId="175" fontId="52" fillId="31" borderId="31" xfId="0" applyNumberFormat="1" applyFont="1" applyFill="1" applyBorder="1" applyAlignment="1">
      <alignment horizontal="right" vertical="center"/>
    </xf>
    <xf numFmtId="0" fontId="52" fillId="29" borderId="9" xfId="0" applyFont="1" applyFill="1" applyBorder="1" applyAlignment="1">
      <alignment horizontal="left" vertical="center" wrapText="1" indent="1"/>
    </xf>
    <xf numFmtId="175" fontId="52" fillId="29" borderId="31" xfId="0" applyNumberFormat="1" applyFont="1" applyFill="1" applyBorder="1" applyAlignment="1">
      <alignment horizontal="right" vertical="center"/>
    </xf>
    <xf numFmtId="0" fontId="52" fillId="0" borderId="17" xfId="0" applyFont="1" applyBorder="1" applyAlignment="1">
      <alignment horizontal="left" vertical="center" wrapText="1" indent="1"/>
    </xf>
    <xf numFmtId="0" fontId="52" fillId="0" borderId="21" xfId="0" applyFont="1" applyBorder="1" applyAlignment="1">
      <alignment horizontal="left" vertical="center" wrapText="1"/>
    </xf>
    <xf numFmtId="0" fontId="52" fillId="29" borderId="9" xfId="0" applyFont="1" applyFill="1" applyBorder="1" applyAlignment="1">
      <alignment horizontal="left" vertical="center" wrapText="1"/>
    </xf>
    <xf numFmtId="0" fontId="79" fillId="0" borderId="0" xfId="0" applyFont="1" applyAlignment="1">
      <alignment horizontal="center"/>
    </xf>
    <xf numFmtId="0" fontId="52" fillId="0" borderId="0" xfId="0" applyFont="1" applyAlignment="1">
      <alignment horizontal="left" vertical="center" wrapText="1"/>
    </xf>
    <xf numFmtId="176" fontId="52" fillId="0" borderId="17" xfId="1" applyNumberFormat="1" applyFont="1" applyBorder="1"/>
    <xf numFmtId="176" fontId="52" fillId="0" borderId="9" xfId="1" applyNumberFormat="1" applyFont="1" applyBorder="1"/>
    <xf numFmtId="3" fontId="52" fillId="0" borderId="18" xfId="0" applyNumberFormat="1" applyFont="1" applyBorder="1" applyAlignment="1">
      <alignment horizontal="right" vertical="center"/>
    </xf>
    <xf numFmtId="3" fontId="52" fillId="0" borderId="43" xfId="0" applyNumberFormat="1" applyFont="1" applyBorder="1" applyAlignment="1">
      <alignment horizontal="right" vertical="center"/>
    </xf>
    <xf numFmtId="177" fontId="52" fillId="0" borderId="31" xfId="0" applyNumberFormat="1" applyFont="1" applyBorder="1" applyAlignment="1">
      <alignment horizontal="right" vertical="center"/>
    </xf>
    <xf numFmtId="179" fontId="52" fillId="0" borderId="0" xfId="0" applyNumberFormat="1" applyFont="1" applyAlignment="1">
      <alignment horizontal="right" vertical="center"/>
    </xf>
    <xf numFmtId="173" fontId="52" fillId="0" borderId="31" xfId="0" applyNumberFormat="1" applyFont="1" applyBorder="1" applyAlignment="1">
      <alignment horizontal="right" vertical="center"/>
    </xf>
    <xf numFmtId="173" fontId="52" fillId="0" borderId="0" xfId="0" applyNumberFormat="1" applyFont="1" applyAlignment="1">
      <alignment horizontal="right" vertical="center"/>
    </xf>
    <xf numFmtId="175" fontId="52" fillId="0" borderId="31" xfId="0" applyNumberFormat="1" applyFont="1" applyBorder="1" applyAlignment="1">
      <alignment horizontal="left" vertical="center"/>
    </xf>
    <xf numFmtId="175" fontId="52" fillId="0" borderId="21" xfId="0" applyNumberFormat="1" applyFont="1" applyBorder="1" applyAlignment="1">
      <alignment horizontal="left" vertical="center"/>
    </xf>
    <xf numFmtId="175" fontId="52" fillId="0" borderId="21" xfId="0" applyNumberFormat="1" applyFont="1" applyBorder="1" applyAlignment="1">
      <alignment horizontal="right" vertical="center"/>
    </xf>
    <xf numFmtId="175" fontId="52" fillId="29" borderId="31" xfId="0" applyNumberFormat="1" applyFont="1" applyFill="1" applyBorder="1" applyAlignment="1">
      <alignment horizontal="left" vertical="center"/>
    </xf>
    <xf numFmtId="3" fontId="52" fillId="29" borderId="31" xfId="0" applyNumberFormat="1" applyFont="1" applyFill="1" applyBorder="1" applyAlignment="1">
      <alignment horizontal="right" vertical="center"/>
    </xf>
    <xf numFmtId="175" fontId="52" fillId="29" borderId="21" xfId="0" applyNumberFormat="1" applyFont="1" applyFill="1" applyBorder="1" applyAlignment="1">
      <alignment horizontal="left" vertical="center"/>
    </xf>
    <xf numFmtId="175" fontId="52" fillId="29" borderId="21" xfId="0" applyNumberFormat="1" applyFont="1" applyFill="1" applyBorder="1" applyAlignment="1">
      <alignment horizontal="right" vertical="center"/>
    </xf>
    <xf numFmtId="175" fontId="52" fillId="0" borderId="0" xfId="0" applyNumberFormat="1" applyFont="1" applyAlignment="1">
      <alignment horizontal="left" vertical="center"/>
    </xf>
    <xf numFmtId="175" fontId="52" fillId="0" borderId="16" xfId="0" applyNumberFormat="1" applyFont="1" applyBorder="1" applyAlignment="1">
      <alignment horizontal="left" vertical="center"/>
    </xf>
    <xf numFmtId="175" fontId="52" fillId="0" borderId="16" xfId="0" applyNumberFormat="1" applyFont="1" applyBorder="1" applyAlignment="1">
      <alignment horizontal="right" vertical="center"/>
    </xf>
    <xf numFmtId="175" fontId="52" fillId="0" borderId="17" xfId="0" applyNumberFormat="1" applyFont="1" applyBorder="1" applyAlignment="1">
      <alignment horizontal="left" vertical="center"/>
    </xf>
    <xf numFmtId="3" fontId="52" fillId="0" borderId="16" xfId="0" applyNumberFormat="1" applyFont="1" applyBorder="1" applyAlignment="1">
      <alignment horizontal="right" vertical="center"/>
    </xf>
    <xf numFmtId="175" fontId="52" fillId="29" borderId="0" xfId="0" applyNumberFormat="1" applyFont="1" applyFill="1" applyAlignment="1">
      <alignment horizontal="left" vertical="center"/>
    </xf>
    <xf numFmtId="3" fontId="52" fillId="29" borderId="16" xfId="0" applyNumberFormat="1" applyFont="1" applyFill="1" applyBorder="1" applyAlignment="1">
      <alignment horizontal="right" vertical="center"/>
    </xf>
    <xf numFmtId="175" fontId="52" fillId="29" borderId="16" xfId="0" applyNumberFormat="1" applyFont="1" applyFill="1" applyBorder="1" applyAlignment="1">
      <alignment horizontal="right" vertical="center"/>
    </xf>
    <xf numFmtId="0" fontId="52" fillId="29" borderId="17" xfId="0" applyFont="1" applyFill="1" applyBorder="1" applyAlignment="1">
      <alignment horizontal="left" vertical="center" wrapText="1" indent="1"/>
    </xf>
    <xf numFmtId="3" fontId="43" fillId="29" borderId="31" xfId="0" applyNumberFormat="1" applyFont="1" applyFill="1" applyBorder="1" applyAlignment="1">
      <alignment horizontal="right" vertical="center"/>
    </xf>
    <xf numFmtId="175" fontId="43" fillId="29" borderId="31" xfId="0" applyNumberFormat="1" applyFont="1" applyFill="1" applyBorder="1" applyAlignment="1">
      <alignment horizontal="right" vertical="center"/>
    </xf>
    <xf numFmtId="175" fontId="43" fillId="29" borderId="21" xfId="0" applyNumberFormat="1" applyFont="1" applyFill="1" applyBorder="1" applyAlignment="1">
      <alignment horizontal="right" vertical="center"/>
    </xf>
    <xf numFmtId="3" fontId="52" fillId="15" borderId="31" xfId="0" applyNumberFormat="1" applyFont="1" applyFill="1" applyBorder="1" applyAlignment="1">
      <alignment horizontal="right" vertical="center"/>
    </xf>
    <xf numFmtId="0" fontId="52" fillId="0" borderId="31" xfId="0" applyFont="1" applyBorder="1" applyAlignment="1">
      <alignment vertical="center"/>
    </xf>
    <xf numFmtId="0" fontId="52" fillId="0" borderId="0" xfId="4" applyFont="1" applyBorder="1" applyAlignment="1">
      <alignment horizontal="left"/>
    </xf>
    <xf numFmtId="175" fontId="43" fillId="0" borderId="9" xfId="0" applyNumberFormat="1" applyFont="1" applyBorder="1" applyAlignment="1">
      <alignment horizontal="right"/>
    </xf>
    <xf numFmtId="2" fontId="50" fillId="0" borderId="31" xfId="0" applyNumberFormat="1" applyFont="1" applyBorder="1" applyAlignment="1">
      <alignment vertical="center"/>
    </xf>
    <xf numFmtId="2" fontId="48" fillId="0" borderId="0" xfId="0" applyNumberFormat="1" applyFont="1"/>
    <xf numFmtId="1" fontId="48" fillId="0" borderId="0" xfId="0" applyNumberFormat="1" applyFont="1" applyAlignment="1">
      <alignment horizontal="center"/>
    </xf>
    <xf numFmtId="2" fontId="50" fillId="46" borderId="0" xfId="0" applyNumberFormat="1" applyFont="1" applyFill="1" applyAlignment="1">
      <alignment vertical="center"/>
    </xf>
    <xf numFmtId="2" fontId="72" fillId="46" borderId="0" xfId="0" applyNumberFormat="1" applyFont="1" applyFill="1"/>
    <xf numFmtId="2" fontId="50" fillId="46" borderId="0" xfId="0" applyNumberFormat="1" applyFont="1" applyFill="1" applyAlignment="1">
      <alignment vertical="center" wrapText="1"/>
    </xf>
    <xf numFmtId="2" fontId="52" fillId="47" borderId="0" xfId="0" applyNumberFormat="1" applyFont="1" applyFill="1" applyAlignment="1">
      <alignment horizontal="left" vertical="center" wrapText="1" indent="1"/>
    </xf>
    <xf numFmtId="2" fontId="69" fillId="47" borderId="0" xfId="0" applyNumberFormat="1" applyFont="1" applyFill="1"/>
    <xf numFmtId="0" fontId="48" fillId="48" borderId="21" xfId="0" applyFont="1" applyFill="1" applyBorder="1" applyAlignment="1">
      <alignment vertical="center" readingOrder="1"/>
    </xf>
    <xf numFmtId="2" fontId="60" fillId="48" borderId="21" xfId="0" applyNumberFormat="1" applyFont="1" applyFill="1" applyBorder="1"/>
    <xf numFmtId="2" fontId="52" fillId="0" borderId="0" xfId="0" applyNumberFormat="1" applyFont="1" applyAlignment="1">
      <alignment horizontal="left" vertical="center" wrapText="1" indent="1"/>
    </xf>
    <xf numFmtId="2" fontId="52" fillId="0" borderId="0" xfId="0" applyNumberFormat="1" applyFont="1" applyAlignment="1">
      <alignment horizontal="right" vertical="center"/>
    </xf>
    <xf numFmtId="2" fontId="50" fillId="0" borderId="0" xfId="0" applyNumberFormat="1" applyFont="1"/>
    <xf numFmtId="168" fontId="69" fillId="0" borderId="0" xfId="0" applyNumberFormat="1" applyFont="1"/>
    <xf numFmtId="2" fontId="69" fillId="0" borderId="0" xfId="0" applyNumberFormat="1" applyFont="1"/>
    <xf numFmtId="0" fontId="52" fillId="0" borderId="0" xfId="0" applyFont="1" applyAlignment="1">
      <alignment horizontal="left" vertical="center" indent="1" readingOrder="1"/>
    </xf>
    <xf numFmtId="2" fontId="52" fillId="0" borderId="0" xfId="9" applyNumberFormat="1" applyFont="1" applyFill="1" applyBorder="1"/>
    <xf numFmtId="0" fontId="48" fillId="49" borderId="21" xfId="0" applyFont="1" applyFill="1" applyBorder="1" applyAlignment="1">
      <alignment vertical="center" readingOrder="1"/>
    </xf>
    <xf numFmtId="2" fontId="60" fillId="49" borderId="21" xfId="0" applyNumberFormat="1" applyFont="1" applyFill="1" applyBorder="1"/>
    <xf numFmtId="0" fontId="80" fillId="50" borderId="21" xfId="0" applyFont="1" applyFill="1" applyBorder="1"/>
    <xf numFmtId="2" fontId="81" fillId="50" borderId="21" xfId="0" applyNumberFormat="1" applyFont="1" applyFill="1" applyBorder="1"/>
    <xf numFmtId="2" fontId="43" fillId="0" borderId="0" xfId="0" applyNumberFormat="1" applyFont="1" applyAlignment="1">
      <alignment horizontal="right"/>
    </xf>
    <xf numFmtId="2" fontId="52" fillId="0" borderId="1" xfId="0" applyNumberFormat="1" applyFont="1" applyBorder="1" applyAlignment="1">
      <alignment horizontal="right"/>
    </xf>
    <xf numFmtId="2" fontId="43" fillId="0" borderId="1" xfId="0" applyNumberFormat="1" applyFont="1" applyBorder="1" applyAlignment="1">
      <alignment horizontal="right"/>
    </xf>
    <xf numFmtId="0" fontId="50" fillId="22" borderId="4" xfId="0" applyFont="1" applyFill="1" applyBorder="1"/>
    <xf numFmtId="3" fontId="50" fillId="22" borderId="5" xfId="1" applyNumberFormat="1" applyFont="1" applyFill="1" applyBorder="1"/>
    <xf numFmtId="3" fontId="50" fillId="22" borderId="0" xfId="1" applyNumberFormat="1" applyFont="1" applyFill="1" applyBorder="1"/>
    <xf numFmtId="0" fontId="49" fillId="0" borderId="15" xfId="0" applyFont="1" applyBorder="1"/>
    <xf numFmtId="175" fontId="43" fillId="0" borderId="0" xfId="0" applyNumberFormat="1" applyFont="1" applyAlignment="1">
      <alignment horizontal="right"/>
    </xf>
    <xf numFmtId="175" fontId="43" fillId="0" borderId="27" xfId="0" applyNumberFormat="1" applyFont="1" applyBorder="1" applyAlignment="1">
      <alignment horizontal="right"/>
    </xf>
    <xf numFmtId="0" fontId="52" fillId="0" borderId="34" xfId="0" applyFont="1" applyBorder="1" applyAlignment="1">
      <alignment horizontal="left" vertical="center" wrapText="1"/>
    </xf>
    <xf numFmtId="0" fontId="52" fillId="0" borderId="10" xfId="0" applyFont="1" applyBorder="1" applyAlignment="1">
      <alignment horizontal="left" vertical="center" wrapText="1"/>
    </xf>
    <xf numFmtId="0" fontId="52" fillId="0" borderId="36" xfId="0" applyFont="1" applyBorder="1" applyAlignment="1">
      <alignment horizontal="left" vertical="center" wrapText="1"/>
    </xf>
    <xf numFmtId="14" fontId="52" fillId="0" borderId="34" xfId="0" applyNumberFormat="1" applyFont="1" applyBorder="1" applyAlignment="1">
      <alignment horizontal="left" vertical="center" wrapText="1"/>
    </xf>
    <xf numFmtId="0" fontId="52" fillId="0" borderId="35" xfId="0" applyFont="1" applyBorder="1" applyAlignment="1">
      <alignment horizontal="left" vertical="center" wrapText="1"/>
    </xf>
    <xf numFmtId="175" fontId="43" fillId="0" borderId="0" xfId="0" applyNumberFormat="1" applyFont="1" applyAlignment="1">
      <alignment horizontal="right" vertical="center"/>
    </xf>
    <xf numFmtId="173" fontId="43" fillId="0" borderId="0" xfId="0" applyNumberFormat="1" applyFont="1" applyAlignment="1">
      <alignment horizontal="right" vertical="center"/>
    </xf>
    <xf numFmtId="165" fontId="43" fillId="0" borderId="27" xfId="0" applyNumberFormat="1" applyFont="1" applyBorder="1"/>
    <xf numFmtId="0" fontId="50" fillId="51" borderId="0" xfId="0" applyFont="1" applyFill="1" applyProtection="1">
      <protection locked="0"/>
    </xf>
    <xf numFmtId="0" fontId="48" fillId="0" borderId="18" xfId="0" applyFont="1" applyBorder="1" applyAlignment="1">
      <alignment horizontal="center"/>
    </xf>
    <xf numFmtId="0" fontId="50" fillId="15" borderId="0" xfId="0" applyFont="1" applyFill="1" applyProtection="1">
      <protection locked="0"/>
    </xf>
    <xf numFmtId="175" fontId="50" fillId="0" borderId="0" xfId="0" applyNumberFormat="1" applyFont="1" applyAlignment="1">
      <alignment horizontal="right" vertical="center"/>
    </xf>
    <xf numFmtId="0" fontId="48" fillId="32" borderId="0" xfId="0" applyFont="1" applyFill="1" applyAlignment="1">
      <alignment horizontal="left"/>
    </xf>
    <xf numFmtId="0" fontId="48" fillId="32" borderId="0" xfId="0" applyFont="1" applyFill="1" applyAlignment="1">
      <alignment horizontal="center"/>
    </xf>
    <xf numFmtId="1" fontId="52" fillId="0" borderId="0" xfId="0" applyNumberFormat="1" applyFont="1" applyAlignment="1">
      <alignment horizontal="right"/>
    </xf>
    <xf numFmtId="165" fontId="52" fillId="0" borderId="0" xfId="0" applyNumberFormat="1" applyFont="1"/>
    <xf numFmtId="0" fontId="50" fillId="0" borderId="0" xfId="0" applyFont="1" applyAlignment="1">
      <alignment horizontal="left" vertical="center" wrapText="1"/>
    </xf>
    <xf numFmtId="0" fontId="52" fillId="0" borderId="0" xfId="0" applyFont="1" applyAlignment="1">
      <alignment horizontal="left" vertical="center"/>
    </xf>
    <xf numFmtId="0" fontId="52" fillId="0" borderId="10" xfId="0" applyFont="1" applyBorder="1" applyAlignment="1">
      <alignment vertical="center" wrapText="1"/>
    </xf>
    <xf numFmtId="0" fontId="52" fillId="0" borderId="36" xfId="0" applyFont="1" applyBorder="1" applyAlignment="1">
      <alignment vertical="center" wrapText="1"/>
    </xf>
    <xf numFmtId="0" fontId="52" fillId="0" borderId="34" xfId="0" applyFont="1" applyBorder="1" applyAlignment="1">
      <alignment vertical="center" wrapText="1"/>
    </xf>
    <xf numFmtId="2" fontId="49" fillId="0" borderId="0" xfId="0" applyNumberFormat="1" applyFont="1"/>
    <xf numFmtId="0" fontId="43" fillId="13" borderId="0" xfId="0" applyFont="1" applyFill="1"/>
    <xf numFmtId="165" fontId="43" fillId="13" borderId="0" xfId="0" applyNumberFormat="1" applyFont="1" applyFill="1"/>
    <xf numFmtId="165" fontId="52" fillId="13" borderId="0" xfId="0" applyNumberFormat="1" applyFont="1" applyFill="1"/>
    <xf numFmtId="164" fontId="43" fillId="0" borderId="27" xfId="0" applyNumberFormat="1" applyFont="1" applyBorder="1"/>
    <xf numFmtId="164" fontId="52" fillId="0" borderId="27" xfId="0" applyNumberFormat="1" applyFont="1" applyBorder="1"/>
    <xf numFmtId="164" fontId="43" fillId="0" borderId="16" xfId="0" applyNumberFormat="1" applyFont="1" applyBorder="1"/>
    <xf numFmtId="164" fontId="43" fillId="0" borderId="34" xfId="0" applyNumberFormat="1" applyFont="1" applyBorder="1"/>
    <xf numFmtId="164" fontId="52" fillId="0" borderId="16" xfId="0" applyNumberFormat="1" applyFont="1" applyBorder="1"/>
    <xf numFmtId="164" fontId="52" fillId="0" borderId="0" xfId="0" applyNumberFormat="1" applyFont="1"/>
    <xf numFmtId="164" fontId="52" fillId="0" borderId="18" xfId="0" applyNumberFormat="1" applyFont="1" applyBorder="1"/>
    <xf numFmtId="43" fontId="49" fillId="0" borderId="0" xfId="1" applyFont="1"/>
    <xf numFmtId="0" fontId="43" fillId="32" borderId="0" xfId="0" applyFont="1" applyFill="1"/>
    <xf numFmtId="0" fontId="53" fillId="32" borderId="0" xfId="0" applyFont="1" applyFill="1"/>
    <xf numFmtId="0" fontId="50" fillId="0" borderId="9" xfId="0" applyFont="1" applyBorder="1" applyAlignment="1">
      <alignment horizontal="left" vertical="center" wrapText="1"/>
    </xf>
    <xf numFmtId="175" fontId="50" fillId="0" borderId="21" xfId="0" applyNumberFormat="1" applyFont="1" applyBorder="1" applyAlignment="1">
      <alignment horizontal="right" vertical="center"/>
    </xf>
    <xf numFmtId="0" fontId="50" fillId="0" borderId="9" xfId="0" applyFont="1" applyBorder="1"/>
    <xf numFmtId="175" fontId="50" fillId="0" borderId="27" xfId="0" applyNumberFormat="1" applyFont="1" applyBorder="1" applyAlignment="1">
      <alignment horizontal="right" vertical="center"/>
    </xf>
    <xf numFmtId="175" fontId="60" fillId="0" borderId="0" xfId="0" applyNumberFormat="1" applyFont="1" applyAlignment="1">
      <alignment horizontal="left" vertical="center"/>
    </xf>
    <xf numFmtId="175" fontId="55" fillId="0" borderId="0" xfId="0" applyNumberFormat="1" applyFont="1" applyAlignment="1">
      <alignment horizontal="right" vertical="center"/>
    </xf>
    <xf numFmtId="0" fontId="52" fillId="0" borderId="0" xfId="0" applyFont="1" applyAlignment="1">
      <alignment horizontal="left" vertical="center" wrapText="1" indent="1"/>
    </xf>
    <xf numFmtId="0" fontId="52" fillId="0" borderId="10" xfId="0" applyFont="1" applyBorder="1" applyAlignment="1">
      <alignment horizontal="left" vertical="center" wrapText="1" indent="1"/>
    </xf>
    <xf numFmtId="0" fontId="52" fillId="0" borderId="36" xfId="0" applyFont="1" applyBorder="1" applyAlignment="1">
      <alignment horizontal="left" vertical="center" wrapText="1" indent="1"/>
    </xf>
    <xf numFmtId="0" fontId="44" fillId="27" borderId="0" xfId="0" applyFont="1" applyFill="1"/>
    <xf numFmtId="4" fontId="52" fillId="0" borderId="27" xfId="0" applyNumberFormat="1" applyFont="1" applyBorder="1" applyAlignment="1">
      <alignment horizontal="right" vertical="center"/>
    </xf>
    <xf numFmtId="0" fontId="52" fillId="45" borderId="10" xfId="0" applyFont="1" applyFill="1" applyBorder="1" applyAlignment="1">
      <alignment horizontal="left" vertical="center" wrapText="1"/>
    </xf>
    <xf numFmtId="0" fontId="52" fillId="45" borderId="10" xfId="0" applyFont="1" applyFill="1" applyBorder="1" applyAlignment="1">
      <alignment horizontal="left" vertical="center" wrapText="1" indent="1"/>
    </xf>
    <xf numFmtId="0" fontId="52" fillId="0" borderId="31" xfId="0" applyFont="1" applyBorder="1" applyAlignment="1">
      <alignment horizontal="left" vertical="center" wrapText="1" indent="1"/>
    </xf>
    <xf numFmtId="0" fontId="52" fillId="0" borderId="17" xfId="0" applyFont="1" applyBorder="1" applyAlignment="1">
      <alignment horizontal="left" vertical="center" wrapText="1"/>
    </xf>
    <xf numFmtId="0" fontId="52" fillId="29" borderId="10" xfId="0" applyFont="1" applyFill="1" applyBorder="1" applyAlignment="1">
      <alignment horizontal="left" vertical="center" wrapText="1" indent="1"/>
    </xf>
    <xf numFmtId="0" fontId="52" fillId="29" borderId="36" xfId="0" applyFont="1" applyFill="1" applyBorder="1" applyAlignment="1">
      <alignment horizontal="left" vertical="center" wrapText="1" indent="1"/>
    </xf>
    <xf numFmtId="0" fontId="52" fillId="11" borderId="31" xfId="0" applyFont="1" applyFill="1" applyBorder="1" applyAlignment="1">
      <alignment horizontal="left" vertical="center" wrapText="1" indent="1"/>
    </xf>
    <xf numFmtId="175" fontId="52" fillId="11" borderId="31" xfId="0" applyNumberFormat="1" applyFont="1" applyFill="1" applyBorder="1" applyAlignment="1">
      <alignment horizontal="right" vertical="center"/>
    </xf>
    <xf numFmtId="175" fontId="52" fillId="11" borderId="0" xfId="0" applyNumberFormat="1" applyFont="1" applyFill="1" applyAlignment="1">
      <alignment horizontal="right" vertical="center"/>
    </xf>
    <xf numFmtId="0" fontId="52" fillId="29" borderId="10" xfId="0" applyFont="1" applyFill="1" applyBorder="1" applyAlignment="1">
      <alignment horizontal="left" vertical="center" wrapText="1"/>
    </xf>
    <xf numFmtId="0" fontId="52" fillId="29" borderId="36" xfId="0" applyFont="1" applyFill="1" applyBorder="1" applyAlignment="1">
      <alignment horizontal="left" vertical="center" wrapText="1"/>
    </xf>
    <xf numFmtId="0" fontId="52" fillId="20" borderId="31" xfId="0" applyFont="1" applyFill="1" applyBorder="1" applyAlignment="1">
      <alignment horizontal="left" vertical="center" wrapText="1"/>
    </xf>
    <xf numFmtId="176" fontId="52" fillId="0" borderId="27" xfId="1" applyNumberFormat="1" applyFont="1" applyBorder="1"/>
    <xf numFmtId="176" fontId="52" fillId="0" borderId="39" xfId="1" applyNumberFormat="1" applyFont="1" applyBorder="1"/>
    <xf numFmtId="0" fontId="50" fillId="0" borderId="65" xfId="0" applyFont="1" applyBorder="1" applyAlignment="1">
      <alignment horizontal="left" vertical="center" wrapText="1"/>
    </xf>
    <xf numFmtId="0" fontId="52" fillId="45" borderId="9" xfId="0" applyFont="1" applyFill="1" applyBorder="1" applyAlignment="1">
      <alignment horizontal="left" vertical="center" wrapText="1"/>
    </xf>
    <xf numFmtId="0" fontId="52" fillId="45" borderId="9" xfId="0" applyFont="1" applyFill="1" applyBorder="1" applyAlignment="1">
      <alignment horizontal="left" vertical="center" wrapText="1" indent="1"/>
    </xf>
    <xf numFmtId="176" fontId="52" fillId="0" borderId="0" xfId="1" applyNumberFormat="1" applyFont="1" applyBorder="1"/>
    <xf numFmtId="0" fontId="52" fillId="45" borderId="63" xfId="0" applyFont="1" applyFill="1" applyBorder="1" applyAlignment="1">
      <alignment horizontal="left" vertical="center" wrapText="1"/>
    </xf>
    <xf numFmtId="0" fontId="93" fillId="28" borderId="31" xfId="0" applyFont="1" applyFill="1" applyBorder="1" applyAlignment="1">
      <alignment horizontal="left" vertical="center" wrapText="1"/>
    </xf>
    <xf numFmtId="0" fontId="52" fillId="0" borderId="63" xfId="0" applyFont="1" applyBorder="1" applyAlignment="1">
      <alignment horizontal="left" vertical="center" wrapText="1"/>
    </xf>
    <xf numFmtId="175" fontId="52" fillId="29" borderId="9" xfId="0" applyNumberFormat="1" applyFont="1" applyFill="1" applyBorder="1" applyAlignment="1">
      <alignment horizontal="right" vertical="center"/>
    </xf>
    <xf numFmtId="0" fontId="52" fillId="18" borderId="4" xfId="0" applyFont="1" applyFill="1" applyBorder="1"/>
    <xf numFmtId="166" fontId="52" fillId="18" borderId="0" xfId="1" applyNumberFormat="1" applyFont="1" applyFill="1" applyBorder="1"/>
    <xf numFmtId="0" fontId="43" fillId="0" borderId="0" xfId="0" applyFont="1" applyAlignment="1">
      <alignment horizontal="left" indent="2"/>
    </xf>
    <xf numFmtId="166" fontId="52" fillId="0" borderId="5" xfId="1" applyNumberFormat="1" applyFont="1" applyFill="1" applyBorder="1"/>
    <xf numFmtId="166" fontId="52" fillId="0" borderId="13" xfId="2" applyNumberFormat="1" applyFont="1" applyFill="1" applyBorder="1"/>
    <xf numFmtId="166" fontId="52" fillId="18" borderId="5" xfId="1" applyNumberFormat="1" applyFont="1" applyFill="1" applyBorder="1"/>
    <xf numFmtId="166" fontId="52" fillId="0" borderId="0" xfId="1" applyNumberFormat="1" applyFont="1" applyBorder="1"/>
    <xf numFmtId="166" fontId="52" fillId="0" borderId="19" xfId="2" applyNumberFormat="1" applyFont="1" applyFill="1" applyBorder="1"/>
    <xf numFmtId="166" fontId="52" fillId="0" borderId="1" xfId="1" applyNumberFormat="1" applyFont="1" applyBorder="1"/>
    <xf numFmtId="0" fontId="52" fillId="0" borderId="0" xfId="0" quotePrefix="1" applyFont="1"/>
    <xf numFmtId="166" fontId="52" fillId="0" borderId="51" xfId="2" applyNumberFormat="1" applyFont="1" applyFill="1" applyBorder="1" applyAlignment="1">
      <alignment horizontal="right"/>
    </xf>
    <xf numFmtId="177" fontId="52" fillId="0" borderId="0" xfId="1" applyNumberFormat="1" applyFont="1" applyFill="1" applyBorder="1"/>
    <xf numFmtId="169" fontId="50" fillId="0" borderId="0" xfId="1" applyNumberFormat="1" applyFont="1" applyFill="1" applyBorder="1" applyAlignment="1">
      <alignment horizontal="right"/>
    </xf>
    <xf numFmtId="166" fontId="52" fillId="0" borderId="21" xfId="5" applyNumberFormat="1" applyFont="1" applyBorder="1"/>
    <xf numFmtId="166" fontId="52" fillId="0" borderId="39" xfId="5" applyNumberFormat="1" applyFont="1" applyBorder="1"/>
    <xf numFmtId="166" fontId="52" fillId="0" borderId="31" xfId="5" applyNumberFormat="1" applyFont="1" applyBorder="1"/>
    <xf numFmtId="166" fontId="52" fillId="0" borderId="17" xfId="1" applyNumberFormat="1" applyFont="1" applyFill="1" applyBorder="1" applyAlignment="1">
      <alignment horizontal="right"/>
    </xf>
    <xf numFmtId="166" fontId="52" fillId="0" borderId="21" xfId="1" applyNumberFormat="1" applyFont="1" applyFill="1" applyBorder="1" applyAlignment="1">
      <alignment horizontal="right"/>
    </xf>
    <xf numFmtId="166" fontId="52" fillId="0" borderId="21" xfId="0" applyNumberFormat="1" applyFont="1" applyBorder="1"/>
    <xf numFmtId="166" fontId="52" fillId="0" borderId="31" xfId="5" applyNumberFormat="1" applyFont="1" applyBorder="1" applyAlignment="1">
      <alignment vertical="center"/>
    </xf>
    <xf numFmtId="184" fontId="52" fillId="0" borderId="16" xfId="1" applyNumberFormat="1" applyFont="1" applyFill="1" applyBorder="1"/>
    <xf numFmtId="184" fontId="52" fillId="0" borderId="16" xfId="2" applyNumberFormat="1" applyFont="1" applyFill="1" applyBorder="1"/>
    <xf numFmtId="184" fontId="43" fillId="0" borderId="16" xfId="2" applyNumberFormat="1" applyFont="1" applyFill="1" applyBorder="1"/>
    <xf numFmtId="0" fontId="52" fillId="0" borderId="36" xfId="0" applyFont="1" applyBorder="1"/>
    <xf numFmtId="0" fontId="52" fillId="0" borderId="35" xfId="0" applyFont="1" applyBorder="1" applyAlignment="1">
      <alignment horizontal="left"/>
    </xf>
    <xf numFmtId="184" fontId="52" fillId="0" borderId="0" xfId="1" applyNumberFormat="1" applyFont="1" applyFill="1" applyBorder="1"/>
    <xf numFmtId="184" fontId="52" fillId="0" borderId="0" xfId="2" applyNumberFormat="1" applyFont="1" applyFill="1" applyBorder="1"/>
    <xf numFmtId="184" fontId="43" fillId="0" borderId="0" xfId="2" applyNumberFormat="1" applyFont="1" applyFill="1" applyBorder="1"/>
    <xf numFmtId="0" fontId="52" fillId="0" borderId="0" xfId="1" applyNumberFormat="1" applyFont="1" applyFill="1" applyBorder="1" applyAlignment="1">
      <alignment horizontal="left"/>
    </xf>
    <xf numFmtId="4" fontId="52" fillId="0" borderId="0" xfId="0" applyNumberFormat="1" applyFont="1" applyAlignment="1">
      <alignment horizontal="center"/>
    </xf>
    <xf numFmtId="0" fontId="52" fillId="0" borderId="9" xfId="0" applyFont="1" applyBorder="1" applyAlignment="1">
      <alignment horizontal="left" wrapText="1"/>
    </xf>
    <xf numFmtId="0" fontId="52" fillId="0" borderId="18" xfId="0" applyFont="1" applyBorder="1" applyAlignment="1">
      <alignment horizontal="left" wrapText="1"/>
    </xf>
    <xf numFmtId="3" fontId="52" fillId="26" borderId="9" xfId="0" applyNumberFormat="1" applyFont="1" applyFill="1" applyBorder="1"/>
    <xf numFmtId="4" fontId="52" fillId="0" borderId="9" xfId="0" applyNumberFormat="1" applyFont="1" applyBorder="1"/>
    <xf numFmtId="0" fontId="50" fillId="0" borderId="49" xfId="0" applyFont="1" applyBorder="1" applyAlignment="1">
      <alignment horizontal="left" wrapText="1"/>
    </xf>
    <xf numFmtId="3" fontId="50" fillId="0" borderId="44" xfId="0" applyNumberFormat="1" applyFont="1" applyBorder="1"/>
    <xf numFmtId="0" fontId="52" fillId="0" borderId="32" xfId="0" applyFont="1" applyBorder="1" applyAlignment="1">
      <alignment horizontal="left" wrapText="1"/>
    </xf>
    <xf numFmtId="3" fontId="43" fillId="0" borderId="9" xfId="0" applyNumberFormat="1" applyFont="1" applyBorder="1"/>
    <xf numFmtId="4" fontId="52" fillId="0" borderId="36" xfId="0" applyNumberFormat="1" applyFont="1" applyBorder="1"/>
    <xf numFmtId="3" fontId="52" fillId="0" borderId="49" xfId="0" applyNumberFormat="1" applyFont="1" applyBorder="1"/>
    <xf numFmtId="3" fontId="50" fillId="0" borderId="49" xfId="0" applyNumberFormat="1" applyFont="1" applyBorder="1"/>
    <xf numFmtId="4" fontId="52" fillId="0" borderId="32" xfId="0" applyNumberFormat="1" applyFont="1" applyBorder="1"/>
    <xf numFmtId="3" fontId="50" fillId="0" borderId="0" xfId="0" applyNumberFormat="1" applyFont="1"/>
    <xf numFmtId="0" fontId="52" fillId="0" borderId="0" xfId="0" applyFont="1" applyAlignment="1">
      <alignment horizontal="left" wrapText="1"/>
    </xf>
    <xf numFmtId="179" fontId="52" fillId="0" borderId="9" xfId="0" applyNumberFormat="1" applyFont="1" applyBorder="1" applyAlignment="1">
      <alignment horizontal="center"/>
    </xf>
    <xf numFmtId="0" fontId="52" fillId="0" borderId="0" xfId="0" applyFont="1" applyAlignment="1">
      <alignment wrapText="1"/>
    </xf>
    <xf numFmtId="0" fontId="44" fillId="0" borderId="0" xfId="0" applyFont="1" applyAlignment="1">
      <alignment wrapText="1"/>
    </xf>
    <xf numFmtId="0" fontId="97" fillId="0" borderId="0" xfId="0" applyFont="1"/>
    <xf numFmtId="0" fontId="52" fillId="0" borderId="0" xfId="0" applyFont="1" applyAlignment="1">
      <alignment horizontal="center" wrapText="1"/>
    </xf>
    <xf numFmtId="0" fontId="48" fillId="44" borderId="67" xfId="0" applyFont="1" applyFill="1" applyBorder="1" applyAlignment="1">
      <alignment horizontal="center"/>
    </xf>
    <xf numFmtId="0" fontId="45" fillId="0" borderId="0" xfId="3" applyFont="1" applyFill="1" applyBorder="1" applyAlignment="1" applyProtection="1">
      <alignment vertical="center"/>
    </xf>
    <xf numFmtId="0" fontId="45" fillId="0" borderId="0" xfId="3" applyFont="1" applyFill="1" applyAlignment="1" applyProtection="1"/>
    <xf numFmtId="0" fontId="52" fillId="0" borderId="0" xfId="3" applyFont="1" applyFill="1" applyAlignment="1" applyProtection="1"/>
    <xf numFmtId="0" fontId="50" fillId="23" borderId="29" xfId="0" applyFont="1" applyFill="1" applyBorder="1"/>
    <xf numFmtId="0" fontId="52" fillId="0" borderId="9" xfId="0" applyFont="1" applyBorder="1" applyAlignment="1">
      <alignment horizontal="left"/>
    </xf>
    <xf numFmtId="173" fontId="43" fillId="0" borderId="9" xfId="0" applyNumberFormat="1" applyFont="1" applyBorder="1"/>
    <xf numFmtId="4" fontId="43" fillId="0" borderId="9" xfId="0" applyNumberFormat="1" applyFont="1" applyBorder="1"/>
    <xf numFmtId="3" fontId="43" fillId="12" borderId="33" xfId="0" applyNumberFormat="1" applyFont="1" applyFill="1" applyBorder="1"/>
    <xf numFmtId="3" fontId="43" fillId="0" borderId="33" xfId="0" applyNumberFormat="1" applyFont="1" applyBorder="1"/>
    <xf numFmtId="3" fontId="43" fillId="0" borderId="32" xfId="0" applyNumberFormat="1" applyFont="1" applyBorder="1"/>
    <xf numFmtId="3" fontId="52" fillId="0" borderId="32" xfId="0" applyNumberFormat="1" applyFont="1" applyBorder="1"/>
    <xf numFmtId="3" fontId="43" fillId="0" borderId="18" xfId="0" applyNumberFormat="1" applyFont="1" applyBorder="1"/>
    <xf numFmtId="0" fontId="53" fillId="0" borderId="0" xfId="0" applyFont="1" applyAlignment="1">
      <alignment horizontal="left"/>
    </xf>
    <xf numFmtId="3" fontId="44" fillId="0" borderId="0" xfId="0" applyNumberFormat="1" applyFont="1"/>
    <xf numFmtId="177" fontId="43" fillId="0" borderId="0" xfId="0" applyNumberFormat="1" applyFont="1"/>
    <xf numFmtId="3" fontId="52" fillId="0" borderId="18" xfId="0" applyNumberFormat="1" applyFont="1" applyBorder="1"/>
    <xf numFmtId="0" fontId="50" fillId="20" borderId="29" xfId="0" applyFont="1" applyFill="1" applyBorder="1"/>
    <xf numFmtId="0" fontId="53" fillId="0" borderId="0" xfId="0" applyFont="1" applyAlignment="1">
      <alignment horizontal="left" wrapText="1"/>
    </xf>
    <xf numFmtId="0" fontId="58" fillId="0" borderId="36" xfId="0" applyFont="1" applyBorder="1"/>
    <xf numFmtId="0" fontId="50" fillId="18" borderId="29" xfId="0" applyFont="1" applyFill="1" applyBorder="1"/>
    <xf numFmtId="4" fontId="43" fillId="0" borderId="0" xfId="0" applyNumberFormat="1" applyFont="1" applyAlignment="1">
      <alignment horizontal="right"/>
    </xf>
    <xf numFmtId="0" fontId="50" fillId="21" borderId="29" xfId="0" applyFont="1" applyFill="1" applyBorder="1"/>
    <xf numFmtId="0" fontId="52" fillId="0" borderId="0" xfId="0" applyFont="1" applyAlignment="1">
      <alignment horizontal="right" wrapText="1"/>
    </xf>
    <xf numFmtId="0" fontId="50" fillId="22" borderId="29" xfId="0" applyFont="1" applyFill="1" applyBorder="1"/>
    <xf numFmtId="0" fontId="49" fillId="16" borderId="9" xfId="0" applyFont="1" applyFill="1" applyBorder="1"/>
    <xf numFmtId="3" fontId="43" fillId="11" borderId="33" xfId="0" applyNumberFormat="1" applyFont="1" applyFill="1" applyBorder="1"/>
    <xf numFmtId="0" fontId="52" fillId="0" borderId="18" xfId="0" applyFont="1" applyBorder="1" applyAlignment="1">
      <alignment wrapText="1"/>
    </xf>
    <xf numFmtId="0" fontId="50" fillId="0" borderId="0" xfId="0" applyFont="1" applyAlignment="1">
      <alignment horizontal="center" wrapText="1"/>
    </xf>
    <xf numFmtId="0" fontId="48" fillId="0" borderId="9" xfId="0" applyFont="1" applyBorder="1"/>
    <xf numFmtId="0" fontId="52" fillId="0" borderId="32" xfId="0" applyFont="1" applyBorder="1" applyAlignment="1">
      <alignment horizontal="left"/>
    </xf>
    <xf numFmtId="175" fontId="43" fillId="0" borderId="32" xfId="0" applyNumberFormat="1" applyFont="1" applyBorder="1"/>
    <xf numFmtId="0" fontId="52" fillId="0" borderId="34" xfId="0" applyFont="1" applyBorder="1" applyAlignment="1">
      <alignment wrapText="1"/>
    </xf>
    <xf numFmtId="0" fontId="52" fillId="0" borderId="33" xfId="0" applyFont="1" applyBorder="1" applyAlignment="1">
      <alignment horizontal="left" wrapText="1"/>
    </xf>
    <xf numFmtId="0" fontId="43" fillId="0" borderId="24" xfId="0" applyFont="1" applyBorder="1"/>
    <xf numFmtId="173" fontId="52" fillId="0" borderId="9" xfId="0" applyNumberFormat="1" applyFont="1" applyBorder="1"/>
    <xf numFmtId="0" fontId="43" fillId="0" borderId="32" xfId="0" applyFont="1" applyBorder="1"/>
    <xf numFmtId="166" fontId="43" fillId="0" borderId="32" xfId="1" applyNumberFormat="1" applyFont="1" applyFill="1" applyBorder="1"/>
    <xf numFmtId="0" fontId="43" fillId="0" borderId="52" xfId="0" applyFont="1" applyBorder="1"/>
    <xf numFmtId="0" fontId="43" fillId="0" borderId="57" xfId="0" applyFont="1" applyBorder="1"/>
    <xf numFmtId="0" fontId="52" fillId="0" borderId="23" xfId="0" applyFont="1" applyBorder="1" applyAlignment="1">
      <alignment horizontal="left" wrapText="1"/>
    </xf>
    <xf numFmtId="0" fontId="43" fillId="0" borderId="54" xfId="0" applyFont="1" applyBorder="1"/>
    <xf numFmtId="3" fontId="43" fillId="0" borderId="62" xfId="0" applyNumberFormat="1" applyFont="1" applyBorder="1"/>
    <xf numFmtId="0" fontId="43" fillId="0" borderId="9" xfId="0" applyFont="1" applyBorder="1" applyAlignment="1">
      <alignment horizontal="left"/>
    </xf>
    <xf numFmtId="0" fontId="52" fillId="0" borderId="69" xfId="0" applyFont="1" applyBorder="1" applyAlignment="1">
      <alignment horizontal="left" wrapText="1"/>
    </xf>
    <xf numFmtId="0" fontId="43" fillId="0" borderId="68" xfId="0" applyFont="1" applyBorder="1"/>
    <xf numFmtId="175" fontId="43" fillId="11" borderId="32" xfId="0" applyNumberFormat="1" applyFont="1" applyFill="1" applyBorder="1"/>
    <xf numFmtId="0" fontId="50" fillId="18" borderId="48" xfId="0" applyFont="1" applyFill="1" applyBorder="1"/>
    <xf numFmtId="0" fontId="52" fillId="0" borderId="26" xfId="0" applyFont="1" applyBorder="1"/>
    <xf numFmtId="0" fontId="52" fillId="0" borderId="49" xfId="0" applyFont="1" applyBorder="1" applyAlignment="1">
      <alignment horizontal="left" wrapText="1"/>
    </xf>
    <xf numFmtId="3" fontId="52" fillId="0" borderId="44" xfId="0" applyNumberFormat="1" applyFont="1" applyBorder="1"/>
    <xf numFmtId="0" fontId="43" fillId="0" borderId="49" xfId="0" applyFont="1" applyBorder="1"/>
    <xf numFmtId="39" fontId="52" fillId="0" borderId="9" xfId="1" applyNumberFormat="1" applyFont="1" applyFill="1" applyBorder="1"/>
    <xf numFmtId="39" fontId="52" fillId="0" borderId="9" xfId="2" applyNumberFormat="1" applyFont="1" applyFill="1" applyBorder="1"/>
    <xf numFmtId="0" fontId="52" fillId="0" borderId="42" xfId="0" applyFont="1" applyBorder="1" applyAlignment="1">
      <alignment wrapText="1"/>
    </xf>
    <xf numFmtId="0" fontId="52" fillId="0" borderId="42" xfId="0" applyFont="1" applyBorder="1" applyAlignment="1">
      <alignment horizontal="left" wrapText="1"/>
    </xf>
    <xf numFmtId="0" fontId="50" fillId="21" borderId="48" xfId="0" applyFont="1" applyFill="1" applyBorder="1"/>
    <xf numFmtId="0" fontId="52" fillId="0" borderId="32" xfId="0" applyFont="1" applyBorder="1"/>
    <xf numFmtId="0" fontId="52" fillId="0" borderId="62" xfId="0" applyFont="1" applyBorder="1"/>
    <xf numFmtId="0" fontId="52" fillId="0" borderId="52" xfId="0" applyFont="1" applyBorder="1"/>
    <xf numFmtId="0" fontId="52" fillId="0" borderId="68" xfId="0" applyFont="1" applyBorder="1"/>
    <xf numFmtId="0" fontId="43" fillId="0" borderId="62" xfId="0" applyFont="1" applyBorder="1"/>
    <xf numFmtId="0" fontId="98" fillId="0" borderId="0" xfId="0" applyFont="1" applyAlignment="1">
      <alignment horizontal="left" vertical="center" wrapText="1"/>
    </xf>
    <xf numFmtId="0" fontId="49" fillId="0" borderId="0" xfId="0" applyFont="1" applyAlignment="1">
      <alignment horizontal="center" vertical="center" wrapText="1"/>
    </xf>
    <xf numFmtId="0" fontId="45" fillId="0" borderId="0" xfId="3" applyFont="1" applyFill="1" applyBorder="1" applyAlignment="1" applyProtection="1">
      <alignment horizontal="left"/>
    </xf>
    <xf numFmtId="0" fontId="45" fillId="0" borderId="0" xfId="3" applyFont="1" applyFill="1" applyBorder="1" applyAlignment="1" applyProtection="1">
      <alignment horizontal="left" vertical="top"/>
    </xf>
    <xf numFmtId="0" fontId="52" fillId="0" borderId="0" xfId="0" applyFont="1" applyAlignment="1">
      <alignment horizontal="left" vertical="top" wrapText="1"/>
    </xf>
    <xf numFmtId="0" fontId="43" fillId="0" borderId="0" xfId="0" applyFont="1" applyAlignment="1">
      <alignment vertical="top" wrapText="1"/>
    </xf>
    <xf numFmtId="0" fontId="43" fillId="0" borderId="0" xfId="0" applyFont="1" applyAlignment="1">
      <alignment horizontal="center" vertical="top" wrapText="1"/>
    </xf>
    <xf numFmtId="0" fontId="52" fillId="0" borderId="0" xfId="0" applyFont="1" applyAlignment="1">
      <alignment vertical="top" wrapText="1"/>
    </xf>
    <xf numFmtId="0" fontId="52" fillId="52" borderId="0" xfId="0" applyFont="1" applyFill="1" applyAlignment="1">
      <alignment horizontal="left"/>
    </xf>
    <xf numFmtId="175" fontId="52" fillId="0" borderId="32" xfId="0" applyNumberFormat="1" applyFont="1" applyBorder="1"/>
    <xf numFmtId="14" fontId="52" fillId="0" borderId="0" xfId="0" applyNumberFormat="1" applyFont="1" applyAlignment="1">
      <alignment horizontal="left"/>
    </xf>
    <xf numFmtId="0" fontId="46" fillId="0" borderId="0" xfId="0" applyFont="1" applyAlignment="1">
      <alignment vertical="center"/>
    </xf>
    <xf numFmtId="0" fontId="46" fillId="0" borderId="0" xfId="0" applyFont="1" applyAlignment="1">
      <alignment horizontal="center" wrapText="1"/>
    </xf>
    <xf numFmtId="0" fontId="47" fillId="0" borderId="0" xfId="0" applyFont="1"/>
    <xf numFmtId="0" fontId="43" fillId="3" borderId="0" xfId="0" applyFont="1" applyFill="1"/>
    <xf numFmtId="0" fontId="43" fillId="6" borderId="0" xfId="0" applyFont="1" applyFill="1"/>
    <xf numFmtId="0" fontId="43" fillId="4" borderId="0" xfId="0" applyFont="1" applyFill="1"/>
    <xf numFmtId="0" fontId="43" fillId="5" borderId="0" xfId="0" applyFont="1" applyFill="1"/>
    <xf numFmtId="0" fontId="43" fillId="8" borderId="0" xfId="0" applyFont="1" applyFill="1"/>
    <xf numFmtId="0" fontId="42" fillId="0" borderId="8" xfId="0" applyFont="1" applyBorder="1" applyAlignment="1">
      <alignment vertical="center"/>
    </xf>
    <xf numFmtId="0" fontId="42" fillId="0" borderId="48" xfId="0" applyFont="1" applyBorder="1" applyAlignment="1">
      <alignment vertical="center" wrapText="1"/>
    </xf>
    <xf numFmtId="2" fontId="46" fillId="4" borderId="9" xfId="0" applyNumberFormat="1" applyFont="1" applyFill="1" applyBorder="1" applyAlignment="1">
      <alignment horizontal="right"/>
    </xf>
    <xf numFmtId="4" fontId="56" fillId="6" borderId="9" xfId="0" quotePrefix="1" applyNumberFormat="1" applyFont="1" applyFill="1" applyBorder="1"/>
    <xf numFmtId="3" fontId="56" fillId="6" borderId="9" xfId="0" quotePrefix="1" applyNumberFormat="1" applyFont="1" applyFill="1" applyBorder="1"/>
    <xf numFmtId="0" fontId="46" fillId="2" borderId="9" xfId="0" applyFont="1" applyFill="1" applyBorder="1"/>
    <xf numFmtId="3" fontId="56" fillId="3" borderId="9" xfId="0" quotePrefix="1" applyNumberFormat="1" applyFont="1" applyFill="1" applyBorder="1"/>
    <xf numFmtId="165" fontId="46" fillId="4" borderId="9" xfId="0" applyNumberFormat="1" applyFont="1" applyFill="1" applyBorder="1" applyAlignment="1">
      <alignment horizontal="right"/>
    </xf>
    <xf numFmtId="2" fontId="56" fillId="5" borderId="9" xfId="0" applyNumberFormat="1" applyFont="1" applyFill="1" applyBorder="1"/>
    <xf numFmtId="3" fontId="52" fillId="3" borderId="9" xfId="0" quotePrefix="1" applyNumberFormat="1" applyFont="1" applyFill="1" applyBorder="1"/>
    <xf numFmtId="0" fontId="46" fillId="0" borderId="9" xfId="0" applyFont="1" applyBorder="1"/>
    <xf numFmtId="165" fontId="46" fillId="4" borderId="9" xfId="0" applyNumberFormat="1" applyFont="1" applyFill="1" applyBorder="1"/>
    <xf numFmtId="2" fontId="46" fillId="10" borderId="9" xfId="0" applyNumberFormat="1" applyFont="1" applyFill="1" applyBorder="1"/>
    <xf numFmtId="165" fontId="46" fillId="5" borderId="9" xfId="0" applyNumberFormat="1" applyFont="1" applyFill="1" applyBorder="1"/>
    <xf numFmtId="2" fontId="46" fillId="7" borderId="9" xfId="0" applyNumberFormat="1" applyFont="1" applyFill="1" applyBorder="1"/>
    <xf numFmtId="2" fontId="46" fillId="5" borderId="9" xfId="0" applyNumberFormat="1" applyFont="1" applyFill="1" applyBorder="1"/>
    <xf numFmtId="165" fontId="46" fillId="5" borderId="9" xfId="0" applyNumberFormat="1" applyFont="1" applyFill="1" applyBorder="1" applyAlignment="1">
      <alignment horizontal="right"/>
    </xf>
    <xf numFmtId="164" fontId="46" fillId="7" borderId="9" xfId="0" applyNumberFormat="1" applyFont="1" applyFill="1" applyBorder="1"/>
    <xf numFmtId="3" fontId="46" fillId="0" borderId="0" xfId="0" applyNumberFormat="1" applyFont="1"/>
    <xf numFmtId="164" fontId="46" fillId="0" borderId="0" xfId="0" applyNumberFormat="1" applyFont="1"/>
    <xf numFmtId="2" fontId="46" fillId="0" borderId="0" xfId="0" applyNumberFormat="1" applyFont="1"/>
    <xf numFmtId="3" fontId="52" fillId="0" borderId="0" xfId="0" quotePrefix="1" applyNumberFormat="1" applyFont="1"/>
    <xf numFmtId="3" fontId="46" fillId="0" borderId="0" xfId="0" applyNumberFormat="1" applyFont="1" applyAlignment="1">
      <alignment horizontal="right"/>
    </xf>
    <xf numFmtId="2" fontId="46" fillId="0" borderId="0" xfId="0" applyNumberFormat="1" applyFont="1" applyAlignment="1">
      <alignment horizontal="right"/>
    </xf>
    <xf numFmtId="166" fontId="46" fillId="0" borderId="0" xfId="1" applyNumberFormat="1" applyFont="1" applyFill="1" applyBorder="1"/>
    <xf numFmtId="166" fontId="46" fillId="0" borderId="0" xfId="1" applyNumberFormat="1" applyFont="1" applyFill="1" applyBorder="1" applyAlignment="1">
      <alignment horizontal="right"/>
    </xf>
    <xf numFmtId="167" fontId="46" fillId="0" borderId="0" xfId="0" applyNumberFormat="1" applyFont="1"/>
    <xf numFmtId="165" fontId="46" fillId="0" borderId="0" xfId="0" applyNumberFormat="1" applyFont="1"/>
    <xf numFmtId="167" fontId="46" fillId="8" borderId="12" xfId="0" applyNumberFormat="1" applyFont="1" applyFill="1" applyBorder="1"/>
    <xf numFmtId="166" fontId="46" fillId="0" borderId="9" xfId="1" applyNumberFormat="1" applyFont="1" applyFill="1" applyBorder="1" applyAlignment="1">
      <alignment horizontal="right"/>
    </xf>
    <xf numFmtId="166" fontId="43" fillId="0" borderId="9" xfId="0" applyNumberFormat="1" applyFont="1" applyBorder="1"/>
    <xf numFmtId="10" fontId="43" fillId="0" borderId="9" xfId="0" applyNumberFormat="1" applyFont="1" applyBorder="1"/>
    <xf numFmtId="0" fontId="50" fillId="0" borderId="9" xfId="0" applyFont="1" applyBorder="1" applyAlignment="1">
      <alignment horizontal="center" wrapText="1"/>
    </xf>
    <xf numFmtId="0" fontId="50" fillId="0" borderId="9" xfId="0" applyFont="1" applyBorder="1" applyAlignment="1">
      <alignment horizontal="center" vertical="top" wrapText="1"/>
    </xf>
    <xf numFmtId="0" fontId="42" fillId="0" borderId="0" xfId="0" applyFont="1" applyAlignment="1">
      <alignment horizontal="center" vertical="center" wrapText="1"/>
    </xf>
    <xf numFmtId="167" fontId="43" fillId="0" borderId="0" xfId="0" applyNumberFormat="1" applyFont="1" applyAlignment="1">
      <alignment wrapText="1"/>
    </xf>
    <xf numFmtId="0" fontId="43" fillId="0" borderId="18" xfId="0" applyFont="1" applyBorder="1" applyAlignment="1">
      <alignment wrapText="1"/>
    </xf>
    <xf numFmtId="0" fontId="43" fillId="0" borderId="18" xfId="0" applyFont="1" applyBorder="1" applyAlignment="1">
      <alignment horizontal="left" wrapText="1"/>
    </xf>
    <xf numFmtId="0" fontId="46" fillId="0" borderId="11" xfId="0" applyFont="1" applyBorder="1" applyAlignment="1">
      <alignment horizontal="left"/>
    </xf>
    <xf numFmtId="0" fontId="46" fillId="0" borderId="22" xfId="0" applyFont="1" applyBorder="1" applyAlignment="1">
      <alignment horizontal="left"/>
    </xf>
    <xf numFmtId="0" fontId="52" fillId="0" borderId="9" xfId="0" applyFont="1" applyBorder="1" applyAlignment="1">
      <alignment horizontal="center" wrapText="1"/>
    </xf>
    <xf numFmtId="167" fontId="52" fillId="0" borderId="9" xfId="0" applyNumberFormat="1" applyFont="1" applyBorder="1" applyAlignment="1">
      <alignment horizontal="center"/>
    </xf>
    <xf numFmtId="167" fontId="46" fillId="8" borderId="70" xfId="0" applyNumberFormat="1" applyFont="1" applyFill="1" applyBorder="1"/>
    <xf numFmtId="167" fontId="42" fillId="8" borderId="29" xfId="0" applyNumberFormat="1" applyFont="1" applyFill="1" applyBorder="1"/>
    <xf numFmtId="167" fontId="42" fillId="0" borderId="0" xfId="0" applyNumberFormat="1" applyFont="1"/>
    <xf numFmtId="0" fontId="42" fillId="0" borderId="5" xfId="0" applyFont="1" applyBorder="1"/>
    <xf numFmtId="0" fontId="42" fillId="0" borderId="16" xfId="0" applyFont="1" applyBorder="1"/>
    <xf numFmtId="0" fontId="46" fillId="19" borderId="9" xfId="0" applyFont="1" applyFill="1" applyBorder="1"/>
    <xf numFmtId="0" fontId="49" fillId="0" borderId="18" xfId="0" applyFont="1" applyBorder="1" applyAlignment="1">
      <alignment horizontal="left"/>
    </xf>
    <xf numFmtId="10" fontId="49" fillId="0" borderId="34" xfId="0" applyNumberFormat="1" applyFont="1" applyBorder="1"/>
    <xf numFmtId="0" fontId="42" fillId="0" borderId="29" xfId="0" applyFont="1" applyBorder="1" applyAlignment="1">
      <alignment horizontal="left"/>
    </xf>
    <xf numFmtId="0" fontId="50" fillId="0" borderId="43" xfId="0" applyFont="1" applyBorder="1"/>
    <xf numFmtId="3" fontId="48" fillId="27" borderId="9" xfId="0" quotePrefix="1" applyNumberFormat="1" applyFont="1" applyFill="1" applyBorder="1"/>
    <xf numFmtId="3" fontId="48" fillId="27" borderId="9" xfId="0" applyNumberFormat="1" applyFont="1" applyFill="1" applyBorder="1" applyAlignment="1">
      <alignment horizontal="right"/>
    </xf>
    <xf numFmtId="4" fontId="48" fillId="27" borderId="9" xfId="0" quotePrefix="1" applyNumberFormat="1" applyFont="1" applyFill="1" applyBorder="1"/>
    <xf numFmtId="0" fontId="49" fillId="7" borderId="0" xfId="0" applyFont="1" applyFill="1"/>
    <xf numFmtId="0" fontId="46" fillId="0" borderId="10" xfId="0" applyFont="1" applyBorder="1"/>
    <xf numFmtId="2" fontId="56" fillId="5" borderId="17" xfId="0" applyNumberFormat="1" applyFont="1" applyFill="1" applyBorder="1"/>
    <xf numFmtId="2" fontId="46" fillId="5" borderId="17" xfId="0" applyNumberFormat="1" applyFont="1" applyFill="1" applyBorder="1"/>
    <xf numFmtId="0" fontId="46" fillId="0" borderId="36" xfId="0" applyFont="1" applyBorder="1"/>
    <xf numFmtId="3" fontId="48" fillId="27" borderId="27" xfId="0" applyNumberFormat="1" applyFont="1" applyFill="1" applyBorder="1" applyAlignment="1">
      <alignment horizontal="right"/>
    </xf>
    <xf numFmtId="3" fontId="48" fillId="27" borderId="27" xfId="0" quotePrefix="1" applyNumberFormat="1" applyFont="1" applyFill="1" applyBorder="1"/>
    <xf numFmtId="2" fontId="46" fillId="4" borderId="27" xfId="0" applyNumberFormat="1" applyFont="1" applyFill="1" applyBorder="1" applyAlignment="1">
      <alignment horizontal="right"/>
    </xf>
    <xf numFmtId="165" fontId="46" fillId="4" borderId="27" xfId="0" applyNumberFormat="1" applyFont="1" applyFill="1" applyBorder="1" applyAlignment="1">
      <alignment horizontal="right"/>
    </xf>
    <xf numFmtId="2" fontId="46" fillId="5" borderId="27" xfId="0" applyNumberFormat="1" applyFont="1" applyFill="1" applyBorder="1"/>
    <xf numFmtId="2" fontId="46" fillId="5" borderId="39" xfId="0" applyNumberFormat="1" applyFont="1" applyFill="1" applyBorder="1"/>
    <xf numFmtId="0" fontId="52" fillId="11" borderId="34" xfId="0" applyFont="1" applyFill="1" applyBorder="1" applyAlignment="1">
      <alignment horizontal="center" wrapText="1"/>
    </xf>
    <xf numFmtId="0" fontId="52" fillId="11" borderId="18" xfId="0" applyFont="1" applyFill="1" applyBorder="1" applyAlignment="1">
      <alignment horizontal="center" wrapText="1"/>
    </xf>
    <xf numFmtId="0" fontId="52" fillId="0" borderId="18" xfId="0" applyFont="1" applyBorder="1" applyAlignment="1">
      <alignment horizontal="center" wrapText="1"/>
    </xf>
    <xf numFmtId="0" fontId="52" fillId="0" borderId="34" xfId="0" applyFont="1" applyBorder="1" applyAlignment="1">
      <alignment horizontal="center" wrapText="1"/>
    </xf>
    <xf numFmtId="0" fontId="46" fillId="2" borderId="17" xfId="0" applyFont="1" applyFill="1" applyBorder="1"/>
    <xf numFmtId="165" fontId="46" fillId="5" borderId="17" xfId="0" applyNumberFormat="1" applyFont="1" applyFill="1" applyBorder="1"/>
    <xf numFmtId="0" fontId="43" fillId="0" borderId="34" xfId="0" applyFont="1" applyBorder="1"/>
    <xf numFmtId="3" fontId="52" fillId="3" borderId="27" xfId="0" quotePrefix="1" applyNumberFormat="1" applyFont="1" applyFill="1" applyBorder="1"/>
    <xf numFmtId="165" fontId="46" fillId="4" borderId="27" xfId="0" applyNumberFormat="1" applyFont="1" applyFill="1" applyBorder="1"/>
    <xf numFmtId="165" fontId="46" fillId="5" borderId="27" xfId="0" applyNumberFormat="1" applyFont="1" applyFill="1" applyBorder="1" applyAlignment="1">
      <alignment horizontal="right"/>
    </xf>
    <xf numFmtId="165" fontId="46" fillId="5" borderId="39" xfId="0" applyNumberFormat="1" applyFont="1" applyFill="1" applyBorder="1"/>
    <xf numFmtId="174" fontId="46" fillId="10" borderId="9" xfId="0" applyNumberFormat="1" applyFont="1" applyFill="1" applyBorder="1"/>
    <xf numFmtId="0" fontId="43" fillId="0" borderId="15" xfId="0" applyFont="1" applyBorder="1"/>
    <xf numFmtId="0" fontId="42" fillId="0" borderId="3" xfId="0" applyFont="1" applyBorder="1" applyAlignment="1">
      <alignment vertical="center"/>
    </xf>
    <xf numFmtId="0" fontId="42" fillId="0" borderId="4" xfId="0" applyFont="1" applyBorder="1" applyAlignment="1">
      <alignment vertical="center"/>
    </xf>
    <xf numFmtId="0" fontId="42" fillId="0" borderId="4" xfId="0" applyFont="1" applyBorder="1" applyAlignment="1">
      <alignment vertical="center" wrapText="1"/>
    </xf>
    <xf numFmtId="2" fontId="47" fillId="5" borderId="9" xfId="0" applyNumberFormat="1" applyFont="1" applyFill="1" applyBorder="1"/>
    <xf numFmtId="2" fontId="99" fillId="8" borderId="9" xfId="0" applyNumberFormat="1" applyFont="1" applyFill="1" applyBorder="1"/>
    <xf numFmtId="2" fontId="100" fillId="10" borderId="9" xfId="0" applyNumberFormat="1" applyFont="1" applyFill="1" applyBorder="1"/>
    <xf numFmtId="2" fontId="46" fillId="8" borderId="9" xfId="0" applyNumberFormat="1" applyFont="1" applyFill="1" applyBorder="1"/>
    <xf numFmtId="2" fontId="52" fillId="10" borderId="9" xfId="0" applyNumberFormat="1" applyFont="1" applyFill="1" applyBorder="1"/>
    <xf numFmtId="0" fontId="42" fillId="0" borderId="30" xfId="0" applyFont="1" applyBorder="1"/>
    <xf numFmtId="0" fontId="43" fillId="0" borderId="20" xfId="0" applyFont="1" applyBorder="1"/>
    <xf numFmtId="0" fontId="52" fillId="0" borderId="15" xfId="0" applyFont="1" applyBorder="1"/>
    <xf numFmtId="0" fontId="42" fillId="0" borderId="15" xfId="0" applyFont="1" applyBorder="1"/>
    <xf numFmtId="0" fontId="46" fillId="0" borderId="31" xfId="0" applyFont="1" applyBorder="1"/>
    <xf numFmtId="3" fontId="50" fillId="0" borderId="0" xfId="0" applyNumberFormat="1" applyFont="1" applyAlignment="1">
      <alignment horizontal="right"/>
    </xf>
    <xf numFmtId="165" fontId="52" fillId="0" borderId="0" xfId="0" applyNumberFormat="1" applyFont="1" applyAlignment="1">
      <alignment horizontal="right"/>
    </xf>
    <xf numFmtId="3" fontId="50" fillId="0" borderId="27" xfId="0" applyNumberFormat="1" applyFont="1" applyBorder="1" applyAlignment="1">
      <alignment horizontal="right"/>
    </xf>
    <xf numFmtId="3" fontId="50" fillId="0" borderId="27" xfId="0" applyNumberFormat="1" applyFont="1" applyBorder="1"/>
    <xf numFmtId="2" fontId="52" fillId="0" borderId="27" xfId="0" applyNumberFormat="1" applyFont="1" applyBorder="1" applyAlignment="1">
      <alignment horizontal="right"/>
    </xf>
    <xf numFmtId="165" fontId="52" fillId="0" borderId="27" xfId="0" applyNumberFormat="1" applyFont="1" applyBorder="1" applyAlignment="1">
      <alignment horizontal="right"/>
    </xf>
    <xf numFmtId="2" fontId="52" fillId="0" borderId="27" xfId="0" applyNumberFormat="1" applyFont="1" applyBorder="1"/>
    <xf numFmtId="2" fontId="52" fillId="0" borderId="39" xfId="0" applyNumberFormat="1" applyFont="1" applyBorder="1"/>
    <xf numFmtId="0" fontId="52" fillId="0" borderId="0" xfId="0" applyFont="1" applyAlignment="1">
      <alignment horizontal="center" vertical="top" wrapText="1"/>
    </xf>
    <xf numFmtId="1" fontId="46" fillId="0" borderId="0" xfId="0" applyNumberFormat="1" applyFont="1"/>
    <xf numFmtId="0" fontId="99" fillId="0" borderId="9" xfId="0" applyFont="1" applyBorder="1"/>
    <xf numFmtId="0" fontId="47" fillId="0" borderId="9" xfId="0" applyFont="1" applyBorder="1"/>
    <xf numFmtId="0" fontId="50" fillId="0" borderId="31" xfId="0" applyFont="1" applyBorder="1" applyAlignment="1">
      <alignment horizontal="center" vertical="top" wrapText="1"/>
    </xf>
    <xf numFmtId="167" fontId="52" fillId="0" borderId="31" xfId="0" applyNumberFormat="1" applyFont="1" applyBorder="1" applyAlignment="1">
      <alignment horizontal="center"/>
    </xf>
    <xf numFmtId="0" fontId="50" fillId="0" borderId="18" xfId="0" applyFont="1" applyBorder="1" applyAlignment="1">
      <alignment horizontal="center" vertical="center" wrapText="1"/>
    </xf>
    <xf numFmtId="172" fontId="43" fillId="0" borderId="0" xfId="7" applyNumberFormat="1" applyFont="1" applyAlignment="1">
      <alignment horizontal="right"/>
    </xf>
    <xf numFmtId="0" fontId="50" fillId="23" borderId="9" xfId="0" applyFont="1" applyFill="1" applyBorder="1" applyAlignment="1">
      <alignment horizontal="left"/>
    </xf>
    <xf numFmtId="0" fontId="49" fillId="23" borderId="9" xfId="0" applyFont="1" applyFill="1" applyBorder="1" applyAlignment="1">
      <alignment horizontal="left"/>
    </xf>
    <xf numFmtId="0" fontId="49" fillId="0" borderId="18" xfId="0" applyFont="1" applyBorder="1" applyAlignment="1">
      <alignment horizontal="center"/>
    </xf>
    <xf numFmtId="0" fontId="43" fillId="11" borderId="18" xfId="0" applyFont="1" applyFill="1" applyBorder="1" applyAlignment="1">
      <alignment horizontal="center"/>
    </xf>
    <xf numFmtId="0" fontId="49" fillId="0" borderId="9" xfId="0" applyFont="1" applyBorder="1" applyAlignment="1">
      <alignment horizontal="left"/>
    </xf>
    <xf numFmtId="0" fontId="50" fillId="0" borderId="9" xfId="0" applyFont="1" applyBorder="1" applyAlignment="1">
      <alignment horizontal="right"/>
    </xf>
    <xf numFmtId="0" fontId="49" fillId="0" borderId="9" xfId="0" applyFont="1" applyBorder="1" applyAlignment="1">
      <alignment horizontal="right"/>
    </xf>
    <xf numFmtId="0" fontId="50" fillId="0" borderId="9" xfId="0" applyFont="1" applyBorder="1" applyAlignment="1">
      <alignment horizontal="left"/>
    </xf>
    <xf numFmtId="0" fontId="50" fillId="22" borderId="35" xfId="0" applyFont="1" applyFill="1" applyBorder="1"/>
    <xf numFmtId="0" fontId="52" fillId="0" borderId="35" xfId="0" applyFont="1" applyBorder="1"/>
    <xf numFmtId="0" fontId="50" fillId="23" borderId="35" xfId="0" applyFont="1" applyFill="1" applyBorder="1"/>
    <xf numFmtId="175" fontId="50" fillId="22" borderId="5" xfId="1" applyNumberFormat="1" applyFont="1" applyFill="1" applyBorder="1"/>
    <xf numFmtId="175" fontId="50" fillId="16" borderId="5" xfId="1" applyNumberFormat="1" applyFont="1" applyFill="1" applyBorder="1"/>
    <xf numFmtId="175" fontId="50" fillId="16" borderId="0" xfId="1" applyNumberFormat="1" applyFont="1" applyFill="1" applyBorder="1"/>
    <xf numFmtId="175" fontId="49" fillId="16" borderId="0" xfId="1" applyNumberFormat="1" applyFont="1" applyFill="1" applyBorder="1"/>
    <xf numFmtId="176" fontId="52" fillId="0" borderId="0" xfId="1" applyNumberFormat="1" applyFont="1" applyFill="1" applyBorder="1"/>
    <xf numFmtId="0" fontId="43" fillId="0" borderId="9" xfId="0" applyFont="1" applyBorder="1" applyAlignment="1">
      <alignment horizontal="right"/>
    </xf>
    <xf numFmtId="3" fontId="43" fillId="0" borderId="9" xfId="0" applyNumberFormat="1" applyFont="1" applyBorder="1" applyAlignment="1">
      <alignment horizontal="right"/>
    </xf>
    <xf numFmtId="3" fontId="52" fillId="0" borderId="9" xfId="0" applyNumberFormat="1" applyFont="1" applyBorder="1" applyAlignment="1">
      <alignment horizontal="right"/>
    </xf>
    <xf numFmtId="2" fontId="49" fillId="23" borderId="9" xfId="0" applyNumberFormat="1" applyFont="1" applyFill="1" applyBorder="1" applyAlignment="1">
      <alignment horizontal="right"/>
    </xf>
    <xf numFmtId="4" fontId="49" fillId="23" borderId="9" xfId="0" applyNumberFormat="1" applyFont="1" applyFill="1" applyBorder="1" applyAlignment="1">
      <alignment horizontal="right"/>
    </xf>
    <xf numFmtId="4" fontId="50" fillId="23" borderId="9" xfId="0" applyNumberFormat="1" applyFont="1" applyFill="1" applyBorder="1" applyAlignment="1">
      <alignment horizontal="right"/>
    </xf>
    <xf numFmtId="173" fontId="50" fillId="23" borderId="9" xfId="0" applyNumberFormat="1" applyFont="1" applyFill="1" applyBorder="1" applyAlignment="1">
      <alignment horizontal="right"/>
    </xf>
    <xf numFmtId="0" fontId="52" fillId="0" borderId="9" xfId="0" applyFont="1" applyBorder="1" applyAlignment="1">
      <alignment horizontal="right"/>
    </xf>
    <xf numFmtId="0" fontId="52" fillId="0" borderId="71" xfId="0" applyFont="1" applyBorder="1" applyAlignment="1">
      <alignment horizontal="left"/>
    </xf>
    <xf numFmtId="3" fontId="52" fillId="0" borderId="0" xfId="0" applyNumberFormat="1" applyFont="1" applyAlignment="1">
      <alignment horizontal="right"/>
    </xf>
    <xf numFmtId="0" fontId="50" fillId="0" borderId="1" xfId="0" applyFont="1" applyBorder="1" applyAlignment="1">
      <alignment horizontal="center"/>
    </xf>
    <xf numFmtId="0" fontId="50" fillId="0" borderId="1" xfId="0" applyFont="1" applyBorder="1" applyAlignment="1">
      <alignment horizontal="left"/>
    </xf>
    <xf numFmtId="0" fontId="50" fillId="0" borderId="6" xfId="0" applyFont="1" applyBorder="1" applyAlignment="1">
      <alignment horizontal="center"/>
    </xf>
    <xf numFmtId="0" fontId="50" fillId="18" borderId="15" xfId="0" applyFont="1" applyFill="1" applyBorder="1"/>
    <xf numFmtId="166" fontId="50" fillId="18" borderId="15" xfId="1" applyNumberFormat="1" applyFont="1" applyFill="1" applyBorder="1"/>
    <xf numFmtId="0" fontId="50" fillId="0" borderId="53" xfId="0" applyFont="1" applyBorder="1" applyAlignment="1">
      <alignment horizontal="center"/>
    </xf>
    <xf numFmtId="0" fontId="50" fillId="0" borderId="54" xfId="0" applyFont="1" applyBorder="1" applyAlignment="1">
      <alignment horizontal="center"/>
    </xf>
    <xf numFmtId="0" fontId="50" fillId="0" borderId="55" xfId="0" applyFont="1" applyBorder="1" applyAlignment="1">
      <alignment horizontal="center"/>
    </xf>
    <xf numFmtId="0" fontId="50" fillId="0" borderId="15" xfId="0" applyFont="1" applyBorder="1" applyAlignment="1">
      <alignment horizontal="center"/>
    </xf>
    <xf numFmtId="0" fontId="50" fillId="0" borderId="30" xfId="0" applyFont="1" applyBorder="1" applyAlignment="1">
      <alignment horizontal="center"/>
    </xf>
    <xf numFmtId="0" fontId="50" fillId="0" borderId="16" xfId="5" applyFont="1" applyBorder="1" applyAlignment="1">
      <alignment horizontal="center"/>
    </xf>
    <xf numFmtId="0" fontId="50" fillId="0" borderId="0" xfId="5" applyFont="1" applyAlignment="1">
      <alignment horizontal="center"/>
    </xf>
    <xf numFmtId="0" fontId="50" fillId="0" borderId="43" xfId="0" applyFont="1" applyBorder="1" applyAlignment="1">
      <alignment horizontal="center"/>
    </xf>
    <xf numFmtId="0" fontId="50" fillId="0" borderId="16" xfId="0" applyFont="1" applyBorder="1" applyAlignment="1">
      <alignment horizontal="center"/>
    </xf>
    <xf numFmtId="180" fontId="52" fillId="0" borderId="9" xfId="1" applyNumberFormat="1" applyFont="1" applyFill="1" applyBorder="1"/>
    <xf numFmtId="180" fontId="52" fillId="0" borderId="9" xfId="2" applyNumberFormat="1" applyFont="1" applyFill="1" applyBorder="1"/>
    <xf numFmtId="0" fontId="50" fillId="0" borderId="34" xfId="0" applyFont="1" applyBorder="1"/>
    <xf numFmtId="0" fontId="50" fillId="0" borderId="18" xfId="0" applyFont="1" applyBorder="1"/>
    <xf numFmtId="0" fontId="52" fillId="0" borderId="18" xfId="0" applyFont="1" applyBorder="1" applyAlignment="1">
      <alignment horizontal="center"/>
    </xf>
    <xf numFmtId="0" fontId="52" fillId="0" borderId="26" xfId="0" applyFont="1" applyBorder="1" applyAlignment="1">
      <alignment horizontal="center"/>
    </xf>
    <xf numFmtId="0" fontId="50" fillId="0" borderId="14" xfId="0" applyFont="1" applyBorder="1" applyAlignment="1">
      <alignment horizontal="center"/>
    </xf>
    <xf numFmtId="0" fontId="50" fillId="0" borderId="21" xfId="0" applyFont="1" applyBorder="1" applyAlignment="1">
      <alignment horizontal="center"/>
    </xf>
    <xf numFmtId="0" fontId="50" fillId="18" borderId="0" xfId="0" applyFont="1" applyFill="1" applyAlignment="1">
      <alignment horizontal="left"/>
    </xf>
    <xf numFmtId="0" fontId="50" fillId="0" borderId="20" xfId="0" applyFont="1" applyBorder="1" applyAlignment="1">
      <alignment horizontal="left"/>
    </xf>
    <xf numFmtId="0" fontId="52" fillId="0" borderId="6" xfId="1" applyNumberFormat="1" applyFont="1" applyFill="1" applyBorder="1" applyAlignment="1">
      <alignment horizontal="center"/>
    </xf>
    <xf numFmtId="0" fontId="52" fillId="0" borderId="1" xfId="1" applyNumberFormat="1" applyFont="1" applyFill="1" applyBorder="1" applyAlignment="1">
      <alignment horizontal="center"/>
    </xf>
    <xf numFmtId="0" fontId="52" fillId="0" borderId="1" xfId="0" applyFont="1" applyBorder="1" applyAlignment="1">
      <alignment horizontal="left"/>
    </xf>
    <xf numFmtId="0" fontId="50" fillId="0" borderId="16" xfId="0" applyFont="1" applyBorder="1" applyAlignment="1">
      <alignment horizontal="right"/>
    </xf>
    <xf numFmtId="0" fontId="52" fillId="13" borderId="9" xfId="0" applyFont="1" applyFill="1" applyBorder="1"/>
    <xf numFmtId="0" fontId="52" fillId="13" borderId="9" xfId="0" applyFont="1" applyFill="1" applyBorder="1" applyAlignment="1" applyProtection="1">
      <alignment horizontal="left"/>
      <protection locked="0"/>
    </xf>
    <xf numFmtId="0" fontId="43" fillId="13" borderId="9" xfId="0" applyFont="1" applyFill="1" applyBorder="1" applyAlignment="1">
      <alignment horizontal="center"/>
    </xf>
    <xf numFmtId="0" fontId="52" fillId="13" borderId="9" xfId="0" applyFont="1" applyFill="1" applyBorder="1" applyAlignment="1">
      <alignment horizontal="center"/>
    </xf>
    <xf numFmtId="14" fontId="52" fillId="13" borderId="9" xfId="0" applyNumberFormat="1" applyFont="1" applyFill="1" applyBorder="1" applyAlignment="1">
      <alignment horizontal="center"/>
    </xf>
    <xf numFmtId="17" fontId="52" fillId="0" borderId="0" xfId="0" applyNumberFormat="1" applyFont="1" applyAlignment="1">
      <alignment horizontal="center"/>
    </xf>
    <xf numFmtId="14" fontId="52" fillId="0" borderId="0" xfId="0" applyNumberFormat="1" applyFont="1" applyAlignment="1">
      <alignment horizontal="center"/>
    </xf>
    <xf numFmtId="0" fontId="49" fillId="0" borderId="1" xfId="0" applyFont="1" applyBorder="1"/>
    <xf numFmtId="0" fontId="45" fillId="0" borderId="0" xfId="3" applyFont="1" applyFill="1" applyBorder="1" applyAlignment="1" applyProtection="1"/>
    <xf numFmtId="0" fontId="45" fillId="0" borderId="0" xfId="3" applyFont="1" applyAlignment="1" applyProtection="1">
      <alignment vertical="center"/>
    </xf>
    <xf numFmtId="168" fontId="102" fillId="0" borderId="0" xfId="0" applyNumberFormat="1" applyFont="1" applyAlignment="1">
      <alignment horizontal="right"/>
    </xf>
    <xf numFmtId="175" fontId="102" fillId="0" borderId="0" xfId="0" applyNumberFormat="1" applyFont="1"/>
    <xf numFmtId="175" fontId="102" fillId="20" borderId="0" xfId="0" applyNumberFormat="1" applyFont="1" applyFill="1"/>
    <xf numFmtId="175" fontId="102" fillId="18" borderId="0" xfId="0" applyNumberFormat="1" applyFont="1" applyFill="1"/>
    <xf numFmtId="168" fontId="102" fillId="0" borderId="0" xfId="0" applyNumberFormat="1" applyFont="1" applyAlignment="1">
      <alignment horizontal="left"/>
    </xf>
    <xf numFmtId="0" fontId="48" fillId="0" borderId="16" xfId="0" applyFont="1" applyBorder="1" applyAlignment="1">
      <alignment horizontal="left"/>
    </xf>
    <xf numFmtId="0" fontId="50" fillId="0" borderId="74" xfId="0" applyFont="1" applyBorder="1"/>
    <xf numFmtId="175" fontId="50" fillId="0" borderId="25" xfId="0" applyNumberFormat="1" applyFont="1" applyBorder="1"/>
    <xf numFmtId="175" fontId="50" fillId="0" borderId="3" xfId="0" applyNumberFormat="1" applyFont="1" applyBorder="1"/>
    <xf numFmtId="173" fontId="102" fillId="0" borderId="0" xfId="0" applyNumberFormat="1" applyFont="1"/>
    <xf numFmtId="0" fontId="50" fillId="0" borderId="38" xfId="0" applyFont="1" applyBorder="1" applyAlignment="1">
      <alignment horizontal="right"/>
    </xf>
    <xf numFmtId="0" fontId="50" fillId="0" borderId="72" xfId="0" applyFont="1" applyBorder="1" applyAlignment="1">
      <alignment horizontal="right"/>
    </xf>
    <xf numFmtId="175" fontId="52" fillId="0" borderId="75" xfId="0" applyNumberFormat="1" applyFont="1" applyBorder="1"/>
    <xf numFmtId="175" fontId="52" fillId="0" borderId="24" xfId="0" applyNumberFormat="1" applyFont="1" applyBorder="1"/>
    <xf numFmtId="168" fontId="50" fillId="0" borderId="6" xfId="0" applyNumberFormat="1" applyFont="1" applyBorder="1"/>
    <xf numFmtId="168" fontId="50" fillId="0" borderId="5" xfId="0" applyNumberFormat="1" applyFont="1" applyBorder="1"/>
    <xf numFmtId="175" fontId="102" fillId="22" borderId="0" xfId="0" applyNumberFormat="1" applyFont="1" applyFill="1"/>
    <xf numFmtId="175" fontId="102" fillId="0" borderId="21" xfId="0" applyNumberFormat="1" applyFont="1" applyBorder="1"/>
    <xf numFmtId="175" fontId="43" fillId="0" borderId="25" xfId="0" applyNumberFormat="1" applyFont="1" applyBorder="1"/>
    <xf numFmtId="175" fontId="43" fillId="0" borderId="1" xfId="0" applyNumberFormat="1" applyFont="1" applyBorder="1"/>
    <xf numFmtId="175" fontId="49" fillId="0" borderId="25" xfId="0" applyNumberFormat="1" applyFont="1" applyBorder="1"/>
    <xf numFmtId="175" fontId="49" fillId="0" borderId="21" xfId="0" applyNumberFormat="1" applyFont="1" applyBorder="1"/>
    <xf numFmtId="175" fontId="43" fillId="0" borderId="3" xfId="0" applyNumberFormat="1" applyFont="1" applyBorder="1"/>
    <xf numFmtId="175" fontId="49" fillId="0" borderId="0" xfId="0" applyNumberFormat="1" applyFont="1"/>
    <xf numFmtId="175" fontId="102" fillId="23" borderId="0" xfId="0" applyNumberFormat="1" applyFont="1" applyFill="1"/>
    <xf numFmtId="4" fontId="102" fillId="0" borderId="0" xfId="0" applyNumberFormat="1" applyFont="1"/>
    <xf numFmtId="175" fontId="102" fillId="12" borderId="0" xfId="0" applyNumberFormat="1" applyFont="1" applyFill="1"/>
    <xf numFmtId="175" fontId="103" fillId="0" borderId="0" xfId="0" applyNumberFormat="1" applyFont="1"/>
    <xf numFmtId="175" fontId="52" fillId="0" borderId="0" xfId="1" applyNumberFormat="1" applyFont="1" applyFill="1" applyBorder="1" applyAlignment="1">
      <alignment horizontal="right"/>
    </xf>
    <xf numFmtId="175" fontId="102" fillId="0" borderId="0" xfId="0" applyNumberFormat="1" applyFont="1" applyAlignment="1">
      <alignment horizontal="right" vertical="center"/>
    </xf>
    <xf numFmtId="0" fontId="35" fillId="0" borderId="0" xfId="3" applyBorder="1" applyAlignment="1" applyProtection="1">
      <protection locked="0"/>
    </xf>
    <xf numFmtId="0" fontId="52" fillId="0" borderId="34" xfId="0" applyFont="1" applyBorder="1" applyAlignment="1">
      <alignment horizontal="left" indent="2"/>
    </xf>
    <xf numFmtId="0" fontId="52" fillId="0" borderId="33" xfId="0" applyFont="1" applyBorder="1" applyAlignment="1">
      <alignment horizontal="left" indent="2"/>
    </xf>
    <xf numFmtId="0" fontId="44" fillId="0" borderId="0" xfId="4" applyFont="1" applyBorder="1"/>
    <xf numFmtId="0" fontId="44" fillId="0" borderId="0" xfId="4" applyFont="1" applyBorder="1" applyAlignment="1">
      <alignment horizontal="center"/>
    </xf>
    <xf numFmtId="0" fontId="52" fillId="0" borderId="0" xfId="4" applyFont="1" applyBorder="1" applyAlignment="1">
      <alignment horizontal="right"/>
    </xf>
    <xf numFmtId="0" fontId="44" fillId="0" borderId="0" xfId="4" applyFont="1" applyBorder="1" applyAlignment="1">
      <alignment horizontal="right"/>
    </xf>
    <xf numFmtId="43" fontId="52" fillId="0" borderId="0" xfId="4" applyNumberFormat="1" applyFont="1" applyBorder="1"/>
    <xf numFmtId="43" fontId="58" fillId="0" borderId="0" xfId="1" applyFont="1" applyFill="1" applyBorder="1"/>
    <xf numFmtId="0" fontId="52" fillId="0" borderId="0" xfId="3" applyFont="1" applyFill="1" applyBorder="1" applyAlignment="1" applyProtection="1"/>
    <xf numFmtId="0" fontId="52" fillId="13" borderId="0" xfId="5" applyFont="1" applyFill="1"/>
    <xf numFmtId="166" fontId="50" fillId="13" borderId="0" xfId="1" applyNumberFormat="1" applyFont="1" applyFill="1" applyBorder="1" applyAlignment="1">
      <alignment horizontal="right"/>
    </xf>
    <xf numFmtId="0" fontId="52" fillId="13" borderId="0" xfId="0" applyFont="1" applyFill="1"/>
    <xf numFmtId="43" fontId="52" fillId="13" borderId="0" xfId="0" applyNumberFormat="1" applyFont="1" applyFill="1"/>
    <xf numFmtId="166" fontId="52" fillId="13" borderId="0" xfId="1" applyNumberFormat="1" applyFont="1" applyFill="1" applyBorder="1"/>
    <xf numFmtId="0" fontId="43" fillId="13" borderId="0" xfId="0" applyFont="1" applyFill="1" applyAlignment="1">
      <alignment horizontal="right"/>
    </xf>
    <xf numFmtId="2" fontId="50" fillId="0" borderId="1" xfId="0" applyNumberFormat="1" applyFont="1" applyBorder="1" applyAlignment="1">
      <alignment horizontal="center"/>
    </xf>
    <xf numFmtId="2" fontId="52" fillId="13" borderId="56" xfId="0" applyNumberFormat="1" applyFont="1" applyFill="1" applyBorder="1" applyAlignment="1">
      <alignment horizontal="left"/>
    </xf>
    <xf numFmtId="14" fontId="43" fillId="13" borderId="9" xfId="0" applyNumberFormat="1" applyFont="1" applyFill="1" applyBorder="1" applyAlignment="1">
      <alignment horizontal="center"/>
    </xf>
    <xf numFmtId="2" fontId="50" fillId="33" borderId="0" xfId="0" applyNumberFormat="1" applyFont="1" applyFill="1" applyAlignment="1">
      <alignment vertical="center"/>
    </xf>
    <xf numFmtId="2" fontId="72" fillId="33" borderId="0" xfId="0" applyNumberFormat="1" applyFont="1" applyFill="1"/>
    <xf numFmtId="2" fontId="50" fillId="33" borderId="0" xfId="0" applyNumberFormat="1" applyFont="1" applyFill="1" applyAlignment="1">
      <alignment vertical="center" wrapText="1"/>
    </xf>
    <xf numFmtId="2" fontId="50" fillId="30" borderId="0" xfId="0" applyNumberFormat="1" applyFont="1" applyFill="1" applyAlignment="1">
      <alignment vertical="center" wrapText="1"/>
    </xf>
    <xf numFmtId="2" fontId="50" fillId="30" borderId="0" xfId="0" applyNumberFormat="1" applyFont="1" applyFill="1"/>
    <xf numFmtId="0" fontId="52" fillId="13" borderId="0" xfId="0" applyFont="1" applyFill="1" applyAlignment="1">
      <alignment horizontal="left"/>
    </xf>
    <xf numFmtId="43" fontId="52" fillId="13" borderId="0" xfId="1" applyFont="1" applyFill="1"/>
    <xf numFmtId="43" fontId="52" fillId="13" borderId="0" xfId="2" applyFont="1" applyFill="1"/>
    <xf numFmtId="0" fontId="50" fillId="55" borderId="0" xfId="0" applyFont="1" applyFill="1" applyAlignment="1">
      <alignment horizontal="left"/>
    </xf>
    <xf numFmtId="43" fontId="52" fillId="55" borderId="5" xfId="1" applyFont="1" applyFill="1" applyBorder="1"/>
    <xf numFmtId="43" fontId="52" fillId="55" borderId="0" xfId="1" applyFont="1" applyFill="1" applyBorder="1"/>
    <xf numFmtId="2" fontId="52" fillId="13" borderId="0" xfId="0" applyNumberFormat="1" applyFont="1" applyFill="1"/>
    <xf numFmtId="0" fontId="52" fillId="13" borderId="0" xfId="0" applyFont="1" applyFill="1" applyAlignment="1">
      <alignment horizontal="right"/>
    </xf>
    <xf numFmtId="0" fontId="52" fillId="13" borderId="0" xfId="0" applyFont="1" applyFill="1" applyAlignment="1">
      <alignment horizontal="center"/>
    </xf>
    <xf numFmtId="0" fontId="50" fillId="9" borderId="0" xfId="0" applyFont="1" applyFill="1"/>
    <xf numFmtId="169" fontId="52" fillId="13" borderId="0" xfId="1" applyNumberFormat="1" applyFont="1" applyFill="1" applyBorder="1"/>
    <xf numFmtId="169" fontId="52" fillId="13" borderId="5" xfId="1" applyNumberFormat="1" applyFont="1" applyFill="1" applyBorder="1"/>
    <xf numFmtId="169" fontId="52" fillId="13" borderId="0" xfId="2" applyNumberFormat="1" applyFont="1" applyFill="1" applyBorder="1"/>
    <xf numFmtId="166" fontId="52" fillId="13" borderId="31" xfId="1" applyNumberFormat="1" applyFont="1" applyFill="1" applyBorder="1"/>
    <xf numFmtId="0" fontId="43" fillId="13" borderId="28" xfId="0" applyFont="1" applyFill="1" applyBorder="1" applyAlignment="1">
      <alignment vertical="center" wrapText="1"/>
    </xf>
    <xf numFmtId="0" fontId="52" fillId="13" borderId="0" xfId="0" applyFont="1" applyFill="1" applyAlignment="1">
      <alignment vertical="center" wrapText="1"/>
    </xf>
    <xf numFmtId="1" fontId="43" fillId="13" borderId="0" xfId="0" applyNumberFormat="1" applyFont="1" applyFill="1"/>
    <xf numFmtId="43" fontId="50" fillId="0" borderId="24" xfId="1" applyFont="1" applyFill="1" applyBorder="1"/>
    <xf numFmtId="43" fontId="50" fillId="0" borderId="0" xfId="1" applyFont="1" applyFill="1" applyBorder="1"/>
    <xf numFmtId="43" fontId="50" fillId="0" borderId="16" xfId="1" applyFont="1" applyFill="1" applyBorder="1"/>
    <xf numFmtId="0" fontId="42" fillId="0" borderId="40" xfId="0" applyFont="1" applyBorder="1"/>
    <xf numFmtId="175" fontId="42" fillId="0" borderId="31" xfId="0" applyNumberFormat="1" applyFont="1" applyBorder="1"/>
    <xf numFmtId="175" fontId="50" fillId="0" borderId="31" xfId="0" applyNumberFormat="1" applyFont="1" applyBorder="1"/>
    <xf numFmtId="175" fontId="53" fillId="0" borderId="0" xfId="0" applyNumberFormat="1" applyFont="1"/>
    <xf numFmtId="168" fontId="42" fillId="0" borderId="15" xfId="0" applyNumberFormat="1" applyFont="1" applyBorder="1"/>
    <xf numFmtId="168" fontId="53" fillId="0" borderId="0" xfId="0" applyNumberFormat="1" applyFont="1"/>
    <xf numFmtId="168" fontId="46" fillId="0" borderId="73" xfId="0" applyNumberFormat="1" applyFont="1" applyBorder="1"/>
    <xf numFmtId="168" fontId="46" fillId="0" borderId="15" xfId="0" applyNumberFormat="1" applyFont="1" applyBorder="1"/>
    <xf numFmtId="168" fontId="52" fillId="0" borderId="15" xfId="0" applyNumberFormat="1" applyFont="1" applyBorder="1"/>
    <xf numFmtId="168" fontId="43" fillId="0" borderId="15" xfId="0" applyNumberFormat="1" applyFont="1" applyBorder="1"/>
    <xf numFmtId="0" fontId="52" fillId="13" borderId="9" xfId="0" applyFont="1" applyFill="1" applyBorder="1" applyAlignment="1">
      <alignment horizontal="left"/>
    </xf>
    <xf numFmtId="0" fontId="104" fillId="0" borderId="0" xfId="0" applyFont="1" applyAlignment="1">
      <alignment horizontal="left" vertical="center" readingOrder="1"/>
    </xf>
    <xf numFmtId="2" fontId="50" fillId="0" borderId="0" xfId="0" applyNumberFormat="1" applyFont="1" applyAlignment="1">
      <alignment vertical="center"/>
    </xf>
    <xf numFmtId="0" fontId="52" fillId="0" borderId="17" xfId="0" applyFont="1" applyBorder="1" applyAlignment="1">
      <alignment horizontal="right"/>
    </xf>
    <xf numFmtId="0" fontId="52" fillId="0" borderId="21" xfId="0" applyFont="1" applyBorder="1" applyAlignment="1">
      <alignment horizontal="right"/>
    </xf>
    <xf numFmtId="0" fontId="52" fillId="0" borderId="10" xfId="0" applyFont="1" applyBorder="1" applyAlignment="1">
      <alignment horizontal="right"/>
    </xf>
    <xf numFmtId="176" fontId="52" fillId="0" borderId="0" xfId="1" applyNumberFormat="1" applyFont="1" applyFill="1" applyBorder="1" applyAlignment="1">
      <alignment horizontal="right"/>
    </xf>
    <xf numFmtId="0" fontId="50" fillId="20" borderId="0" xfId="0" applyFont="1" applyFill="1" applyAlignment="1">
      <alignment horizontal="left"/>
    </xf>
    <xf numFmtId="1" fontId="52" fillId="13" borderId="0" xfId="0" applyNumberFormat="1" applyFont="1" applyFill="1"/>
    <xf numFmtId="0" fontId="42" fillId="0" borderId="41" xfId="0" applyFont="1" applyBorder="1"/>
    <xf numFmtId="175" fontId="46" fillId="0" borderId="25" xfId="0" applyNumberFormat="1" applyFont="1" applyBorder="1"/>
    <xf numFmtId="0" fontId="28" fillId="0" borderId="0" xfId="0" applyFont="1"/>
    <xf numFmtId="0" fontId="105" fillId="0" borderId="0" xfId="0" applyFont="1" applyAlignment="1">
      <alignment horizontal="left" vertical="center" readingOrder="1"/>
    </xf>
    <xf numFmtId="0" fontId="28" fillId="26" borderId="0" xfId="0" applyFont="1" applyFill="1"/>
    <xf numFmtId="0" fontId="50" fillId="0" borderId="0" xfId="3" applyFont="1" applyFill="1" applyBorder="1" applyAlignment="1" applyProtection="1"/>
    <xf numFmtId="175" fontId="43" fillId="13" borderId="9" xfId="0" applyNumberFormat="1" applyFont="1" applyFill="1" applyBorder="1"/>
    <xf numFmtId="175" fontId="43" fillId="0" borderId="9" xfId="0" applyNumberFormat="1" applyFont="1" applyBorder="1"/>
    <xf numFmtId="0" fontId="46" fillId="0" borderId="0" xfId="0" applyFont="1" applyAlignment="1">
      <alignment horizontal="left" vertical="center"/>
    </xf>
    <xf numFmtId="168" fontId="43" fillId="0" borderId="0" xfId="0" applyNumberFormat="1" applyFont="1" applyAlignment="1">
      <alignment horizontal="left"/>
    </xf>
    <xf numFmtId="176" fontId="43" fillId="13" borderId="9" xfId="1" applyNumberFormat="1" applyFont="1" applyFill="1" applyBorder="1"/>
    <xf numFmtId="176" fontId="43" fillId="13" borderId="9" xfId="0" applyNumberFormat="1" applyFont="1" applyFill="1" applyBorder="1"/>
    <xf numFmtId="171" fontId="43" fillId="0" borderId="0" xfId="0" applyNumberFormat="1" applyFont="1"/>
    <xf numFmtId="177" fontId="50" fillId="0" borderId="21" xfId="0" applyNumberFormat="1" applyFont="1" applyBorder="1"/>
    <xf numFmtId="0" fontId="28" fillId="0" borderId="18" xfId="0" applyFont="1" applyBorder="1"/>
    <xf numFmtId="0" fontId="28" fillId="0" borderId="9" xfId="0" applyFont="1" applyBorder="1"/>
    <xf numFmtId="39" fontId="52" fillId="0" borderId="18" xfId="1" applyNumberFormat="1" applyFont="1" applyFill="1" applyBorder="1"/>
    <xf numFmtId="39" fontId="52" fillId="0" borderId="18" xfId="2" applyNumberFormat="1" applyFont="1" applyFill="1" applyBorder="1"/>
    <xf numFmtId="0" fontId="50" fillId="0" borderId="64" xfId="0" applyFont="1" applyBorder="1" applyAlignment="1">
      <alignment horizontal="left"/>
    </xf>
    <xf numFmtId="0" fontId="50" fillId="0" borderId="27" xfId="0" applyFont="1" applyBorder="1" applyAlignment="1">
      <alignment horizontal="center"/>
    </xf>
    <xf numFmtId="0" fontId="50" fillId="0" borderId="39" xfId="0" applyFont="1" applyBorder="1" applyAlignment="1">
      <alignment horizontal="center"/>
    </xf>
    <xf numFmtId="0" fontId="27" fillId="0" borderId="0" xfId="0" applyFont="1"/>
    <xf numFmtId="0" fontId="50" fillId="0" borderId="26" xfId="0" applyFont="1" applyBorder="1" applyAlignment="1">
      <alignment horizontal="center"/>
    </xf>
    <xf numFmtId="0" fontId="50" fillId="0" borderId="28" xfId="0" applyFont="1" applyBorder="1" applyAlignment="1">
      <alignment horizontal="center"/>
    </xf>
    <xf numFmtId="175" fontId="52" fillId="0" borderId="36" xfId="0" applyNumberFormat="1" applyFont="1" applyBorder="1" applyAlignment="1">
      <alignment horizontal="right" vertical="center"/>
    </xf>
    <xf numFmtId="3" fontId="52" fillId="0" borderId="36" xfId="0" applyNumberFormat="1" applyFont="1" applyBorder="1" applyAlignment="1">
      <alignment horizontal="right" vertical="center"/>
    </xf>
    <xf numFmtId="175" fontId="52" fillId="0" borderId="10" xfId="0" applyNumberFormat="1" applyFont="1" applyBorder="1" applyAlignment="1">
      <alignment horizontal="right" vertical="center"/>
    </xf>
    <xf numFmtId="175" fontId="52" fillId="0" borderId="36" xfId="0" applyNumberFormat="1" applyFont="1" applyBorder="1" applyAlignment="1">
      <alignment horizontal="left" vertical="center"/>
    </xf>
    <xf numFmtId="175" fontId="52" fillId="0" borderId="10" xfId="0" applyNumberFormat="1" applyFont="1" applyBorder="1" applyAlignment="1">
      <alignment horizontal="left" vertical="center"/>
    </xf>
    <xf numFmtId="0" fontId="50" fillId="0" borderId="36" xfId="0" applyFont="1" applyBorder="1" applyAlignment="1">
      <alignment horizontal="center"/>
    </xf>
    <xf numFmtId="175" fontId="52" fillId="0" borderId="27" xfId="0" applyNumberFormat="1" applyFont="1" applyBorder="1" applyAlignment="1">
      <alignment horizontal="left" vertical="center"/>
    </xf>
    <xf numFmtId="0" fontId="50" fillId="0" borderId="28" xfId="0" applyFont="1" applyBorder="1" applyAlignment="1">
      <alignment horizontal="left" vertical="center" wrapText="1"/>
    </xf>
    <xf numFmtId="175" fontId="52" fillId="29" borderId="9" xfId="0" applyNumberFormat="1" applyFont="1" applyFill="1" applyBorder="1" applyAlignment="1">
      <alignment horizontal="left" vertical="center"/>
    </xf>
    <xf numFmtId="0" fontId="50" fillId="0" borderId="18" xfId="0" applyFont="1" applyBorder="1" applyAlignment="1">
      <alignment horizontal="left" vertical="center" wrapText="1"/>
    </xf>
    <xf numFmtId="0" fontId="50" fillId="0" borderId="18" xfId="0" applyFont="1" applyBorder="1" applyAlignment="1">
      <alignment horizontal="left"/>
    </xf>
    <xf numFmtId="0" fontId="50" fillId="0" borderId="35" xfId="0" applyFont="1" applyBorder="1" applyAlignment="1">
      <alignment horizontal="center"/>
    </xf>
    <xf numFmtId="3" fontId="52" fillId="13" borderId="5" xfId="1" applyNumberFormat="1" applyFont="1" applyFill="1" applyBorder="1"/>
    <xf numFmtId="3" fontId="52" fillId="13" borderId="0" xfId="1" applyNumberFormat="1" applyFont="1" applyFill="1" applyBorder="1"/>
    <xf numFmtId="0" fontId="50" fillId="23" borderId="2" xfId="0" applyFont="1" applyFill="1" applyBorder="1" applyAlignment="1">
      <alignment horizontal="left"/>
    </xf>
    <xf numFmtId="168" fontId="27" fillId="0" borderId="0" xfId="0" applyNumberFormat="1" applyFont="1"/>
    <xf numFmtId="9" fontId="52" fillId="0" borderId="0" xfId="0" applyNumberFormat="1" applyFont="1"/>
    <xf numFmtId="168" fontId="43" fillId="13" borderId="9" xfId="0" applyNumberFormat="1" applyFont="1" applyFill="1" applyBorder="1"/>
    <xf numFmtId="175" fontId="52" fillId="0" borderId="9" xfId="0" applyNumberFormat="1" applyFont="1" applyBorder="1"/>
    <xf numFmtId="0" fontId="52" fillId="0" borderId="9" xfId="0" applyFont="1" applyBorder="1" applyAlignment="1">
      <alignment horizontal="center" vertical="center" wrapText="1"/>
    </xf>
    <xf numFmtId="0" fontId="52" fillId="0" borderId="31" xfId="0" applyFont="1" applyBorder="1" applyAlignment="1">
      <alignment vertical="center" wrapText="1"/>
    </xf>
    <xf numFmtId="0" fontId="102" fillId="0" borderId="0" xfId="0" applyFont="1" applyAlignment="1">
      <alignment horizontal="left" vertical="center" wrapText="1"/>
    </xf>
    <xf numFmtId="0" fontId="52" fillId="0" borderId="0" xfId="0" applyFont="1" applyAlignment="1">
      <alignment horizontal="center" vertical="center" wrapText="1"/>
    </xf>
    <xf numFmtId="0" fontId="61" fillId="0" borderId="0" xfId="0" applyFont="1" applyProtection="1">
      <protection locked="0"/>
    </xf>
    <xf numFmtId="0" fontId="106" fillId="0" borderId="0" xfId="0" applyFont="1" applyAlignment="1">
      <alignment horizontal="left" vertical="center" wrapText="1"/>
    </xf>
    <xf numFmtId="175" fontId="106" fillId="0" borderId="0" xfId="0" applyNumberFormat="1" applyFont="1" applyAlignment="1">
      <alignment horizontal="right" vertical="center"/>
    </xf>
    <xf numFmtId="0" fontId="106" fillId="0" borderId="0" xfId="0" applyFont="1"/>
    <xf numFmtId="0" fontId="52" fillId="11" borderId="0" xfId="0" applyFont="1" applyFill="1" applyAlignment="1">
      <alignment horizontal="left" vertical="center" wrapText="1"/>
    </xf>
    <xf numFmtId="175" fontId="50" fillId="0" borderId="18" xfId="0" applyNumberFormat="1" applyFont="1" applyBorder="1" applyAlignment="1">
      <alignment horizontal="left" vertical="center"/>
    </xf>
    <xf numFmtId="0" fontId="50" fillId="0" borderId="18" xfId="0" applyFont="1" applyBorder="1" applyAlignment="1">
      <alignment horizontal="center"/>
    </xf>
    <xf numFmtId="175" fontId="52" fillId="0" borderId="27" xfId="0" applyNumberFormat="1" applyFont="1" applyBorder="1"/>
    <xf numFmtId="0" fontId="52" fillId="0" borderId="27" xfId="0" applyFont="1" applyBorder="1" applyAlignment="1">
      <alignment horizontal="center" vertical="center" wrapText="1"/>
    </xf>
    <xf numFmtId="0" fontId="26" fillId="0" borderId="0" xfId="0" applyFont="1"/>
    <xf numFmtId="0" fontId="50" fillId="21" borderId="16" xfId="0" applyFont="1" applyFill="1" applyBorder="1" applyAlignment="1">
      <alignment horizontal="left"/>
    </xf>
    <xf numFmtId="0" fontId="52" fillId="0" borderId="38" xfId="0" applyFont="1" applyBorder="1" applyAlignment="1">
      <alignment horizontal="left" indent="3"/>
    </xf>
    <xf numFmtId="0" fontId="50" fillId="20" borderId="38" xfId="0" applyFont="1" applyFill="1" applyBorder="1" applyAlignment="1">
      <alignment horizontal="left"/>
    </xf>
    <xf numFmtId="0" fontId="52" fillId="0" borderId="38" xfId="0" applyFont="1" applyBorder="1" applyAlignment="1">
      <alignment horizontal="left" indent="1"/>
    </xf>
    <xf numFmtId="0" fontId="50" fillId="18" borderId="38" xfId="0" applyFont="1" applyFill="1" applyBorder="1" applyAlignment="1">
      <alignment horizontal="left"/>
    </xf>
    <xf numFmtId="0" fontId="50" fillId="22" borderId="38" xfId="0" applyFont="1" applyFill="1" applyBorder="1" applyAlignment="1">
      <alignment horizontal="left"/>
    </xf>
    <xf numFmtId="0" fontId="52" fillId="0" borderId="40" xfId="0" applyFont="1" applyBorder="1" applyAlignment="1">
      <alignment horizontal="left" indent="3"/>
    </xf>
    <xf numFmtId="0" fontId="52" fillId="0" borderId="2" xfId="0" applyFont="1" applyBorder="1" applyAlignment="1">
      <alignment horizontal="left" indent="3"/>
    </xf>
    <xf numFmtId="0" fontId="42" fillId="23" borderId="38" xfId="0" applyFont="1" applyFill="1" applyBorder="1" applyAlignment="1">
      <alignment horizontal="left"/>
    </xf>
    <xf numFmtId="0" fontId="46" fillId="0" borderId="37" xfId="0" applyFont="1" applyBorder="1" applyAlignment="1">
      <alignment horizontal="left" indent="1"/>
    </xf>
    <xf numFmtId="0" fontId="50" fillId="13" borderId="18" xfId="0" applyFont="1" applyFill="1" applyBorder="1" applyProtection="1">
      <protection locked="0"/>
    </xf>
    <xf numFmtId="0" fontId="49" fillId="13" borderId="18" xfId="0" applyFont="1" applyFill="1" applyBorder="1" applyAlignment="1">
      <alignment horizontal="center"/>
    </xf>
    <xf numFmtId="0" fontId="50" fillId="13" borderId="18" xfId="0" applyFont="1" applyFill="1" applyBorder="1"/>
    <xf numFmtId="191" fontId="52" fillId="0" borderId="21" xfId="0" applyNumberFormat="1" applyFont="1" applyBorder="1"/>
    <xf numFmtId="168" fontId="52" fillId="56" borderId="0" xfId="0" applyNumberFormat="1" applyFont="1" applyFill="1"/>
    <xf numFmtId="168" fontId="50" fillId="56" borderId="15" xfId="0" applyNumberFormat="1" applyFont="1" applyFill="1" applyBorder="1"/>
    <xf numFmtId="175" fontId="52" fillId="0" borderId="31" xfId="0" applyNumberFormat="1" applyFont="1" applyBorder="1"/>
    <xf numFmtId="0" fontId="52" fillId="0" borderId="16" xfId="0" applyFont="1" applyBorder="1" applyAlignment="1">
      <alignment horizontal="left"/>
    </xf>
    <xf numFmtId="0" fontId="52" fillId="0" borderId="39" xfId="0" applyFont="1" applyBorder="1" applyAlignment="1">
      <alignment horizontal="left"/>
    </xf>
    <xf numFmtId="0" fontId="25" fillId="0" borderId="0" xfId="0" applyFont="1"/>
    <xf numFmtId="49" fontId="49" fillId="0" borderId="0" xfId="0" applyNumberFormat="1" applyFont="1" applyAlignment="1">
      <alignment horizontal="left"/>
    </xf>
    <xf numFmtId="0" fontId="25" fillId="11" borderId="18" xfId="0" applyFont="1" applyFill="1" applyBorder="1" applyAlignment="1">
      <alignment horizontal="left"/>
    </xf>
    <xf numFmtId="0" fontId="25" fillId="0" borderId="0" xfId="0" applyFont="1" applyAlignment="1">
      <alignment horizontal="left" indent="2"/>
    </xf>
    <xf numFmtId="166" fontId="52" fillId="13" borderId="0" xfId="2" applyNumberFormat="1" applyFont="1" applyFill="1" applyBorder="1"/>
    <xf numFmtId="0" fontId="52" fillId="13" borderId="0" xfId="0" applyFont="1" applyFill="1" applyAlignment="1">
      <alignment horizontal="left" indent="1"/>
    </xf>
    <xf numFmtId="0" fontId="52" fillId="13" borderId="36" xfId="0" applyFont="1" applyFill="1" applyBorder="1" applyAlignment="1">
      <alignment horizontal="left" vertical="center" wrapText="1"/>
    </xf>
    <xf numFmtId="0" fontId="52" fillId="13" borderId="27" xfId="0" applyFont="1" applyFill="1" applyBorder="1" applyAlignment="1">
      <alignment horizontal="left" vertical="center" wrapText="1"/>
    </xf>
    <xf numFmtId="175" fontId="52" fillId="13" borderId="31" xfId="0" applyNumberFormat="1" applyFont="1" applyFill="1" applyBorder="1" applyAlignment="1">
      <alignment horizontal="right" vertical="center"/>
    </xf>
    <xf numFmtId="175" fontId="52" fillId="13" borderId="0" xfId="0" applyNumberFormat="1" applyFont="1" applyFill="1" applyAlignment="1">
      <alignment horizontal="right" vertical="center"/>
    </xf>
    <xf numFmtId="3" fontId="52" fillId="13" borderId="31" xfId="0" applyNumberFormat="1" applyFont="1" applyFill="1" applyBorder="1" applyAlignment="1">
      <alignment horizontal="right" vertical="center"/>
    </xf>
    <xf numFmtId="0" fontId="52" fillId="13" borderId="26" xfId="0" applyFont="1" applyFill="1" applyBorder="1" applyAlignment="1">
      <alignment horizontal="left" vertical="center" wrapText="1"/>
    </xf>
    <xf numFmtId="0" fontId="52" fillId="13" borderId="0" xfId="0" applyFont="1" applyFill="1" applyAlignment="1">
      <alignment horizontal="left" vertical="center" wrapText="1"/>
    </xf>
    <xf numFmtId="0" fontId="52" fillId="13" borderId="31" xfId="0" applyFont="1" applyFill="1" applyBorder="1" applyAlignment="1">
      <alignment horizontal="left" vertical="center" wrapText="1"/>
    </xf>
    <xf numFmtId="0" fontId="50" fillId="0" borderId="9" xfId="0" applyFont="1" applyBorder="1" applyAlignment="1">
      <alignment horizontal="center"/>
    </xf>
    <xf numFmtId="0" fontId="50" fillId="0" borderId="17" xfId="0" applyFont="1" applyBorder="1" applyAlignment="1">
      <alignment horizontal="center"/>
    </xf>
    <xf numFmtId="0" fontId="50" fillId="0" borderId="27" xfId="0" applyFont="1" applyBorder="1" applyAlignment="1">
      <alignment horizontal="left"/>
    </xf>
    <xf numFmtId="0" fontId="50" fillId="0" borderId="62" xfId="0" applyFont="1" applyBorder="1" applyAlignment="1">
      <alignment horizontal="left"/>
    </xf>
    <xf numFmtId="0" fontId="50" fillId="0" borderId="62" xfId="0" applyFont="1" applyBorder="1" applyAlignment="1">
      <alignment horizontal="center"/>
    </xf>
    <xf numFmtId="0" fontId="50" fillId="0" borderId="61" xfId="0" applyFont="1" applyBorder="1" applyAlignment="1">
      <alignment horizontal="center"/>
    </xf>
    <xf numFmtId="0" fontId="50" fillId="0" borderId="26" xfId="0" applyFont="1" applyBorder="1" applyAlignment="1">
      <alignment horizontal="left"/>
    </xf>
    <xf numFmtId="0" fontId="52" fillId="0" borderId="28" xfId="0" applyFont="1" applyBorder="1"/>
    <xf numFmtId="0" fontId="25" fillId="0" borderId="28" xfId="0" applyFont="1" applyBorder="1"/>
    <xf numFmtId="0" fontId="25" fillId="0" borderId="39" xfId="0" applyFont="1" applyBorder="1"/>
    <xf numFmtId="0" fontId="52" fillId="13" borderId="31" xfId="0" applyFont="1" applyFill="1" applyBorder="1" applyAlignment="1">
      <alignment vertical="center" wrapText="1"/>
    </xf>
    <xf numFmtId="0" fontId="93" fillId="0" borderId="0" xfId="0" applyFont="1" applyAlignment="1">
      <alignment horizontal="left" vertical="center" wrapText="1"/>
    </xf>
    <xf numFmtId="0" fontId="48" fillId="57" borderId="0" xfId="0" applyFont="1" applyFill="1"/>
    <xf numFmtId="1" fontId="92" fillId="57" borderId="0" xfId="0" applyNumberFormat="1" applyFont="1" applyFill="1"/>
    <xf numFmtId="0" fontId="50" fillId="32" borderId="0" xfId="0" applyFont="1" applyFill="1"/>
    <xf numFmtId="1" fontId="43" fillId="51" borderId="0" xfId="0" applyNumberFormat="1" applyFont="1" applyFill="1"/>
    <xf numFmtId="0" fontId="52" fillId="13" borderId="35" xfId="0" applyFont="1" applyFill="1" applyBorder="1" applyAlignment="1">
      <alignment horizontal="left" vertical="center" wrapText="1"/>
    </xf>
    <xf numFmtId="0" fontId="50" fillId="24" borderId="0" xfId="0" applyFont="1" applyFill="1" applyProtection="1">
      <protection locked="0"/>
    </xf>
    <xf numFmtId="0" fontId="43" fillId="24" borderId="0" xfId="0" applyFont="1" applyFill="1"/>
    <xf numFmtId="0" fontId="48" fillId="57" borderId="0" xfId="0" applyFont="1" applyFill="1" applyProtection="1">
      <protection locked="0"/>
    </xf>
    <xf numFmtId="0" fontId="48" fillId="57" borderId="0" xfId="0" applyFont="1" applyFill="1" applyAlignment="1">
      <alignment horizontal="center"/>
    </xf>
    <xf numFmtId="0" fontId="50" fillId="20" borderId="0" xfId="0" applyFont="1" applyFill="1" applyProtection="1">
      <protection locked="0"/>
    </xf>
    <xf numFmtId="0" fontId="50" fillId="0" borderId="35" xfId="0" applyFont="1" applyBorder="1" applyAlignment="1">
      <alignment horizontal="left"/>
    </xf>
    <xf numFmtId="3" fontId="52" fillId="0" borderId="9" xfId="0" applyNumberFormat="1" applyFont="1" applyBorder="1" applyAlignment="1">
      <alignment horizontal="right" vertical="center"/>
    </xf>
    <xf numFmtId="0" fontId="24" fillId="27" borderId="0" xfId="0" applyFont="1" applyFill="1"/>
    <xf numFmtId="0" fontId="24" fillId="0" borderId="0" xfId="0" applyFont="1"/>
    <xf numFmtId="0" fontId="50" fillId="18" borderId="1" xfId="0" applyFont="1" applyFill="1" applyBorder="1" applyAlignment="1">
      <alignment horizontal="left"/>
    </xf>
    <xf numFmtId="0" fontId="50" fillId="18" borderId="1" xfId="0" applyFont="1" applyFill="1" applyBorder="1" applyAlignment="1">
      <alignment horizontal="center"/>
    </xf>
    <xf numFmtId="0" fontId="50" fillId="15" borderId="1" xfId="0" applyFont="1" applyFill="1" applyBorder="1" applyAlignment="1">
      <alignment horizontal="left"/>
    </xf>
    <xf numFmtId="0" fontId="50" fillId="15" borderId="1" xfId="0" applyFont="1" applyFill="1" applyBorder="1" applyAlignment="1">
      <alignment horizontal="center"/>
    </xf>
    <xf numFmtId="0" fontId="50" fillId="20" borderId="1" xfId="0" applyFont="1" applyFill="1" applyBorder="1" applyAlignment="1">
      <alignment horizontal="left"/>
    </xf>
    <xf numFmtId="0" fontId="50" fillId="20" borderId="1" xfId="0" applyFont="1" applyFill="1" applyBorder="1" applyAlignment="1">
      <alignment horizontal="center"/>
    </xf>
    <xf numFmtId="0" fontId="50" fillId="29" borderId="1" xfId="0" applyFont="1" applyFill="1" applyBorder="1" applyAlignment="1">
      <alignment horizontal="left"/>
    </xf>
    <xf numFmtId="0" fontId="50" fillId="29" borderId="1" xfId="0" applyFont="1" applyFill="1" applyBorder="1" applyAlignment="1">
      <alignment horizontal="center"/>
    </xf>
    <xf numFmtId="179" fontId="50" fillId="0" borderId="0" xfId="0" applyNumberFormat="1" applyFont="1" applyAlignment="1">
      <alignment horizontal="right" vertical="center"/>
    </xf>
    <xf numFmtId="0" fontId="48" fillId="57" borderId="0" xfId="0" applyFont="1" applyFill="1" applyAlignment="1">
      <alignment horizontal="left"/>
    </xf>
    <xf numFmtId="0" fontId="50" fillId="0" borderId="10" xfId="0" applyFont="1" applyBorder="1"/>
    <xf numFmtId="0" fontId="50" fillId="0" borderId="36" xfId="0" applyFont="1" applyBorder="1"/>
    <xf numFmtId="175" fontId="52" fillId="32" borderId="0" xfId="0" applyNumberFormat="1" applyFont="1" applyFill="1" applyAlignment="1">
      <alignment horizontal="right" vertical="center"/>
    </xf>
    <xf numFmtId="0" fontId="49" fillId="0" borderId="31" xfId="0" applyFont="1" applyBorder="1" applyAlignment="1">
      <alignment horizontal="center"/>
    </xf>
    <xf numFmtId="0" fontId="50" fillId="29" borderId="76" xfId="0" applyFont="1" applyFill="1" applyBorder="1" applyAlignment="1">
      <alignment horizontal="left" vertical="center" wrapText="1"/>
    </xf>
    <xf numFmtId="4" fontId="52" fillId="0" borderId="21" xfId="0" applyNumberFormat="1" applyFont="1" applyBorder="1" applyAlignment="1">
      <alignment horizontal="right" vertical="center"/>
    </xf>
    <xf numFmtId="175" fontId="50" fillId="0" borderId="0" xfId="0" applyNumberFormat="1" applyFont="1" applyAlignment="1">
      <alignment horizontal="left" vertical="center"/>
    </xf>
    <xf numFmtId="0" fontId="52" fillId="28" borderId="17" xfId="0" applyFont="1" applyFill="1" applyBorder="1" applyAlignment="1">
      <alignment horizontal="left" vertical="center" wrapText="1"/>
    </xf>
    <xf numFmtId="0" fontId="52" fillId="53" borderId="21" xfId="0" applyFont="1" applyFill="1" applyBorder="1" applyAlignment="1">
      <alignment horizontal="left" vertical="center" wrapText="1"/>
    </xf>
    <xf numFmtId="0" fontId="49" fillId="0" borderId="18" xfId="0" applyFont="1" applyBorder="1"/>
    <xf numFmtId="0" fontId="49" fillId="0" borderId="35" xfId="0" applyFont="1" applyBorder="1" applyAlignment="1">
      <alignment horizontal="left"/>
    </xf>
    <xf numFmtId="4" fontId="52" fillId="58" borderId="9" xfId="0" applyNumberFormat="1" applyFont="1" applyFill="1" applyBorder="1" applyAlignment="1">
      <alignment horizontal="right" vertical="center"/>
    </xf>
    <xf numFmtId="175" fontId="52" fillId="58" borderId="31" xfId="0" applyNumberFormat="1" applyFont="1" applyFill="1" applyBorder="1" applyAlignment="1">
      <alignment horizontal="right" vertical="center"/>
    </xf>
    <xf numFmtId="175" fontId="24" fillId="29" borderId="31" xfId="0" applyNumberFormat="1" applyFont="1" applyFill="1" applyBorder="1" applyAlignment="1">
      <alignment horizontal="right" vertical="center"/>
    </xf>
    <xf numFmtId="3" fontId="24" fillId="29" borderId="31" xfId="0" applyNumberFormat="1" applyFont="1" applyFill="1" applyBorder="1" applyAlignment="1">
      <alignment horizontal="right" vertical="center"/>
    </xf>
    <xf numFmtId="175" fontId="24" fillId="29" borderId="21" xfId="0" applyNumberFormat="1" applyFont="1" applyFill="1" applyBorder="1" applyAlignment="1">
      <alignment horizontal="right" vertical="center"/>
    </xf>
    <xf numFmtId="43" fontId="50" fillId="0" borderId="9" xfId="5" applyNumberFormat="1" applyFont="1" applyBorder="1"/>
    <xf numFmtId="166" fontId="52" fillId="0" borderId="9" xfId="1" applyNumberFormat="1" applyFont="1" applyFill="1" applyBorder="1" applyAlignment="1">
      <alignment horizontal="right"/>
    </xf>
    <xf numFmtId="184" fontId="50" fillId="0" borderId="9" xfId="5" applyNumberFormat="1" applyFont="1" applyBorder="1"/>
    <xf numFmtId="0" fontId="50" fillId="0" borderId="30" xfId="0" applyFont="1" applyBorder="1"/>
    <xf numFmtId="39" fontId="50" fillId="0" borderId="15" xfId="1" applyNumberFormat="1" applyFont="1" applyFill="1" applyBorder="1"/>
    <xf numFmtId="43" fontId="50" fillId="0" borderId="15" xfId="1" applyFont="1" applyFill="1" applyBorder="1"/>
    <xf numFmtId="180" fontId="56" fillId="0" borderId="0" xfId="1" applyNumberFormat="1" applyFont="1" applyFill="1" applyBorder="1"/>
    <xf numFmtId="0" fontId="23" fillId="0" borderId="0" xfId="0" applyFont="1"/>
    <xf numFmtId="0" fontId="50" fillId="0" borderId="53" xfId="0" applyFont="1" applyBorder="1"/>
    <xf numFmtId="0" fontId="50" fillId="0" borderId="16" xfId="5" applyFont="1" applyBorder="1"/>
    <xf numFmtId="166" fontId="50" fillId="0" borderId="16" xfId="1" applyNumberFormat="1" applyFont="1" applyFill="1" applyBorder="1" applyAlignment="1">
      <alignment horizontal="right"/>
    </xf>
    <xf numFmtId="0" fontId="23" fillId="11" borderId="18" xfId="0" applyFont="1" applyFill="1" applyBorder="1" applyAlignment="1">
      <alignment horizontal="center"/>
    </xf>
    <xf numFmtId="0" fontId="23" fillId="23" borderId="9" xfId="0" applyFont="1" applyFill="1" applyBorder="1" applyAlignment="1">
      <alignment horizontal="right"/>
    </xf>
    <xf numFmtId="0" fontId="23" fillId="0" borderId="0" xfId="0" applyFont="1" applyAlignment="1">
      <alignment vertical="top"/>
    </xf>
    <xf numFmtId="0" fontId="52" fillId="0" borderId="31" xfId="0" applyFont="1" applyBorder="1" applyAlignment="1">
      <alignment horizontal="left" wrapText="1"/>
    </xf>
    <xf numFmtId="0" fontId="108" fillId="0" borderId="0" xfId="0" applyFont="1"/>
    <xf numFmtId="0" fontId="107" fillId="0" borderId="5" xfId="0" applyFont="1" applyBorder="1"/>
    <xf numFmtId="0" fontId="109" fillId="0" borderId="0" xfId="3" applyFont="1" applyAlignment="1" applyProtection="1"/>
    <xf numFmtId="0" fontId="46" fillId="0" borderId="9" xfId="0" applyFont="1" applyBorder="1" applyAlignment="1">
      <alignment horizontal="left"/>
    </xf>
    <xf numFmtId="0" fontId="108" fillId="0" borderId="0" xfId="0" applyFont="1" applyAlignment="1">
      <alignment horizontal="left"/>
    </xf>
    <xf numFmtId="0" fontId="110" fillId="0" borderId="0" xfId="0" applyFont="1" applyAlignment="1">
      <alignment horizontal="left" wrapText="1"/>
    </xf>
    <xf numFmtId="0" fontId="23" fillId="0" borderId="0" xfId="0" applyFont="1" applyAlignment="1">
      <alignment horizontal="center"/>
    </xf>
    <xf numFmtId="0" fontId="49" fillId="54" borderId="29" xfId="0" applyFont="1" applyFill="1" applyBorder="1"/>
    <xf numFmtId="0" fontId="49" fillId="18" borderId="29" xfId="0" applyFont="1" applyFill="1" applyBorder="1"/>
    <xf numFmtId="0" fontId="49" fillId="0" borderId="0" xfId="12" applyFont="1" applyFill="1" applyBorder="1"/>
    <xf numFmtId="0" fontId="23" fillId="0" borderId="0" xfId="0" applyFont="1" applyAlignment="1">
      <alignment horizontal="left"/>
    </xf>
    <xf numFmtId="0" fontId="111" fillId="13" borderId="9" xfId="0" applyFont="1" applyFill="1" applyBorder="1" applyAlignment="1">
      <alignment horizontal="center"/>
    </xf>
    <xf numFmtId="0" fontId="69" fillId="26" borderId="0" xfId="0" applyFont="1" applyFill="1" applyAlignment="1">
      <alignment vertical="center" readingOrder="1"/>
    </xf>
    <xf numFmtId="0" fontId="22" fillId="0" borderId="0" xfId="0" applyFont="1"/>
    <xf numFmtId="14" fontId="43" fillId="0" borderId="0" xfId="0" applyNumberFormat="1" applyFont="1" applyAlignment="1">
      <alignment horizontal="center"/>
    </xf>
    <xf numFmtId="0" fontId="52" fillId="0" borderId="0" xfId="0" applyFont="1" applyAlignment="1" applyProtection="1">
      <alignment horizontal="left"/>
      <protection locked="0"/>
    </xf>
    <xf numFmtId="0" fontId="35" fillId="0" borderId="0" xfId="3" applyFill="1" applyBorder="1" applyAlignment="1" applyProtection="1"/>
    <xf numFmtId="0" fontId="112" fillId="0" borderId="0" xfId="3" applyFont="1" applyFill="1" applyBorder="1" applyAlignment="1" applyProtection="1"/>
    <xf numFmtId="0" fontId="21" fillId="0" borderId="0" xfId="0" applyFont="1"/>
    <xf numFmtId="0" fontId="20" fillId="0" borderId="0" xfId="0" applyFont="1"/>
    <xf numFmtId="0" fontId="48" fillId="0" borderId="18" xfId="0" applyFont="1" applyBorder="1" applyAlignment="1">
      <alignment horizontal="left"/>
    </xf>
    <xf numFmtId="0" fontId="27" fillId="0" borderId="9" xfId="0" applyFont="1" applyBorder="1" applyAlignment="1">
      <alignment horizontal="center"/>
    </xf>
    <xf numFmtId="0" fontId="19" fillId="0" borderId="18" xfId="0" applyFont="1" applyBorder="1"/>
    <xf numFmtId="0" fontId="19" fillId="0" borderId="0" xfId="0" applyFont="1"/>
    <xf numFmtId="0" fontId="18" fillId="0" borderId="0" xfId="0" applyFont="1"/>
    <xf numFmtId="0" fontId="17" fillId="0" borderId="0" xfId="0" applyFont="1"/>
    <xf numFmtId="0" fontId="113" fillId="0" borderId="0" xfId="0" applyFont="1"/>
    <xf numFmtId="168" fontId="17" fillId="0" borderId="0" xfId="0" applyNumberFormat="1" applyFont="1"/>
    <xf numFmtId="168" fontId="16" fillId="0" borderId="0" xfId="0" applyNumberFormat="1" applyFont="1"/>
    <xf numFmtId="0" fontId="16" fillId="0" borderId="0" xfId="0" applyFont="1"/>
    <xf numFmtId="175" fontId="15" fillId="0" borderId="0" xfId="0" applyNumberFormat="1" applyFont="1" applyAlignment="1">
      <alignment horizontal="right" vertical="center"/>
    </xf>
    <xf numFmtId="175" fontId="15" fillId="0" borderId="0" xfId="0" applyNumberFormat="1" applyFont="1" applyAlignment="1">
      <alignment horizontal="left" vertical="center"/>
    </xf>
    <xf numFmtId="0" fontId="15" fillId="0" borderId="9" xfId="0" applyFont="1" applyBorder="1" applyAlignment="1">
      <alignment horizontal="left" vertical="center" wrapText="1" indent="1"/>
    </xf>
    <xf numFmtId="0" fontId="15" fillId="0" borderId="0" xfId="0" applyFont="1" applyAlignment="1">
      <alignment horizontal="left" vertical="center" wrapText="1"/>
    </xf>
    <xf numFmtId="0" fontId="15" fillId="0" borderId="0" xfId="0" applyFont="1"/>
    <xf numFmtId="0" fontId="14" fillId="0" borderId="0" xfId="0" applyFont="1"/>
    <xf numFmtId="0" fontId="52" fillId="13" borderId="0" xfId="0" applyFont="1" applyFill="1" applyAlignment="1">
      <alignment horizontal="left" wrapText="1"/>
    </xf>
    <xf numFmtId="173" fontId="43" fillId="13" borderId="0" xfId="0" applyNumberFormat="1" applyFont="1" applyFill="1"/>
    <xf numFmtId="0" fontId="52" fillId="0" borderId="16" xfId="0" applyFont="1" applyBorder="1" applyAlignment="1">
      <alignment horizontal="left" vertical="center" wrapText="1"/>
    </xf>
    <xf numFmtId="0" fontId="15" fillId="0" borderId="0" xfId="0" applyFont="1" applyAlignment="1">
      <alignment vertical="center" wrapText="1"/>
    </xf>
    <xf numFmtId="0" fontId="15" fillId="0" borderId="0" xfId="0" applyFont="1" applyAlignment="1">
      <alignment horizontal="left"/>
    </xf>
    <xf numFmtId="4" fontId="15" fillId="0" borderId="31" xfId="0" applyNumberFormat="1" applyFont="1" applyBorder="1"/>
    <xf numFmtId="0" fontId="15" fillId="0" borderId="38" xfId="0" applyFont="1" applyBorder="1" applyAlignment="1">
      <alignment horizontal="left" indent="1"/>
    </xf>
    <xf numFmtId="0" fontId="15" fillId="18" borderId="0" xfId="0" applyFont="1" applyFill="1"/>
    <xf numFmtId="0" fontId="14" fillId="0" borderId="0" xfId="0" applyFont="1" applyAlignment="1">
      <alignment horizontal="left" indent="2"/>
    </xf>
    <xf numFmtId="0" fontId="15" fillId="0" borderId="0" xfId="0" applyFont="1" applyAlignment="1">
      <alignment horizontal="left" vertical="center" readingOrder="1"/>
    </xf>
    <xf numFmtId="0" fontId="15" fillId="0" borderId="0" xfId="0" applyFont="1" applyAlignment="1">
      <alignment horizontal="left" indent="1"/>
    </xf>
    <xf numFmtId="0" fontId="15" fillId="0" borderId="1" xfId="0" applyFont="1" applyBorder="1" applyAlignment="1">
      <alignment horizontal="left" indent="1"/>
    </xf>
    <xf numFmtId="0" fontId="15" fillId="0" borderId="0" xfId="0" applyFont="1" applyAlignment="1">
      <alignment horizontal="right"/>
    </xf>
    <xf numFmtId="0" fontId="13" fillId="0" borderId="0" xfId="0" applyFont="1"/>
    <xf numFmtId="0" fontId="13" fillId="13" borderId="9" xfId="0" applyFont="1" applyFill="1" applyBorder="1" applyAlignment="1">
      <alignment horizontal="center"/>
    </xf>
    <xf numFmtId="0" fontId="13" fillId="2" borderId="0" xfId="0" applyFont="1" applyFill="1"/>
    <xf numFmtId="0" fontId="13" fillId="10" borderId="0" xfId="0" applyFont="1" applyFill="1"/>
    <xf numFmtId="168" fontId="15" fillId="0" borderId="1" xfId="0" applyNumberFormat="1" applyFont="1" applyBorder="1" applyAlignment="1">
      <alignment horizontal="right"/>
    </xf>
    <xf numFmtId="175" fontId="15" fillId="0" borderId="1" xfId="0" applyNumberFormat="1" applyFont="1" applyBorder="1" applyAlignment="1">
      <alignment horizontal="right"/>
    </xf>
    <xf numFmtId="0" fontId="12" fillId="0" borderId="0" xfId="0" applyFont="1" applyAlignment="1">
      <alignment horizontal="left"/>
    </xf>
    <xf numFmtId="0" fontId="11" fillId="0" borderId="0" xfId="0" applyFont="1" applyAlignment="1">
      <alignment horizontal="left"/>
    </xf>
    <xf numFmtId="0" fontId="11" fillId="0" borderId="0" xfId="0" applyFont="1"/>
    <xf numFmtId="0" fontId="11" fillId="26" borderId="0" xfId="0" applyFont="1" applyFill="1"/>
    <xf numFmtId="14" fontId="50" fillId="0" borderId="0" xfId="0" applyNumberFormat="1" applyFont="1"/>
    <xf numFmtId="14" fontId="15" fillId="0" borderId="0" xfId="0" applyNumberFormat="1" applyFont="1"/>
    <xf numFmtId="0" fontId="9" fillId="0" borderId="0" xfId="0" applyFont="1"/>
    <xf numFmtId="0" fontId="10" fillId="0" borderId="0" xfId="3" applyFont="1" applyAlignment="1" applyProtection="1"/>
    <xf numFmtId="0" fontId="10" fillId="0" borderId="0" xfId="0" applyFont="1"/>
    <xf numFmtId="0" fontId="9" fillId="0" borderId="0" xfId="0" applyFont="1" applyAlignment="1">
      <alignment wrapText="1"/>
    </xf>
    <xf numFmtId="0" fontId="11" fillId="0" borderId="0" xfId="0" applyFont="1" applyAlignment="1">
      <alignment wrapText="1"/>
    </xf>
    <xf numFmtId="0" fontId="10" fillId="0" borderId="0" xfId="0" applyFont="1" applyAlignment="1">
      <alignment wrapText="1"/>
    </xf>
    <xf numFmtId="14" fontId="10" fillId="0" borderId="0" xfId="0" applyNumberFormat="1" applyFont="1"/>
    <xf numFmtId="0" fontId="13" fillId="13" borderId="0" xfId="0" applyFont="1" applyFill="1" applyAlignment="1">
      <alignment horizontal="left"/>
    </xf>
    <xf numFmtId="0" fontId="49" fillId="0" borderId="54" xfId="0" applyFont="1" applyBorder="1"/>
    <xf numFmtId="0" fontId="10" fillId="0" borderId="0" xfId="0" applyFont="1" applyAlignment="1">
      <alignment horizontal="left" vertical="center"/>
    </xf>
    <xf numFmtId="168" fontId="12" fillId="13" borderId="0" xfId="0" applyNumberFormat="1" applyFont="1" applyFill="1"/>
    <xf numFmtId="0" fontId="11" fillId="13" borderId="0" xfId="0" applyFont="1" applyFill="1" applyAlignment="1">
      <alignment horizontal="left"/>
    </xf>
    <xf numFmtId="0" fontId="69" fillId="13" borderId="0" xfId="0" applyFont="1" applyFill="1" applyAlignment="1">
      <alignment horizontal="left" vertical="center" readingOrder="1"/>
    </xf>
    <xf numFmtId="49" fontId="10" fillId="0" borderId="0" xfId="0" applyNumberFormat="1" applyFont="1" applyAlignment="1">
      <alignment horizontal="left"/>
    </xf>
    <xf numFmtId="0" fontId="10" fillId="0" borderId="0" xfId="0" applyFont="1" applyAlignment="1">
      <alignment horizontal="left" vertical="center" readingOrder="1"/>
    </xf>
    <xf numFmtId="175" fontId="10" fillId="0" borderId="0" xfId="0" applyNumberFormat="1" applyFont="1" applyAlignment="1">
      <alignment horizontal="left" vertical="center"/>
    </xf>
    <xf numFmtId="0" fontId="10" fillId="0" borderId="0" xfId="0" applyFont="1" applyAlignment="1">
      <alignment horizontal="left" wrapText="1"/>
    </xf>
    <xf numFmtId="14" fontId="8" fillId="0" borderId="0" xfId="0" applyNumberFormat="1" applyFont="1"/>
    <xf numFmtId="0" fontId="10" fillId="13" borderId="9" xfId="0" applyFont="1" applyFill="1" applyBorder="1" applyAlignment="1">
      <alignment horizontal="center"/>
    </xf>
    <xf numFmtId="0" fontId="8" fillId="13" borderId="9" xfId="0" applyFont="1" applyFill="1" applyBorder="1" applyAlignment="1">
      <alignment horizontal="center"/>
    </xf>
    <xf numFmtId="0" fontId="8" fillId="0" borderId="0" xfId="0" applyFont="1"/>
    <xf numFmtId="4" fontId="89" fillId="0" borderId="0" xfId="0" applyNumberFormat="1" applyFont="1"/>
    <xf numFmtId="4" fontId="15" fillId="0" borderId="0" xfId="0" applyNumberFormat="1" applyFont="1"/>
    <xf numFmtId="43" fontId="52" fillId="0" borderId="0" xfId="2" applyFont="1" applyFill="1"/>
    <xf numFmtId="0" fontId="43" fillId="0" borderId="28" xfId="0" applyFont="1" applyBorder="1" applyAlignment="1">
      <alignment vertical="center" wrapText="1"/>
    </xf>
    <xf numFmtId="0" fontId="52" fillId="11" borderId="0" xfId="0" applyFont="1" applyFill="1" applyAlignment="1">
      <alignment horizontal="left" vertical="center" wrapText="1" indent="1"/>
    </xf>
    <xf numFmtId="166" fontId="52" fillId="0" borderId="0" xfId="2" applyNumberFormat="1" applyFont="1" applyFill="1" applyBorder="1"/>
    <xf numFmtId="0" fontId="52" fillId="0" borderId="0" xfId="5" applyFont="1"/>
    <xf numFmtId="0" fontId="50" fillId="0" borderId="0" xfId="0" applyFont="1" applyAlignment="1">
      <alignment horizontal="center" vertical="top" wrapText="1"/>
    </xf>
    <xf numFmtId="167" fontId="52" fillId="0" borderId="0" xfId="0" applyNumberFormat="1" applyFont="1" applyAlignment="1">
      <alignment horizontal="center"/>
    </xf>
    <xf numFmtId="0" fontId="10" fillId="0" borderId="0" xfId="0" applyFont="1" applyAlignment="1">
      <alignment horizontal="left"/>
    </xf>
    <xf numFmtId="0" fontId="10" fillId="0" borderId="0" xfId="0" applyFont="1" applyAlignment="1">
      <alignment horizontal="left" indent="1"/>
    </xf>
    <xf numFmtId="0" fontId="44" fillId="0" borderId="1" xfId="0" applyFont="1" applyBorder="1"/>
    <xf numFmtId="2" fontId="10" fillId="0" borderId="0" xfId="0" applyNumberFormat="1" applyFont="1"/>
    <xf numFmtId="0" fontId="50" fillId="0" borderId="54" xfId="0" applyFont="1" applyBorder="1" applyAlignment="1">
      <alignment horizontal="left"/>
    </xf>
    <xf numFmtId="2" fontId="50" fillId="0" borderId="16" xfId="0" applyNumberFormat="1" applyFont="1" applyBorder="1"/>
    <xf numFmtId="0" fontId="10" fillId="0" borderId="1" xfId="0" applyFont="1" applyBorder="1"/>
    <xf numFmtId="0" fontId="10" fillId="0" borderId="0" xfId="0" applyFont="1" applyAlignment="1">
      <alignment vertical="center"/>
    </xf>
    <xf numFmtId="0" fontId="50" fillId="0" borderId="9" xfId="0" applyFont="1" applyBorder="1" applyProtection="1">
      <protection locked="0"/>
    </xf>
    <xf numFmtId="175" fontId="50" fillId="0" borderId="0" xfId="0" applyNumberFormat="1" applyFont="1" applyAlignment="1">
      <alignment horizontal="left" vertical="center" wrapText="1"/>
    </xf>
    <xf numFmtId="0" fontId="7" fillId="0" borderId="38" xfId="0" applyFont="1" applyBorder="1" applyAlignment="1">
      <alignment horizontal="left" indent="1"/>
    </xf>
    <xf numFmtId="0" fontId="7" fillId="0" borderId="0" xfId="0" applyFont="1"/>
    <xf numFmtId="0" fontId="6" fillId="0" borderId="0" xfId="0" applyFont="1"/>
    <xf numFmtId="49" fontId="7" fillId="0" borderId="0" xfId="0" applyNumberFormat="1" applyFont="1" applyAlignment="1">
      <alignment horizontal="left"/>
    </xf>
    <xf numFmtId="0" fontId="6" fillId="0" borderId="0" xfId="0" applyFont="1" applyAlignment="1">
      <alignment horizontal="left"/>
    </xf>
    <xf numFmtId="0" fontId="7" fillId="0" borderId="48" xfId="0" applyFont="1" applyBorder="1"/>
    <xf numFmtId="0" fontId="7" fillId="0" borderId="47" xfId="0" applyFont="1" applyBorder="1"/>
    <xf numFmtId="0" fontId="6" fillId="0" borderId="46" xfId="0" applyFont="1" applyBorder="1" applyAlignment="1">
      <alignment vertical="center"/>
    </xf>
    <xf numFmtId="0" fontId="7" fillId="0" borderId="46" xfId="0" applyFont="1" applyBorder="1"/>
    <xf numFmtId="0" fontId="7" fillId="0" borderId="0" xfId="0" applyFont="1" applyAlignment="1">
      <alignment vertical="center"/>
    </xf>
    <xf numFmtId="0" fontId="6" fillId="0" borderId="0" xfId="0" applyFont="1" applyAlignment="1">
      <alignment wrapText="1"/>
    </xf>
    <xf numFmtId="0" fontId="7" fillId="0" borderId="35" xfId="5" applyFont="1" applyBorder="1" applyAlignment="1">
      <alignment horizontal="left"/>
    </xf>
    <xf numFmtId="0" fontId="7" fillId="0" borderId="36" xfId="5" applyFont="1" applyBorder="1" applyAlignment="1">
      <alignment horizontal="left"/>
    </xf>
    <xf numFmtId="0" fontId="7" fillId="0" borderId="35" xfId="5" applyFont="1" applyBorder="1" applyAlignment="1">
      <alignment horizontal="left" indent="1"/>
    </xf>
    <xf numFmtId="0" fontId="7" fillId="0" borderId="34" xfId="5" applyFont="1" applyBorder="1" applyAlignment="1">
      <alignment horizontal="left" indent="1"/>
    </xf>
    <xf numFmtId="0" fontId="7" fillId="0" borderId="10" xfId="5" applyFont="1" applyBorder="1"/>
    <xf numFmtId="0" fontId="7" fillId="0" borderId="16" xfId="0" applyFont="1" applyBorder="1"/>
    <xf numFmtId="0" fontId="7" fillId="0" borderId="0" xfId="0" applyFont="1" applyAlignment="1">
      <alignment horizontal="left"/>
    </xf>
    <xf numFmtId="0" fontId="7" fillId="0" borderId="9" xfId="0" applyFont="1" applyBorder="1"/>
    <xf numFmtId="0" fontId="7" fillId="0" borderId="0" xfId="0" applyFont="1" applyAlignment="1">
      <alignment horizontal="left" indent="1"/>
    </xf>
    <xf numFmtId="0" fontId="7" fillId="0" borderId="16" xfId="0" applyFont="1" applyBorder="1" applyAlignment="1">
      <alignment horizontal="left" indent="1"/>
    </xf>
    <xf numFmtId="0" fontId="7" fillId="0" borderId="0" xfId="0" applyFont="1" applyAlignment="1">
      <alignment horizontal="center"/>
    </xf>
    <xf numFmtId="0" fontId="7" fillId="0" borderId="0" xfId="0" applyFont="1" applyAlignment="1">
      <alignment wrapText="1"/>
    </xf>
    <xf numFmtId="0" fontId="6" fillId="0" borderId="32" xfId="0" applyFont="1" applyBorder="1"/>
    <xf numFmtId="0" fontId="50" fillId="15" borderId="29" xfId="0" applyFont="1" applyFill="1" applyBorder="1"/>
    <xf numFmtId="0" fontId="5" fillId="0" borderId="0" xfId="0" applyFont="1"/>
    <xf numFmtId="0" fontId="69" fillId="0" borderId="0" xfId="0" applyFont="1" applyAlignment="1">
      <alignment horizontal="right"/>
    </xf>
    <xf numFmtId="176" fontId="50" fillId="15" borderId="29" xfId="1" applyNumberFormat="1" applyFont="1" applyFill="1" applyBorder="1"/>
    <xf numFmtId="166" fontId="50" fillId="15" borderId="29" xfId="1" applyNumberFormat="1" applyFont="1" applyFill="1" applyBorder="1"/>
    <xf numFmtId="0" fontId="5" fillId="0" borderId="0" xfId="0" applyFont="1" applyAlignment="1">
      <alignment horizontal="left"/>
    </xf>
    <xf numFmtId="0" fontId="5" fillId="0" borderId="10" xfId="0" applyFont="1" applyBorder="1" applyAlignment="1">
      <alignment horizontal="left" vertical="center" wrapText="1" indent="1"/>
    </xf>
    <xf numFmtId="0" fontId="5" fillId="13" borderId="9" xfId="0" applyFont="1" applyFill="1" applyBorder="1" applyAlignment="1">
      <alignment horizontal="center"/>
    </xf>
    <xf numFmtId="0" fontId="4" fillId="0" borderId="0" xfId="0" applyFont="1"/>
    <xf numFmtId="0" fontId="5" fillId="0" borderId="0" xfId="0" applyFont="1" applyAlignment="1">
      <alignment horizontal="left" vertical="center"/>
    </xf>
    <xf numFmtId="175" fontId="56" fillId="0" borderId="0" xfId="0" applyNumberFormat="1" applyFont="1" applyAlignment="1">
      <alignment horizontal="right" vertical="center"/>
    </xf>
    <xf numFmtId="0" fontId="5" fillId="0" borderId="0" xfId="4" applyFont="1" applyBorder="1"/>
    <xf numFmtId="0" fontId="5" fillId="0" borderId="31" xfId="0" applyFont="1" applyBorder="1" applyAlignment="1">
      <alignment horizontal="left"/>
    </xf>
    <xf numFmtId="14" fontId="5" fillId="0" borderId="0" xfId="0" applyNumberFormat="1" applyFont="1"/>
    <xf numFmtId="0" fontId="3" fillId="0" borderId="0" xfId="0" applyFont="1" applyAlignment="1">
      <alignment wrapText="1"/>
    </xf>
    <xf numFmtId="0" fontId="3" fillId="0" borderId="0" xfId="0" applyFont="1"/>
    <xf numFmtId="0" fontId="5" fillId="0" borderId="0" xfId="5" applyFont="1" applyAlignment="1">
      <alignment horizontal="left"/>
    </xf>
    <xf numFmtId="43" fontId="5" fillId="0" borderId="0" xfId="0" applyNumberFormat="1" applyFont="1"/>
    <xf numFmtId="185" fontId="5" fillId="0" borderId="0" xfId="0" applyNumberFormat="1" applyFont="1"/>
    <xf numFmtId="175" fontId="5" fillId="0" borderId="0" xfId="0" applyNumberFormat="1" applyFont="1" applyAlignment="1">
      <alignment horizontal="left" vertical="center"/>
    </xf>
    <xf numFmtId="0" fontId="3" fillId="0" borderId="28" xfId="0" applyFont="1" applyBorder="1" applyAlignment="1">
      <alignment vertical="center"/>
    </xf>
    <xf numFmtId="175" fontId="5" fillId="29" borderId="21" xfId="0" applyNumberFormat="1" applyFont="1" applyFill="1" applyBorder="1" applyAlignment="1">
      <alignment horizontal="left" vertical="center"/>
    </xf>
    <xf numFmtId="0" fontId="5" fillId="0" borderId="0" xfId="3" applyFont="1" applyFill="1" applyAlignment="1" applyProtection="1"/>
    <xf numFmtId="0" fontId="5" fillId="0" borderId="0" xfId="0" applyFont="1" applyAlignment="1">
      <alignment horizontal="left" vertical="center" wrapText="1"/>
    </xf>
    <xf numFmtId="175" fontId="101" fillId="0" borderId="25" xfId="0" applyNumberFormat="1" applyFont="1" applyBorder="1"/>
    <xf numFmtId="175" fontId="101" fillId="21" borderId="0" xfId="0" applyNumberFormat="1" applyFont="1" applyFill="1"/>
    <xf numFmtId="175" fontId="101" fillId="0" borderId="0" xfId="0" applyNumberFormat="1" applyFont="1"/>
    <xf numFmtId="175" fontId="101" fillId="20" borderId="0" xfId="0" applyNumberFormat="1" applyFont="1" applyFill="1"/>
    <xf numFmtId="175" fontId="101" fillId="18" borderId="0" xfId="0" applyNumberFormat="1" applyFont="1" applyFill="1"/>
    <xf numFmtId="175" fontId="101" fillId="26" borderId="0" xfId="0" applyNumberFormat="1" applyFont="1" applyFill="1" applyAlignment="1">
      <alignment horizontal="right"/>
    </xf>
    <xf numFmtId="175" fontId="101" fillId="22" borderId="0" xfId="0" applyNumberFormat="1" applyFont="1" applyFill="1"/>
    <xf numFmtId="175" fontId="101" fillId="23" borderId="0" xfId="0" applyNumberFormat="1" applyFont="1" applyFill="1"/>
    <xf numFmtId="175" fontId="101" fillId="12" borderId="0" xfId="0" applyNumberFormat="1" applyFont="1" applyFill="1"/>
    <xf numFmtId="175" fontId="101" fillId="24" borderId="0" xfId="0" applyNumberFormat="1" applyFont="1" applyFill="1"/>
    <xf numFmtId="175" fontId="101" fillId="16" borderId="0" xfId="0" applyNumberFormat="1" applyFont="1" applyFill="1"/>
    <xf numFmtId="0" fontId="5" fillId="0" borderId="0" xfId="0" applyFont="1" applyAlignment="1">
      <alignment horizontal="right"/>
    </xf>
    <xf numFmtId="43" fontId="5" fillId="0" borderId="35" xfId="1" applyFont="1" applyFill="1" applyBorder="1" applyAlignment="1">
      <alignment horizontal="right"/>
    </xf>
    <xf numFmtId="0" fontId="5" fillId="0" borderId="18" xfId="0" applyFont="1" applyBorder="1" applyAlignment="1">
      <alignment wrapText="1"/>
    </xf>
    <xf numFmtId="0" fontId="5" fillId="11" borderId="18" xfId="0" applyFont="1" applyFill="1" applyBorder="1" applyAlignment="1">
      <alignment horizontal="center" wrapText="1"/>
    </xf>
    <xf numFmtId="0" fontId="5" fillId="0" borderId="43" xfId="0" applyFont="1" applyBorder="1" applyAlignment="1">
      <alignment wrapText="1"/>
    </xf>
    <xf numFmtId="2" fontId="5" fillId="0" borderId="0" xfId="0" applyNumberFormat="1" applyFont="1" applyAlignment="1">
      <alignment horizontal="left" vertical="center" wrapText="1" indent="1"/>
    </xf>
    <xf numFmtId="0" fontId="3" fillId="0" borderId="0" xfId="0" applyFont="1" applyAlignment="1">
      <alignment horizontal="left" vertical="center" indent="1" readingOrder="1"/>
    </xf>
    <xf numFmtId="0" fontId="5" fillId="0" borderId="0" xfId="0" applyFont="1" applyAlignment="1">
      <alignment vertical="top"/>
    </xf>
    <xf numFmtId="0" fontId="5" fillId="0" borderId="0" xfId="3" applyFont="1" applyFill="1" applyAlignment="1" applyProtection="1">
      <alignment horizontal="left"/>
    </xf>
    <xf numFmtId="0" fontId="5" fillId="0" borderId="18" xfId="0" applyFont="1" applyBorder="1" applyAlignment="1">
      <alignment horizontal="left"/>
    </xf>
    <xf numFmtId="0" fontId="5" fillId="0" borderId="9" xfId="0" applyFont="1" applyBorder="1" applyAlignment="1">
      <alignment horizontal="left"/>
    </xf>
    <xf numFmtId="4" fontId="5" fillId="0" borderId="0" xfId="0" applyNumberFormat="1" applyFont="1"/>
    <xf numFmtId="0" fontId="3" fillId="0" borderId="18" xfId="0" applyFont="1" applyBorder="1"/>
    <xf numFmtId="0" fontId="3" fillId="0" borderId="9" xfId="0" applyFont="1" applyBorder="1"/>
    <xf numFmtId="0" fontId="5" fillId="0" borderId="34" xfId="0" applyFont="1" applyBorder="1" applyAlignment="1">
      <alignment horizontal="left" wrapText="1"/>
    </xf>
    <xf numFmtId="0" fontId="5" fillId="0" borderId="34" xfId="0" applyFont="1" applyBorder="1" applyAlignment="1">
      <alignment wrapText="1"/>
    </xf>
    <xf numFmtId="0" fontId="5" fillId="0" borderId="10" xfId="0" applyFont="1" applyBorder="1" applyAlignment="1">
      <alignment wrapText="1"/>
    </xf>
    <xf numFmtId="0" fontId="5" fillId="0" borderId="36" xfId="0" applyFont="1" applyBorder="1" applyAlignment="1">
      <alignment horizontal="left" wrapText="1"/>
    </xf>
    <xf numFmtId="0" fontId="3" fillId="0" borderId="10" xfId="0" applyFont="1" applyBorder="1" applyAlignment="1">
      <alignment horizontal="left"/>
    </xf>
    <xf numFmtId="0" fontId="5" fillId="0" borderId="10" xfId="0" applyFont="1" applyBorder="1" applyAlignment="1">
      <alignment horizontal="left" wrapText="1"/>
    </xf>
    <xf numFmtId="0" fontId="3" fillId="0" borderId="52" xfId="0" applyFont="1" applyBorder="1"/>
    <xf numFmtId="0" fontId="5" fillId="0" borderId="18" xfId="0" applyFont="1" applyBorder="1" applyAlignment="1">
      <alignment horizontal="left" wrapText="1"/>
    </xf>
    <xf numFmtId="0" fontId="5" fillId="0" borderId="62" xfId="0" applyFont="1" applyBorder="1" applyAlignment="1">
      <alignment horizontal="left" wrapText="1"/>
    </xf>
    <xf numFmtId="0" fontId="5" fillId="0" borderId="62" xfId="0" applyFont="1" applyBorder="1" applyAlignment="1">
      <alignment wrapText="1"/>
    </xf>
    <xf numFmtId="0" fontId="5" fillId="0" borderId="9" xfId="0" applyFont="1" applyBorder="1" applyAlignment="1">
      <alignment wrapText="1"/>
    </xf>
    <xf numFmtId="0" fontId="5" fillId="0" borderId="60" xfId="0" applyFont="1" applyBorder="1" applyAlignment="1">
      <alignment horizontal="left" wrapText="1"/>
    </xf>
    <xf numFmtId="0" fontId="3" fillId="0" borderId="9" xfId="0" applyFont="1" applyBorder="1" applyAlignment="1">
      <alignment horizontal="left"/>
    </xf>
    <xf numFmtId="0" fontId="5" fillId="0" borderId="9" xfId="0" applyFont="1" applyBorder="1" applyAlignment="1">
      <alignment horizontal="left" wrapText="1"/>
    </xf>
    <xf numFmtId="0" fontId="5" fillId="0" borderId="63" xfId="0" applyFont="1" applyBorder="1" applyAlignment="1">
      <alignment horizontal="left" wrapText="1"/>
    </xf>
    <xf numFmtId="0" fontId="5" fillId="0" borderId="63" xfId="0" applyFont="1" applyBorder="1" applyAlignment="1">
      <alignment wrapText="1"/>
    </xf>
    <xf numFmtId="0" fontId="5" fillId="0" borderId="66" xfId="0" applyFont="1" applyBorder="1" applyAlignment="1">
      <alignment horizontal="left" wrapText="1"/>
    </xf>
    <xf numFmtId="0" fontId="5" fillId="0" borderId="62" xfId="0" applyFont="1" applyBorder="1" applyAlignment="1">
      <alignment horizontal="left"/>
    </xf>
    <xf numFmtId="4" fontId="3" fillId="0" borderId="0" xfId="0" applyNumberFormat="1" applyFont="1"/>
    <xf numFmtId="0" fontId="5" fillId="0" borderId="17" xfId="0" applyFont="1" applyBorder="1" applyAlignment="1">
      <alignment wrapText="1"/>
    </xf>
    <xf numFmtId="0" fontId="5" fillId="0" borderId="9" xfId="0" applyFont="1" applyBorder="1"/>
    <xf numFmtId="0" fontId="3" fillId="0" borderId="0" xfId="0" applyFont="1" applyAlignment="1">
      <alignment horizontal="center"/>
    </xf>
    <xf numFmtId="0" fontId="3" fillId="0" borderId="0" xfId="0" applyFont="1" applyAlignment="1">
      <alignment horizontal="left" vertical="center" readingOrder="1"/>
    </xf>
    <xf numFmtId="0" fontId="5" fillId="0" borderId="35" xfId="5" applyFont="1" applyBorder="1" applyAlignment="1">
      <alignment horizontal="left"/>
    </xf>
    <xf numFmtId="0" fontId="5" fillId="0" borderId="0" xfId="4" applyFont="1"/>
    <xf numFmtId="0" fontId="5" fillId="0" borderId="0" xfId="4" applyFont="1" applyBorder="1" applyAlignment="1">
      <alignment horizontal="left"/>
    </xf>
    <xf numFmtId="0" fontId="3" fillId="0" borderId="0" xfId="0" applyFont="1" applyAlignment="1">
      <alignment vertical="top"/>
    </xf>
    <xf numFmtId="0" fontId="5" fillId="0" borderId="34" xfId="0" applyFont="1" applyBorder="1" applyAlignment="1">
      <alignment horizontal="left"/>
    </xf>
    <xf numFmtId="0" fontId="5" fillId="0" borderId="36" xfId="0" applyFont="1" applyBorder="1" applyAlignment="1">
      <alignment horizontal="left" vertical="center" wrapText="1" indent="1"/>
    </xf>
    <xf numFmtId="0" fontId="3" fillId="0" borderId="0" xfId="0" applyFont="1" applyAlignment="1">
      <alignment horizontal="left"/>
    </xf>
    <xf numFmtId="0" fontId="3" fillId="0" borderId="47" xfId="0" applyFont="1" applyBorder="1" applyAlignment="1">
      <alignment vertical="center"/>
    </xf>
    <xf numFmtId="2" fontId="5" fillId="0" borderId="0" xfId="0" applyNumberFormat="1" applyFont="1" applyAlignment="1">
      <alignment horizontal="left"/>
    </xf>
    <xf numFmtId="0" fontId="5" fillId="0" borderId="21" xfId="0" applyFont="1" applyBorder="1"/>
    <xf numFmtId="0" fontId="5" fillId="45" borderId="10" xfId="0" applyFont="1" applyFill="1" applyBorder="1" applyAlignment="1">
      <alignment horizontal="left" vertical="center" wrapText="1" indent="1"/>
    </xf>
    <xf numFmtId="0" fontId="5" fillId="0" borderId="0" xfId="0" applyFont="1" applyAlignment="1">
      <alignment vertical="center" wrapText="1"/>
    </xf>
    <xf numFmtId="0" fontId="50" fillId="0" borderId="0" xfId="0" applyFont="1" applyAlignment="1">
      <alignment vertical="center" wrapText="1"/>
    </xf>
    <xf numFmtId="0" fontId="5" fillId="0" borderId="0" xfId="0" applyFont="1" applyAlignment="1">
      <alignment horizontal="left" vertical="center" readingOrder="1"/>
    </xf>
    <xf numFmtId="0" fontId="5" fillId="0" borderId="9" xfId="0" applyFont="1" applyBorder="1" applyAlignment="1">
      <alignment horizontal="left" vertical="center" wrapText="1"/>
    </xf>
    <xf numFmtId="175" fontId="5" fillId="0" borderId="9" xfId="0" applyNumberFormat="1" applyFont="1" applyBorder="1" applyAlignment="1">
      <alignment horizontal="left" vertical="center"/>
    </xf>
    <xf numFmtId="175" fontId="5" fillId="29" borderId="9" xfId="0" applyNumberFormat="1" applyFont="1" applyFill="1" applyBorder="1" applyAlignment="1">
      <alignment horizontal="left" vertical="center"/>
    </xf>
    <xf numFmtId="0" fontId="5" fillId="0" borderId="34" xfId="0" applyFont="1" applyBorder="1" applyAlignment="1">
      <alignment horizontal="left" vertical="center" wrapText="1"/>
    </xf>
    <xf numFmtId="0" fontId="5" fillId="0" borderId="48" xfId="0" applyFont="1" applyBorder="1"/>
    <xf numFmtId="2" fontId="5" fillId="0" borderId="0" xfId="0" applyNumberFormat="1" applyFont="1" applyAlignment="1">
      <alignment horizontal="left" vertical="center" indent="1"/>
    </xf>
    <xf numFmtId="0" fontId="5" fillId="0" borderId="35" xfId="0" applyFont="1" applyBorder="1" applyAlignment="1">
      <alignment horizontal="left"/>
    </xf>
    <xf numFmtId="0" fontId="5" fillId="0" borderId="18" xfId="0" applyFont="1" applyBorder="1" applyAlignment="1">
      <alignment vertical="center" wrapText="1"/>
    </xf>
    <xf numFmtId="0" fontId="50" fillId="0" borderId="18" xfId="0" applyFont="1" applyBorder="1" applyAlignment="1">
      <alignment vertical="center" wrapText="1"/>
    </xf>
    <xf numFmtId="3" fontId="5" fillId="0" borderId="0" xfId="0" applyNumberFormat="1" applyFont="1" applyAlignment="1">
      <alignment vertical="top"/>
    </xf>
    <xf numFmtId="0" fontId="5" fillId="11" borderId="43" xfId="0" applyFont="1" applyFill="1" applyBorder="1" applyAlignment="1">
      <alignment horizontal="center" wrapText="1"/>
    </xf>
    <xf numFmtId="0" fontId="5" fillId="0" borderId="50" xfId="0" applyFont="1" applyBorder="1"/>
    <xf numFmtId="0" fontId="5" fillId="0" borderId="18" xfId="0" applyFont="1" applyBorder="1" applyAlignment="1">
      <alignment horizontal="center" vertical="center" wrapText="1"/>
    </xf>
    <xf numFmtId="0" fontId="5" fillId="29" borderId="34" xfId="0" applyFont="1" applyFill="1" applyBorder="1" applyAlignment="1">
      <alignment horizontal="left" vertical="center" wrapText="1"/>
    </xf>
    <xf numFmtId="168" fontId="102" fillId="0" borderId="15" xfId="0" applyNumberFormat="1" applyFont="1" applyBorder="1" applyAlignment="1">
      <alignment horizontal="right"/>
    </xf>
    <xf numFmtId="168" fontId="102" fillId="0" borderId="16" xfId="0" applyNumberFormat="1" applyFont="1" applyBorder="1" applyAlignment="1">
      <alignment horizontal="right"/>
    </xf>
    <xf numFmtId="0" fontId="5" fillId="13" borderId="9" xfId="0" applyFont="1" applyFill="1" applyBorder="1"/>
    <xf numFmtId="0" fontId="2" fillId="0" borderId="0" xfId="0" applyFont="1"/>
    <xf numFmtId="192" fontId="50" fillId="0" borderId="0" xfId="14" applyFont="1"/>
    <xf numFmtId="193" fontId="50" fillId="0" borderId="16" xfId="6" applyNumberFormat="1" applyFont="1" applyBorder="1"/>
    <xf numFmtId="192" fontId="5" fillId="0" borderId="27" xfId="14" applyFont="1" applyBorder="1" applyAlignment="1">
      <alignment horizontal="left"/>
    </xf>
    <xf numFmtId="166" fontId="5" fillId="0" borderId="0" xfId="2" applyNumberFormat="1" applyFont="1" applyFill="1" applyBorder="1" applyProtection="1">
      <protection locked="0"/>
    </xf>
    <xf numFmtId="192" fontId="5" fillId="0" borderId="26" xfId="14" applyFont="1" applyBorder="1" applyAlignment="1">
      <alignment horizontal="left"/>
    </xf>
    <xf numFmtId="192" fontId="5" fillId="0" borderId="18" xfId="14" applyFont="1" applyBorder="1" applyAlignment="1">
      <alignment horizontal="left"/>
    </xf>
    <xf numFmtId="166" fontId="5" fillId="0" borderId="16" xfId="2" applyNumberFormat="1" applyFont="1" applyFill="1" applyBorder="1" applyProtection="1">
      <protection locked="0"/>
    </xf>
    <xf numFmtId="192" fontId="5" fillId="13" borderId="26" xfId="14" applyFont="1" applyFill="1" applyBorder="1" applyAlignment="1">
      <alignment horizontal="left"/>
    </xf>
    <xf numFmtId="166" fontId="5" fillId="13" borderId="0" xfId="2" applyNumberFormat="1" applyFont="1" applyFill="1" applyBorder="1" applyProtection="1">
      <protection locked="0"/>
    </xf>
    <xf numFmtId="193" fontId="50" fillId="0" borderId="0" xfId="14" applyNumberFormat="1" applyFont="1"/>
    <xf numFmtId="192" fontId="5" fillId="0" borderId="39" xfId="14" applyFont="1" applyBorder="1" applyAlignment="1">
      <alignment horizontal="left"/>
    </xf>
    <xf numFmtId="166" fontId="5" fillId="0" borderId="31" xfId="2" applyNumberFormat="1" applyFont="1" applyFill="1" applyBorder="1" applyAlignment="1" applyProtection="1">
      <alignment horizontal="right"/>
      <protection locked="0"/>
    </xf>
    <xf numFmtId="192" fontId="5" fillId="0" borderId="28" xfId="14" applyFont="1" applyBorder="1" applyAlignment="1">
      <alignment horizontal="left"/>
    </xf>
    <xf numFmtId="166" fontId="5" fillId="0" borderId="0" xfId="2" applyNumberFormat="1" applyFont="1" applyFill="1" applyBorder="1" applyAlignment="1" applyProtection="1">
      <alignment horizontal="right"/>
      <protection locked="0"/>
    </xf>
    <xf numFmtId="192" fontId="5" fillId="0" borderId="43" xfId="14" applyFont="1" applyBorder="1" applyAlignment="1">
      <alignment horizontal="left"/>
    </xf>
    <xf numFmtId="166" fontId="5" fillId="0" borderId="43" xfId="2" applyNumberFormat="1" applyFont="1" applyFill="1" applyBorder="1" applyAlignment="1" applyProtection="1">
      <alignment horizontal="right"/>
      <protection locked="0"/>
    </xf>
    <xf numFmtId="166" fontId="5" fillId="0" borderId="16" xfId="2" applyNumberFormat="1" applyFont="1" applyFill="1" applyBorder="1" applyAlignment="1" applyProtection="1">
      <alignment horizontal="right"/>
      <protection locked="0"/>
    </xf>
    <xf numFmtId="192" fontId="5" fillId="13" borderId="28" xfId="14" applyFont="1" applyFill="1" applyBorder="1" applyAlignment="1">
      <alignment horizontal="left"/>
    </xf>
    <xf numFmtId="166" fontId="5" fillId="13" borderId="28" xfId="2" applyNumberFormat="1" applyFont="1" applyFill="1" applyBorder="1" applyAlignment="1" applyProtection="1">
      <alignment horizontal="right"/>
      <protection locked="0"/>
    </xf>
    <xf numFmtId="166" fontId="5" fillId="13" borderId="0" xfId="2" applyNumberFormat="1" applyFont="1" applyFill="1" applyBorder="1" applyAlignment="1" applyProtection="1">
      <alignment horizontal="right"/>
      <protection locked="0"/>
    </xf>
    <xf numFmtId="166" fontId="5" fillId="0" borderId="0" xfId="2" applyNumberFormat="1" applyFont="1" applyFill="1"/>
    <xf numFmtId="0" fontId="5" fillId="0" borderId="16" xfId="0" applyFont="1" applyBorder="1"/>
    <xf numFmtId="166" fontId="5" fillId="0" borderId="16" xfId="2" applyNumberFormat="1" applyFont="1" applyFill="1" applyBorder="1"/>
    <xf numFmtId="166" fontId="50" fillId="0" borderId="0" xfId="2" applyNumberFormat="1" applyFont="1" applyFill="1"/>
    <xf numFmtId="192" fontId="5" fillId="13" borderId="77" xfId="14" applyFont="1" applyFill="1" applyBorder="1" applyAlignment="1">
      <alignment horizontal="left"/>
    </xf>
    <xf numFmtId="0" fontId="5" fillId="13" borderId="0" xfId="0" applyFont="1" applyFill="1"/>
    <xf numFmtId="193" fontId="5" fillId="0" borderId="0" xfId="1" applyNumberFormat="1" applyFont="1" applyFill="1" applyBorder="1" applyProtection="1">
      <protection locked="0"/>
    </xf>
    <xf numFmtId="193" fontId="5" fillId="0" borderId="16" xfId="1" applyNumberFormat="1" applyFont="1" applyFill="1" applyBorder="1" applyProtection="1">
      <protection locked="0"/>
    </xf>
    <xf numFmtId="14" fontId="5" fillId="13" borderId="9" xfId="0" applyNumberFormat="1" applyFont="1" applyFill="1" applyBorder="1" applyAlignment="1">
      <alignment horizontal="center"/>
    </xf>
    <xf numFmtId="0" fontId="5" fillId="26" borderId="0" xfId="0" applyFont="1" applyFill="1"/>
    <xf numFmtId="193" fontId="50" fillId="0" borderId="0" xfId="1" applyNumberFormat="1" applyFont="1" applyFill="1" applyBorder="1" applyProtection="1">
      <protection locked="0"/>
    </xf>
    <xf numFmtId="0" fontId="49" fillId="11" borderId="0" xfId="0" applyFont="1" applyFill="1" applyAlignment="1">
      <alignment horizontal="center" vertical="center"/>
    </xf>
    <xf numFmtId="0" fontId="43" fillId="0" borderId="0" xfId="0" applyFont="1" applyAlignment="1">
      <alignment horizontal="center"/>
    </xf>
    <xf numFmtId="166" fontId="5" fillId="0" borderId="43" xfId="2" applyNumberFormat="1" applyFont="1" applyFill="1" applyBorder="1" applyProtection="1">
      <protection locked="0"/>
    </xf>
    <xf numFmtId="166" fontId="50" fillId="0" borderId="0" xfId="0" applyNumberFormat="1" applyFont="1" applyAlignment="1">
      <alignment horizontal="right"/>
    </xf>
  </cellXfs>
  <cellStyles count="15">
    <cellStyle name="Comma" xfId="1" builtinId="3"/>
    <cellStyle name="Comma 2" xfId="2" xr:uid="{00000000-0005-0000-0000-000001000000}"/>
    <cellStyle name="Comma 3" xfId="9" xr:uid="{B946B7C6-DDAE-4E3E-AD1E-367E753215D3}"/>
    <cellStyle name="Hyperlink" xfId="3" builtinId="8"/>
    <cellStyle name="Hyperlink 2" xfId="10" xr:uid="{9ADC8F51-63FB-4CC6-A0A6-20E635361267}"/>
    <cellStyle name="Normal" xfId="0" builtinId="0"/>
    <cellStyle name="Normal 7" xfId="11" xr:uid="{999EFD00-7552-4EAE-908A-0B61BB844EC9}"/>
    <cellStyle name="Normal_Coal Module_7.23" xfId="4" xr:uid="{00000000-0005-0000-0000-000005000000}"/>
    <cellStyle name="Normal_Energy Module2" xfId="5" xr:uid="{00000000-0005-0000-0000-000006000000}"/>
    <cellStyle name="Normal_Non-highway" xfId="14" xr:uid="{EA43C452-5533-45CE-A303-423156610CD0}"/>
    <cellStyle name="Normal_State Transportation Module 02.13.02" xfId="6" xr:uid="{00000000-0005-0000-0000-000009000000}"/>
    <cellStyle name="Normal_Summary 1996 Inventory" xfId="13" xr:uid="{94F50B2F-C76E-4F99-AF5F-AB4F8C4AA728}"/>
    <cellStyle name="Percent" xfId="7" builtinId="5"/>
    <cellStyle name="Percent 2" xfId="8" xr:uid="{00000000-0005-0000-0000-00000B000000}"/>
    <cellStyle name="Title" xfId="12" builtinId="15"/>
  </cellStyles>
  <dxfs count="53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border outline="0">
        <top style="thin">
          <color indexed="64"/>
        </top>
      </border>
    </dxf>
    <dxf>
      <border outline="0">
        <bottom style="thin">
          <color indexed="64"/>
        </bottom>
      </border>
    </dxf>
    <dxf>
      <font>
        <b/>
        <i val="0"/>
        <strike val="0"/>
        <condense val="0"/>
        <extend val="0"/>
        <outline val="0"/>
        <shadow val="0"/>
        <u val="none"/>
        <vertAlign val="baseline"/>
        <sz val="12"/>
        <color theme="1"/>
        <name val="Aptos"/>
        <family val="2"/>
        <scheme val="none"/>
      </font>
      <fill>
        <patternFill patternType="solid">
          <fgColor indexed="64"/>
          <bgColor rgb="FFFFFFCC"/>
        </patternFill>
      </fill>
      <alignment horizontal="center" vertical="bottom" textRotation="0" wrapText="0" indent="0" justifyLastLine="0" shrinkToFit="0" readingOrder="0"/>
      <border diagonalUp="0" diagonalDown="0" outline="0">
        <left style="thin">
          <color indexed="64"/>
        </left>
        <right style="thin">
          <color indexed="64"/>
        </right>
        <top/>
        <bottom/>
      </border>
    </dxf>
    <dxf>
      <border outline="0">
        <top style="thin">
          <color indexed="64"/>
        </top>
        <bottom style="thin">
          <color indexed="64"/>
        </bottom>
      </border>
    </dxf>
    <dxf>
      <font>
        <b/>
        <i val="0"/>
        <strike val="0"/>
        <condense val="0"/>
        <extend val="0"/>
        <outline val="0"/>
        <shadow val="0"/>
        <u val="none"/>
        <vertAlign val="baseline"/>
        <sz val="12"/>
        <color theme="0"/>
        <name val="Aptos"/>
        <family val="2"/>
        <scheme val="none"/>
      </font>
      <numFmt numFmtId="1" formatCode="0"/>
      <alignment horizontal="center" vertical="bottom" textRotation="0" wrapText="0" indent="0" justifyLastLine="0" shrinkToFit="0" readingOrder="0"/>
    </dxf>
    <dxf>
      <font>
        <b val="0"/>
        <i val="0"/>
        <strike val="0"/>
        <condense val="0"/>
        <extend val="0"/>
        <outline val="0"/>
        <shadow val="0"/>
        <u val="none"/>
        <vertAlign val="baseline"/>
        <sz val="12"/>
        <color theme="1"/>
        <name val="Aptos"/>
        <family val="2"/>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ill>
        <patternFill patternType="none">
          <bgColor auto="1"/>
        </patternFill>
      </fill>
    </dxf>
    <dxf>
      <border outline="0">
        <bottom style="thin">
          <color indexed="64"/>
        </bottom>
      </border>
    </dxf>
    <dxf>
      <font>
        <b/>
        <i val="0"/>
        <strike val="0"/>
        <condense val="0"/>
        <extend val="0"/>
        <outline val="0"/>
        <shadow val="0"/>
        <u val="none"/>
        <vertAlign val="baseline"/>
        <sz val="12"/>
        <color theme="0"/>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style="thin">
          <color theme="1"/>
        </top>
        <bottom style="thin">
          <color indexed="64"/>
        </bottom>
        <vertical/>
        <horizontal/>
      </border>
    </dxf>
    <dxf>
      <border outline="0">
        <top style="thin">
          <color indexed="64"/>
        </top>
      </border>
    </dxf>
    <dxf>
      <font>
        <b/>
        <i val="0"/>
        <strike val="0"/>
        <condense val="0"/>
        <extend val="0"/>
        <outline val="0"/>
        <shadow val="0"/>
        <u val="none"/>
        <vertAlign val="baseline"/>
        <sz val="12"/>
        <color theme="0"/>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2"/>
        <color theme="0"/>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font>
        <b/>
        <i val="0"/>
        <strike val="0"/>
        <condense val="0"/>
        <extend val="0"/>
        <outline val="0"/>
        <shadow val="0"/>
        <u val="none"/>
        <vertAlign val="baseline"/>
        <sz val="12"/>
        <color theme="0"/>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border outline="0">
        <top style="thin">
          <color indexed="64"/>
        </top>
      </border>
    </dxf>
    <dxf>
      <border outline="0">
        <bottom style="thin">
          <color indexed="64"/>
        </bottom>
      </border>
    </dxf>
    <dxf>
      <font>
        <b/>
        <i val="0"/>
        <strike val="0"/>
        <condense val="0"/>
        <extend val="0"/>
        <outline val="0"/>
        <shadow val="0"/>
        <u val="none"/>
        <vertAlign val="baseline"/>
        <sz val="12"/>
        <color theme="0"/>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outline="0">
        <top style="thin">
          <color indexed="64"/>
        </top>
      </border>
    </dxf>
    <dxf>
      <fill>
        <patternFill patternType="none">
          <bgColor auto="1"/>
        </patternFill>
      </fill>
    </dxf>
    <dxf>
      <border outline="0">
        <bottom style="thin">
          <color indexed="64"/>
        </bottom>
      </border>
    </dxf>
    <dxf>
      <font>
        <b/>
        <i val="0"/>
        <strike val="0"/>
        <condense val="0"/>
        <extend val="0"/>
        <outline val="0"/>
        <shadow val="0"/>
        <u val="none"/>
        <vertAlign val="baseline"/>
        <sz val="12"/>
        <color theme="0"/>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border diagonalUp="0" diagonalDown="0">
        <left/>
        <right/>
        <top/>
        <bottom style="thin">
          <color theme="1"/>
        </bottom>
        <vertical/>
        <horizontal/>
      </border>
    </dxf>
    <dxf>
      <border outline="0">
        <top style="thin">
          <color indexed="64"/>
        </top>
      </border>
    </dxf>
    <dxf>
      <border outline="0">
        <bottom style="thin">
          <color indexed="64"/>
        </bottom>
      </border>
    </dxf>
    <dxf>
      <font>
        <b/>
        <i val="0"/>
        <strike val="0"/>
        <condense val="0"/>
        <extend val="0"/>
        <outline val="0"/>
        <shadow val="0"/>
        <u val="none"/>
        <vertAlign val="baseline"/>
        <sz val="12"/>
        <color theme="0"/>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border diagonalUp="0" diagonalDown="0">
        <left/>
        <right/>
        <top style="thin">
          <color theme="1"/>
        </top>
        <bottom style="thin">
          <color theme="1"/>
        </bottom>
        <vertical/>
        <horizontal/>
      </border>
    </dxf>
    <dxf>
      <font>
        <b/>
        <i val="0"/>
        <strike val="0"/>
        <condense val="0"/>
        <extend val="0"/>
        <outline val="0"/>
        <shadow val="0"/>
        <u val="none"/>
        <vertAlign val="baseline"/>
        <sz val="12"/>
        <color theme="0"/>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border diagonalUp="0" diagonalDown="0">
        <left/>
        <right/>
        <top style="thin">
          <color theme="1"/>
        </top>
        <bottom style="thin">
          <color theme="1"/>
        </bottom>
        <vertical/>
        <horizontal/>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border diagonalUp="0" diagonalDown="0">
        <left/>
        <right/>
        <top style="thin">
          <color theme="1"/>
        </top>
        <bottom style="thin">
          <color theme="1"/>
        </bottom>
        <vertical/>
        <horizontal/>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rder>
    </dxf>
    <dxf>
      <font>
        <b/>
        <i val="0"/>
        <strike val="0"/>
        <condense val="0"/>
        <extend val="0"/>
        <outline val="0"/>
        <shadow val="0"/>
        <u val="none"/>
        <vertAlign val="baseline"/>
        <sz val="12"/>
        <color theme="0"/>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border diagonalUp="0" diagonalDown="0">
        <left/>
        <right/>
        <top style="thin">
          <color theme="1"/>
        </top>
        <bottom style="thin">
          <color theme="1"/>
        </bottom>
        <vertical/>
        <horizontal/>
      </border>
    </dxf>
    <dxf>
      <font>
        <b/>
        <i val="0"/>
        <strike val="0"/>
        <condense val="0"/>
        <extend val="0"/>
        <outline val="0"/>
        <shadow val="0"/>
        <u val="none"/>
        <vertAlign val="baseline"/>
        <sz val="12"/>
        <color theme="0"/>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border outline="0">
        <top style="thin">
          <color indexed="64"/>
        </top>
      </border>
    </dxf>
    <dxf>
      <border outline="0">
        <bottom style="thin">
          <color indexed="64"/>
        </bottom>
      </border>
    </dxf>
    <dxf>
      <font>
        <b/>
        <i val="0"/>
        <strike val="0"/>
        <condense val="0"/>
        <extend val="0"/>
        <outline val="0"/>
        <shadow val="0"/>
        <u val="none"/>
        <vertAlign val="baseline"/>
        <sz val="12"/>
        <color theme="0"/>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auto="1"/>
        <name val="Aptos"/>
        <family val="2"/>
        <scheme val="none"/>
      </font>
      <alignment horizontal="left"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rder>
    </dxf>
    <dxf>
      <border outline="0">
        <bottom style="thin">
          <color indexed="64"/>
        </bottom>
      </border>
    </dxf>
    <dxf>
      <font>
        <b/>
        <i val="0"/>
        <strike val="0"/>
        <condense val="0"/>
        <extend val="0"/>
        <outline val="0"/>
        <shadow val="0"/>
        <u val="none"/>
        <vertAlign val="baseline"/>
        <sz val="12"/>
        <color theme="0"/>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sz val="12"/>
        <name val="Aptos"/>
        <family val="2"/>
        <scheme val="none"/>
      </font>
    </dxf>
    <dxf>
      <border outline="0">
        <bottom style="thin">
          <color indexed="64"/>
        </bottom>
      </border>
    </dxf>
    <dxf>
      <font>
        <b/>
        <i val="0"/>
        <strike val="0"/>
        <condense val="0"/>
        <extend val="0"/>
        <outline val="0"/>
        <shadow val="0"/>
        <u val="none"/>
        <vertAlign val="baseline"/>
        <sz val="12"/>
        <color theme="0"/>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sz val="12"/>
        <name val="Aptos"/>
        <family val="2"/>
        <scheme val="none"/>
      </font>
    </dxf>
    <dxf>
      <font>
        <strike val="0"/>
        <outline val="0"/>
        <shadow val="0"/>
        <sz val="12"/>
        <name val="Aptos"/>
        <family val="2"/>
        <scheme val="none"/>
      </font>
    </dxf>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dxf>
    <dxf>
      <font>
        <strike val="0"/>
        <outline val="0"/>
        <shadow val="0"/>
        <vertAlign val="baseline"/>
        <sz val="12"/>
        <name val="Aptos"/>
        <family val="2"/>
        <scheme val="none"/>
      </font>
      <alignment horizontal="center" vertical="bottom" textRotation="0" wrapText="0" indent="0" justifyLastLine="0" shrinkToFit="0" readingOrder="0"/>
    </dxf>
    <dxf>
      <font>
        <strike val="0"/>
        <outline val="0"/>
        <shadow val="0"/>
        <vertAlign val="baseline"/>
        <sz val="12"/>
        <color auto="1"/>
        <name val="Aptos"/>
        <family val="2"/>
        <scheme val="none"/>
      </font>
      <numFmt numFmtId="179" formatCode="#,##0.0000"/>
      <alignment horizontal="center" vertical="bottom" textRotation="0" wrapText="0" indent="0" justifyLastLine="0" shrinkToFit="0" readingOrder="0"/>
    </dxf>
    <dxf>
      <font>
        <strike val="0"/>
        <outline val="0"/>
        <shadow val="0"/>
        <vertAlign val="baseline"/>
        <sz val="12"/>
        <name val="Aptos"/>
        <family val="2"/>
        <scheme val="none"/>
      </font>
      <alignment horizontal="center" vertical="bottom" textRotation="0" wrapText="0" indent="0" justifyLastLine="0" shrinkToFit="0" readingOrder="0"/>
    </dxf>
    <dxf>
      <font>
        <strike val="0"/>
        <outline val="0"/>
        <shadow val="0"/>
        <vertAlign val="baseline"/>
        <sz val="12"/>
        <name val="Aptos"/>
        <family val="2"/>
        <scheme val="none"/>
      </font>
      <alignment horizontal="center" vertical="bottom" textRotation="0" wrapText="0" indent="0" justifyLastLine="0" shrinkToFit="0" readingOrder="0"/>
    </dxf>
    <dxf>
      <font>
        <b val="0"/>
        <strike val="0"/>
        <outline val="0"/>
        <shadow val="0"/>
        <vertAlign val="baseline"/>
        <sz val="12"/>
        <name val="Aptos"/>
        <family val="2"/>
        <scheme val="none"/>
      </font>
      <alignment horizontal="left" textRotation="0" indent="0" justifyLastLine="0" shrinkToFit="0" readingOrder="0"/>
    </dxf>
    <dxf>
      <font>
        <strike val="0"/>
        <outline val="0"/>
        <shadow val="0"/>
        <vertAlign val="baseline"/>
        <sz val="12"/>
        <name val="Aptos"/>
        <family val="2"/>
        <scheme val="none"/>
      </font>
    </dxf>
    <dxf>
      <font>
        <strike val="0"/>
        <outline val="0"/>
        <shadow val="0"/>
        <vertAlign val="baseline"/>
        <sz val="12"/>
        <name val="Aptos"/>
        <family val="2"/>
        <scheme val="none"/>
      </font>
    </dxf>
    <dxf>
      <border outline="0">
        <bottom style="thin">
          <color indexed="64"/>
        </bottom>
      </border>
    </dxf>
    <dxf>
      <border outline="0">
        <bottom style="medium">
          <color indexed="64"/>
        </bottom>
      </border>
    </dxf>
    <dxf>
      <font>
        <b/>
        <i val="0"/>
        <strike val="0"/>
        <condense val="0"/>
        <extend val="0"/>
        <outline val="0"/>
        <shadow val="0"/>
        <u val="none"/>
        <vertAlign val="baseline"/>
        <sz val="12"/>
        <color theme="0"/>
        <name val="Aptos"/>
        <family val="2"/>
        <scheme val="none"/>
      </font>
    </dxf>
    <dxf>
      <border outline="0">
        <bottom style="medium">
          <color indexed="64"/>
        </bottom>
      </border>
    </dxf>
    <dxf>
      <border outline="0">
        <bottom style="medium">
          <color indexed="64"/>
        </bottom>
      </border>
    </dxf>
    <dxf>
      <font>
        <b/>
        <i val="0"/>
        <strike val="0"/>
        <condense val="0"/>
        <extend val="0"/>
        <outline val="0"/>
        <shadow val="0"/>
        <u val="none"/>
        <vertAlign val="baseline"/>
        <sz val="12"/>
        <color theme="0"/>
        <name val="Aptos"/>
        <family val="2"/>
        <scheme val="none"/>
      </font>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font>
        <b val="0"/>
        <i val="0"/>
        <strike val="0"/>
        <condense val="0"/>
        <extend val="0"/>
        <outline val="0"/>
        <shadow val="0"/>
        <u val="none"/>
        <vertAlign val="baseline"/>
        <sz val="12"/>
        <color theme="1"/>
        <name val="Aptos"/>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67" formatCode="0.000000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ptos"/>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auto="1"/>
        <name val="Aptos"/>
        <family val="2"/>
        <scheme val="none"/>
      </font>
      <numFmt numFmtId="167" formatCode="0.000000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ptos"/>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auto="1"/>
        <name val="Aptos"/>
        <family val="2"/>
        <scheme val="none"/>
      </font>
      <numFmt numFmtId="2" formatCode="0.00"/>
      <fill>
        <patternFill patternType="solid">
          <fgColor indexed="64"/>
          <bgColor indexed="1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2" formatCode="0.00"/>
      <fill>
        <patternFill patternType="solid">
          <fgColor indexed="64"/>
          <bgColor indexed="1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5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53"/>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165" formatCode="0.0000"/>
      <fill>
        <patternFill patternType="solid">
          <fgColor indexed="64"/>
          <bgColor indexed="46"/>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6"/>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6"/>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4" formatCode="#,##0.0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border diagonalUp="0" diagonalDown="0">
        <left style="thin">
          <color indexed="64"/>
        </left>
        <right style="thin">
          <color indexed="64"/>
        </right>
        <top style="thin">
          <color indexed="64"/>
        </top>
        <bottom style="thin">
          <color indexed="64"/>
        </bottom>
        <vertical/>
        <horizontal/>
      </border>
    </dxf>
    <dxf>
      <border outline="0">
        <top style="medium">
          <color indexed="64"/>
        </top>
      </border>
    </dxf>
    <dxf>
      <border outline="0">
        <bottom style="thin">
          <color indexed="64"/>
        </bottom>
      </border>
    </dxf>
    <dxf>
      <font>
        <b val="0"/>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1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174" formatCode="0.00000000"/>
      <fill>
        <patternFill patternType="solid">
          <fgColor indexed="64"/>
          <bgColor indexed="1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11"/>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font>
        <b val="0"/>
        <i val="0"/>
        <strike val="0"/>
        <condense val="0"/>
        <extend val="0"/>
        <outline val="0"/>
        <shadow val="0"/>
        <u val="none"/>
        <vertAlign val="baseline"/>
        <sz val="12"/>
        <color indexed="8"/>
        <name val="Aptos"/>
        <family val="2"/>
        <scheme val="none"/>
      </font>
      <fill>
        <patternFill patternType="solid">
          <fgColor indexed="64"/>
          <bgColor indexed="11"/>
        </patternFill>
      </fill>
    </dxf>
    <dxf>
      <border outline="0">
        <bottom style="thin">
          <color indexed="64"/>
        </bottom>
      </border>
    </dxf>
    <dxf>
      <font>
        <b val="0"/>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indexed="8"/>
        <name val="Aptos"/>
        <family val="2"/>
        <scheme val="none"/>
      </font>
      <numFmt numFmtId="164" formatCode="0.000"/>
      <fill>
        <patternFill patternType="solid">
          <fgColor indexed="64"/>
          <bgColor indexed="5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font>
        <b/>
        <i val="0"/>
        <strike val="0"/>
        <condense val="0"/>
        <extend val="0"/>
        <outline val="0"/>
        <shadow val="0"/>
        <u val="none"/>
        <vertAlign val="baseline"/>
        <sz val="12"/>
        <color theme="0"/>
        <name val="Aptos"/>
        <family val="2"/>
        <scheme val="none"/>
      </font>
      <fill>
        <patternFill patternType="solid">
          <fgColor indexed="64"/>
          <bgColor theme="3"/>
        </patternFill>
      </fill>
    </dxf>
    <dxf>
      <border outline="0">
        <bottom style="thin">
          <color indexed="64"/>
        </bottom>
      </border>
    </dxf>
    <dxf>
      <font>
        <b val="0"/>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indexed="8"/>
        <name val="Aptos"/>
        <family val="2"/>
        <scheme val="none"/>
      </font>
      <numFmt numFmtId="164" formatCode="0.000"/>
      <fill>
        <patternFill patternType="solid">
          <fgColor indexed="64"/>
          <bgColor indexed="5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font>
        <b/>
        <i val="0"/>
        <strike val="0"/>
        <condense val="0"/>
        <extend val="0"/>
        <outline val="0"/>
        <shadow val="0"/>
        <u val="none"/>
        <vertAlign val="baseline"/>
        <sz val="12"/>
        <color theme="0"/>
        <name val="Aptos"/>
        <family val="2"/>
        <scheme val="none"/>
      </font>
      <fill>
        <patternFill patternType="solid">
          <fgColor indexed="64"/>
          <bgColor theme="3"/>
        </patternFill>
      </fill>
    </dxf>
    <dxf>
      <border outline="0">
        <bottom style="thin">
          <color indexed="64"/>
        </bottom>
      </border>
    </dxf>
    <dxf>
      <font>
        <b val="0"/>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indexed="8"/>
        <name val="Aptos"/>
        <family val="2"/>
        <scheme val="none"/>
      </font>
      <numFmt numFmtId="165" formatCode="0.0000"/>
      <fill>
        <patternFill patternType="solid">
          <fgColor indexed="64"/>
          <bgColor indexed="46"/>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165" formatCode="0.0000"/>
      <fill>
        <patternFill patternType="solid">
          <fgColor indexed="64"/>
          <bgColor indexed="46"/>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165" formatCode="0.0000"/>
      <fill>
        <patternFill patternType="solid">
          <fgColor indexed="64"/>
          <bgColor indexed="4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6"/>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6"/>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solid">
          <fgColor indexed="64"/>
          <bgColor indexed="43"/>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6"/>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6"/>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165" formatCode="0.0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Aptos"/>
        <family val="2"/>
        <scheme val="none"/>
      </font>
      <fill>
        <patternFill patternType="solid">
          <fgColor indexed="64"/>
          <bgColor indexed="45"/>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6"/>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6"/>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165" formatCode="0.0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Aptos"/>
        <family val="2"/>
        <scheme val="none"/>
      </font>
      <fill>
        <patternFill patternType="solid">
          <fgColor indexed="64"/>
          <bgColor indexed="45"/>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6"/>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6"/>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165" formatCode="0.0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font>
        <b val="0"/>
        <i val="0"/>
        <strike val="0"/>
        <condense val="0"/>
        <extend val="0"/>
        <outline val="0"/>
        <shadow val="0"/>
        <u val="none"/>
        <vertAlign val="baseline"/>
        <sz val="12"/>
        <color indexed="8"/>
        <name val="Aptos"/>
        <family val="2"/>
        <scheme val="none"/>
      </font>
      <fill>
        <patternFill patternType="solid">
          <fgColor indexed="64"/>
          <bgColor indexed="45"/>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6"/>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6"/>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165" formatCode="0.0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dxf>
    <dxf>
      <font>
        <b val="0"/>
        <i val="0"/>
        <strike val="0"/>
        <condense val="0"/>
        <extend val="0"/>
        <outline val="0"/>
        <shadow val="0"/>
        <u val="none"/>
        <vertAlign val="baseline"/>
        <sz val="12"/>
        <color indexed="8"/>
        <name val="Aptos"/>
        <family val="2"/>
        <scheme val="none"/>
      </font>
      <fill>
        <patternFill patternType="solid">
          <fgColor indexed="64"/>
          <bgColor indexed="4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6"/>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6"/>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165" formatCode="0.0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2" formatCode="0.00"/>
      <fill>
        <patternFill patternType="solid">
          <fgColor indexed="64"/>
          <bgColor indexed="4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0"/>
        <name val="Aptos"/>
        <family val="2"/>
        <scheme val="none"/>
      </font>
      <numFmt numFmtId="3" formatCode="#,##0"/>
      <fill>
        <patternFill patternType="solid">
          <fgColor indexed="64"/>
          <bgColor theme="3"/>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Aptos"/>
        <family val="2"/>
        <scheme val="none"/>
      </font>
      <fill>
        <patternFill patternType="solid">
          <fgColor indexed="64"/>
          <bgColor indexed="45"/>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Aptos"/>
        <family val="2"/>
        <scheme val="none"/>
      </font>
      <fill>
        <patternFill patternType="solid">
          <fgColor indexed="64"/>
          <bgColor theme="0"/>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indexed="8"/>
        <name val="Aptos"/>
        <family val="2"/>
        <scheme val="none"/>
      </font>
      <numFmt numFmtId="167" formatCode="0.000000000"/>
      <fill>
        <patternFill patternType="solid">
          <fgColor indexed="64"/>
          <bgColor indexed="51"/>
        </patternFill>
      </fill>
      <border diagonalUp="0" diagonalDown="0">
        <left style="thin">
          <color indexed="64"/>
        </left>
        <right style="medium">
          <color indexed="64"/>
        </right>
        <top style="thin">
          <color indexed="64"/>
        </top>
        <bottom/>
        <vertical/>
        <horizontal/>
      </border>
    </dxf>
    <dxf>
      <font>
        <b val="0"/>
        <i val="0"/>
        <strike val="0"/>
        <condense val="0"/>
        <extend val="0"/>
        <outline val="0"/>
        <shadow val="0"/>
        <u val="none"/>
        <vertAlign val="baseline"/>
        <sz val="12"/>
        <color indexed="8"/>
        <name val="Aptos"/>
        <family val="2"/>
        <scheme val="none"/>
      </font>
      <alignment horizontal="left" vertical="bottom"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top style="thin">
          <color indexed="64"/>
        </top>
      </border>
    </dxf>
    <dxf>
      <border outline="0">
        <bottom style="thin">
          <color indexed="64"/>
        </bottom>
      </border>
    </dxf>
    <dxf>
      <font>
        <strike val="0"/>
        <outline val="0"/>
        <shadow val="0"/>
        <u val="none"/>
        <vertAlign val="baseline"/>
        <sz val="12"/>
        <color auto="1"/>
        <name val="Aptos"/>
        <family val="2"/>
        <scheme val="none"/>
      </font>
    </dxf>
    <dxf>
      <font>
        <b val="0"/>
        <i val="0"/>
        <strike val="0"/>
        <condense val="0"/>
        <extend val="0"/>
        <outline val="0"/>
        <shadow val="0"/>
        <u val="none"/>
        <vertAlign val="baseline"/>
        <sz val="12"/>
        <color theme="1"/>
        <name val="Aptos"/>
        <family val="2"/>
        <scheme val="none"/>
      </font>
      <numFmt numFmtId="14" formatCode="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6" formatCode="_(* #,##0_);_(* \(#,##0\);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166" formatCode="_(* #,##0_);_(* \(#,##0\);_(* &quot;-&quot;??_);_(@_)"/>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Aptos"/>
        <family val="2"/>
        <scheme val="none"/>
      </font>
      <numFmt numFmtId="166" formatCode="_(* #,##0_);_(* \(#,##0\);_(* &quot;-&quot;??_);_(@_)"/>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font>
        <b val="0"/>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dxf>
    <dxf>
      <font>
        <b val="0"/>
        <i/>
        <strike val="0"/>
        <condense val="0"/>
        <extend val="0"/>
        <outline val="0"/>
        <shadow val="0"/>
        <u val="none"/>
        <vertAlign val="baseline"/>
        <sz val="12"/>
        <color indexed="8"/>
        <name val="Aptos"/>
        <family val="2"/>
        <scheme val="none"/>
      </font>
      <numFmt numFmtId="1" formatCode="0"/>
    </dxf>
    <dxf>
      <font>
        <b val="0"/>
        <i/>
        <strike val="0"/>
        <condense val="0"/>
        <extend val="0"/>
        <outline val="0"/>
        <shadow val="0"/>
        <u val="none"/>
        <vertAlign val="baseline"/>
        <sz val="12"/>
        <color indexed="8"/>
        <name val="Aptos"/>
        <family val="2"/>
        <scheme val="none"/>
      </font>
      <numFmt numFmtId="1" formatCode="0"/>
    </dxf>
    <dxf>
      <font>
        <b val="0"/>
        <i/>
        <strike val="0"/>
        <condense val="0"/>
        <extend val="0"/>
        <outline val="0"/>
        <shadow val="0"/>
        <u val="none"/>
        <vertAlign val="baseline"/>
        <sz val="12"/>
        <color indexed="8"/>
        <name val="Aptos"/>
        <family val="2"/>
        <scheme val="none"/>
      </font>
      <numFmt numFmtId="1" formatCode="0"/>
    </dxf>
    <dxf>
      <font>
        <b val="0"/>
        <i/>
        <strike val="0"/>
        <condense val="0"/>
        <extend val="0"/>
        <outline val="0"/>
        <shadow val="0"/>
        <u val="none"/>
        <vertAlign val="baseline"/>
        <sz val="12"/>
        <color indexed="8"/>
        <name val="Aptos"/>
        <family val="2"/>
        <scheme val="none"/>
      </font>
      <numFmt numFmtId="1" formatCode="0"/>
    </dxf>
    <dxf>
      <font>
        <b val="0"/>
        <i/>
        <strike val="0"/>
        <condense val="0"/>
        <extend val="0"/>
        <outline val="0"/>
        <shadow val="0"/>
        <u val="none"/>
        <vertAlign val="baseline"/>
        <sz val="12"/>
        <color indexed="8"/>
        <name val="Aptos"/>
        <family val="2"/>
        <scheme val="none"/>
      </font>
      <numFmt numFmtId="1" formatCode="0"/>
    </dxf>
    <dxf>
      <font>
        <b val="0"/>
        <i/>
        <strike val="0"/>
        <condense val="0"/>
        <extend val="0"/>
        <outline val="0"/>
        <shadow val="0"/>
        <u val="none"/>
        <vertAlign val="baseline"/>
        <sz val="12"/>
        <color indexed="8"/>
        <name val="Aptos"/>
        <family val="2"/>
        <scheme val="none"/>
      </font>
      <numFmt numFmtId="1" formatCode="0"/>
    </dxf>
    <dxf>
      <font>
        <b val="0"/>
        <i val="0"/>
        <strike val="0"/>
        <condense val="0"/>
        <extend val="0"/>
        <outline val="0"/>
        <shadow val="0"/>
        <u val="none"/>
        <vertAlign val="baseline"/>
        <sz val="12"/>
        <color theme="1"/>
        <name val="Aptos"/>
        <family val="2"/>
        <scheme val="none"/>
      </font>
    </dxf>
    <dxf>
      <font>
        <b val="0"/>
        <i/>
        <strike val="0"/>
        <condense val="0"/>
        <extend val="0"/>
        <outline val="0"/>
        <shadow val="0"/>
        <u val="none"/>
        <vertAlign val="baseline"/>
        <sz val="12"/>
        <color indexed="8"/>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indexed="8"/>
        <name val="Aptos"/>
        <family val="2"/>
        <scheme val="none"/>
      </font>
      <numFmt numFmtId="14" formatCode="0.0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indexed="8"/>
        <name val="Aptos"/>
        <family val="2"/>
        <scheme val="none"/>
      </font>
      <numFmt numFmtId="14" formatCode="0.0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indexed="8"/>
        <name val="Aptos"/>
        <family val="2"/>
        <scheme val="none"/>
      </font>
      <numFmt numFmtId="14" formatCode="0.0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indexed="8"/>
        <name val="Aptos"/>
        <family val="2"/>
        <scheme val="none"/>
      </font>
      <numFmt numFmtId="14" formatCode="0.0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indexed="8"/>
        <name val="Aptos"/>
        <family val="2"/>
        <scheme val="none"/>
      </font>
      <numFmt numFmtId="14" formatCode="0.0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indexed="8"/>
        <name val="Aptos"/>
        <family val="2"/>
        <scheme val="none"/>
      </font>
      <numFmt numFmtId="14" formatCode="0.0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dxf>
    <dxf>
      <border outline="0">
        <top style="thin">
          <color indexed="64"/>
        </top>
      </border>
    </dxf>
    <dxf>
      <border outline="0">
        <bottom style="thin">
          <color indexed="64"/>
        </bottom>
      </border>
    </dxf>
    <dxf>
      <font>
        <b/>
        <i val="0"/>
        <strike val="0"/>
        <condense val="0"/>
        <extend val="0"/>
        <outline val="0"/>
        <shadow val="0"/>
        <u val="none"/>
        <vertAlign val="baseline"/>
        <sz val="12"/>
        <color theme="1"/>
        <name val="Aptos"/>
        <family val="2"/>
        <scheme val="none"/>
      </font>
      <fill>
        <patternFill patternType="solid">
          <fgColor indexed="64"/>
          <bgColor rgb="FFFFFFCC"/>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dxf>
    <dxf>
      <font>
        <b/>
        <i val="0"/>
        <strike val="0"/>
        <condense val="0"/>
        <extend val="0"/>
        <outline val="0"/>
        <shadow val="0"/>
        <u val="none"/>
        <vertAlign val="baseline"/>
        <sz val="12"/>
        <color auto="1"/>
        <name val="Aptos"/>
        <family val="2"/>
        <scheme val="none"/>
      </font>
      <numFmt numFmtId="3" formatCode="#,##0"/>
      <border diagonalUp="0" diagonalDown="0">
        <left/>
        <right style="thin">
          <color indexed="64"/>
        </right>
        <top/>
        <bottom style="medium">
          <color indexed="64"/>
        </bottom>
        <vertical/>
        <horizontal/>
      </border>
    </dxf>
    <dxf>
      <font>
        <b/>
        <i val="0"/>
        <strike val="0"/>
        <condense val="0"/>
        <extend val="0"/>
        <outline val="0"/>
        <shadow val="0"/>
        <u val="none"/>
        <vertAlign val="baseline"/>
        <sz val="12"/>
        <color auto="1"/>
        <name val="Aptos"/>
        <family val="2"/>
        <scheme val="none"/>
      </font>
      <alignment horizontal="left" vertical="bottom" textRotation="0" wrapText="1" indent="0" justifyLastLine="0" shrinkToFit="0" readingOrder="0"/>
      <border diagonalUp="0" diagonalDown="0">
        <left style="thin">
          <color indexed="64"/>
        </left>
        <right style="thin">
          <color indexed="64"/>
        </right>
        <top/>
        <bottom style="medium">
          <color indexed="64"/>
        </bottom>
        <vertical/>
        <horizontal/>
      </border>
    </dxf>
    <dxf>
      <border outline="0">
        <top style="thin">
          <color indexed="64"/>
        </top>
      </border>
    </dxf>
    <dxf>
      <font>
        <b val="0"/>
        <i val="0"/>
        <strike val="0"/>
        <condense val="0"/>
        <extend val="0"/>
        <outline val="0"/>
        <shadow val="0"/>
        <u val="none"/>
        <vertAlign val="baseline"/>
        <sz val="12"/>
        <color auto="1"/>
        <name val="Aptos"/>
        <family val="2"/>
        <scheme val="none"/>
      </font>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3" formatCode="#,##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rder>
    </dxf>
    <dxf>
      <font>
        <b val="0"/>
        <i val="0"/>
        <strike val="0"/>
        <condense val="0"/>
        <extend val="0"/>
        <outline val="0"/>
        <shadow val="0"/>
        <u val="none"/>
        <vertAlign val="baseline"/>
        <sz val="12"/>
        <color theme="1"/>
        <name val="Aptos"/>
        <family val="2"/>
        <scheme val="none"/>
      </font>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dxf>
    <dxf>
      <border outline="0">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dxf>
    <dxf>
      <border outline="0">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dxf>
    <dxf>
      <border outline="0">
        <top style="medium">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right/>
        <top/>
        <bottom style="thin">
          <color indexed="64"/>
        </bottom>
        <vertical/>
        <horizontal/>
      </border>
    </dxf>
    <dxf>
      <border outline="0">
        <top style="medium">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dxf>
    <dxf>
      <border outline="0">
        <top style="medium">
          <color indexed="64"/>
        </top>
        <bottom style="medium">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dxf>
    <dxf>
      <font>
        <strike val="0"/>
        <outline val="0"/>
        <shadow val="0"/>
        <vertAlign val="baseline"/>
        <sz val="12"/>
        <name val="Aptos"/>
        <family val="2"/>
        <scheme val="none"/>
      </font>
      <alignment horizontal="center" vertical="bottom" textRotation="0" wrapText="0" indent="0" justifyLastLine="0" shrinkToFit="0" readingOrder="0"/>
    </dxf>
    <dxf>
      <font>
        <strike val="0"/>
        <outline val="0"/>
        <shadow val="0"/>
        <vertAlign val="baseline"/>
        <sz val="12"/>
        <name val="Aptos"/>
        <family val="2"/>
        <scheme val="none"/>
      </font>
      <alignment horizontal="center" vertical="bottom" textRotation="0" wrapText="0" indent="0" justifyLastLine="0" shrinkToFit="0" readingOrder="0"/>
    </dxf>
    <dxf>
      <font>
        <strike val="0"/>
        <outline val="0"/>
        <shadow val="0"/>
        <vertAlign val="baseline"/>
        <sz val="12"/>
        <name val="Aptos"/>
        <family val="2"/>
        <scheme val="none"/>
      </font>
      <alignment horizontal="center" vertical="bottom" textRotation="0" wrapText="0" indent="0" justifyLastLine="0" shrinkToFit="0" readingOrder="0"/>
    </dxf>
    <dxf>
      <font>
        <strike val="0"/>
        <outline val="0"/>
        <shadow val="0"/>
        <vertAlign val="baseline"/>
        <sz val="12"/>
        <name val="Aptos"/>
        <family val="2"/>
        <scheme val="none"/>
      </font>
      <alignment horizontal="center" vertical="bottom" textRotation="0" wrapText="0" indent="0" justifyLastLine="0" shrinkToFit="0" readingOrder="0"/>
    </dxf>
    <dxf>
      <font>
        <b val="0"/>
        <strike val="0"/>
        <outline val="0"/>
        <shadow val="0"/>
        <vertAlign val="baseline"/>
        <sz val="12"/>
        <name val="Aptos"/>
        <family val="2"/>
        <scheme val="none"/>
      </font>
    </dxf>
    <dxf>
      <font>
        <strike val="0"/>
        <outline val="0"/>
        <shadow val="0"/>
        <vertAlign val="baseline"/>
        <sz val="12"/>
        <name val="Aptos"/>
        <family val="2"/>
        <scheme val="none"/>
      </font>
    </dxf>
    <dxf>
      <font>
        <strike val="0"/>
        <outline val="0"/>
        <shadow val="0"/>
        <u val="none"/>
        <vertAlign val="baseline"/>
        <sz val="12"/>
        <color auto="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numFmt numFmtId="19" formatCode="m/d/yyyy"/>
      <fill>
        <patternFill patternType="solid">
          <fgColor indexed="64"/>
          <bgColor rgb="FFFFFFCC"/>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font>
        <b/>
        <i val="0"/>
        <strike val="0"/>
        <condense val="0"/>
        <extend val="0"/>
        <outline val="0"/>
        <shadow val="0"/>
        <u val="none"/>
        <vertAlign val="baseline"/>
        <sz val="12"/>
        <color theme="1"/>
        <name val="Aptos"/>
        <family val="2"/>
        <scheme val="none"/>
      </font>
      <fill>
        <patternFill patternType="solid">
          <fgColor indexed="64"/>
          <bgColor rgb="FFFFFFCC"/>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bottom" textRotation="0" wrapText="0" indent="0" justifyLastLine="0" shrinkToFit="0" readingOrder="0"/>
      <border diagonalUp="0" diagonalDown="0">
        <right style="thin">
          <color indexed="64"/>
        </right>
        <top/>
        <bottom/>
        <vertical/>
        <horizontal/>
      </border>
    </dxf>
    <dxf>
      <font>
        <b/>
        <i val="0"/>
        <strike val="0"/>
        <condense val="0"/>
        <extend val="0"/>
        <outline val="0"/>
        <shadow val="0"/>
        <u val="none"/>
        <vertAlign val="baseline"/>
        <sz val="12"/>
        <color auto="1"/>
        <name val="Aptos"/>
        <family val="2"/>
        <scheme val="none"/>
      </font>
      <fill>
        <patternFill patternType="none">
          <fgColor theme="1"/>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border diagonalUp="0" diagonalDown="0">
        <right style="thin">
          <color indexed="64"/>
        </right>
        <top/>
        <bottom/>
        <vertical/>
        <horizontal/>
      </border>
    </dxf>
    <dxf>
      <border outline="0">
        <bottom style="medium">
          <color indexed="64"/>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i val="0"/>
        <strike val="0"/>
        <condense val="0"/>
        <extend val="0"/>
        <outline val="0"/>
        <shadow val="0"/>
        <u val="none"/>
        <vertAlign val="baseline"/>
        <sz val="12"/>
        <color auto="1"/>
        <name val="Aptos"/>
        <family val="2"/>
        <scheme val="none"/>
      </font>
      <fill>
        <patternFill patternType="none">
          <fgColor theme="1"/>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solid">
          <fgColor indexed="64"/>
          <bgColor theme="0" tint="-0.14999847407452621"/>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solid">
          <fgColor indexed="64"/>
          <bgColor theme="0" tint="-0.14999847407452621"/>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solid">
          <fgColor indexed="64"/>
          <bgColor theme="0" tint="-0.14999847407452621"/>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solid">
          <fgColor indexed="64"/>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indexed="64"/>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indexed="64"/>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indexed="64"/>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indexed="64"/>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indexed="64"/>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indexed="64"/>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indexed="64"/>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indexed="64"/>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indexed="64"/>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indexed="64"/>
          <bgColor theme="0" tint="-0.14999847407452621"/>
        </patternFill>
      </fill>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border diagonalUp="0" diagonalDown="0">
        <right style="thin">
          <color indexed="64"/>
        </right>
        <top/>
        <bottom/>
        <vertical/>
        <horizontal/>
      </border>
    </dxf>
    <dxf>
      <border outline="0">
        <bottom style="medium">
          <color indexed="64"/>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border diagonalUp="0" diagonalDown="0">
        <left style="medium">
          <color indexed="64"/>
        </left>
        <right style="medium">
          <color indexed="64"/>
        </right>
        <top/>
        <bottom style="medium">
          <color indexed="64"/>
        </bottom>
        <vertical/>
        <horizontal/>
      </border>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auto="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theme="1"/>
        <name val="Aptos"/>
        <family val="2"/>
        <scheme val="none"/>
      </font>
      <alignment horizontal="right"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theme="1"/>
        <name val="Aptos"/>
        <family val="2"/>
        <scheme val="none"/>
      </font>
      <alignment horizontal="right" vertical="bottom" textRotation="0" wrapText="0" indent="0" justifyLastLine="0" shrinkToFit="0" readingOrder="0"/>
    </dxf>
    <dxf>
      <border outline="0">
        <top style="thin">
          <color theme="1"/>
        </top>
      </border>
    </dxf>
    <dxf>
      <border outline="0">
        <bottom style="thin">
          <color theme="1"/>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theme="1"/>
        <name val="Aptos"/>
        <family val="2"/>
        <scheme val="none"/>
      </font>
      <alignment horizontal="right"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theme="1"/>
        <name val="Aptos"/>
        <family val="2"/>
        <scheme val="none"/>
      </font>
      <alignment horizontal="right"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theme="1"/>
        <name val="Aptos"/>
        <family val="2"/>
        <scheme val="none"/>
      </font>
      <alignment horizontal="right" vertical="bottom" textRotation="0" wrapText="0" indent="0" justifyLastLine="0" shrinkToFit="0" readingOrder="0"/>
    </dxf>
    <dxf>
      <alignment horizontal="center" vertical="bottom" textRotation="0" wrapText="0" indent="0" justifyLastLine="0" shrinkToFit="0" readingOrder="0"/>
    </dxf>
    <dxf>
      <border outline="0">
        <top style="thin">
          <color indexed="64"/>
        </top>
      </border>
    </dxf>
    <dxf>
      <border outline="0">
        <bottom style="thin">
          <color indexed="64"/>
        </bottom>
      </border>
    </dxf>
    <dxf>
      <font>
        <b/>
        <i val="0"/>
        <strike val="0"/>
        <condense val="0"/>
        <extend val="0"/>
        <outline val="0"/>
        <shadow val="0"/>
        <u val="none"/>
        <vertAlign val="baseline"/>
        <sz val="12"/>
        <color theme="1"/>
        <name val="Aptos"/>
        <family val="2"/>
        <scheme val="none"/>
      </font>
      <fill>
        <patternFill patternType="solid">
          <fgColor indexed="64"/>
          <bgColor rgb="FFFFFFCC"/>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style="medium">
          <color indexed="64"/>
        </left>
        <right/>
        <top/>
        <bottom/>
        <vertical/>
        <horizontal/>
      </border>
    </dxf>
    <dxf>
      <font>
        <b val="0"/>
        <i val="0"/>
        <strike val="0"/>
        <condense val="0"/>
        <extend val="0"/>
        <outline val="0"/>
        <shadow val="0"/>
        <u val="none"/>
        <vertAlign val="baseline"/>
        <sz val="12"/>
        <color auto="1"/>
        <name val="Aptos"/>
        <family val="2"/>
        <scheme val="none"/>
      </font>
      <alignment horizontal="left" vertical="bottom" textRotation="0" wrapText="0" indent="1" justifyLastLine="0" shrinkToFit="0" readingOrder="0"/>
    </dxf>
    <dxf>
      <border outline="0">
        <top style="medium">
          <color indexed="64"/>
        </top>
        <bottom style="medium">
          <color indexed="64"/>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border outline="0">
        <bottom style="medium">
          <color indexed="64"/>
        </bottom>
      </border>
    </dxf>
    <dxf>
      <font>
        <b/>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i val="0"/>
        <strike val="0"/>
        <condense val="0"/>
        <extend val="0"/>
        <outline val="0"/>
        <shadow val="0"/>
        <u val="none"/>
        <vertAlign val="baseline"/>
        <sz val="12"/>
        <color auto="1"/>
        <name val="Aptos"/>
        <family val="2"/>
        <scheme val="none"/>
      </font>
      <fill>
        <patternFill patternType="none">
          <fgColor indexed="64"/>
          <bgColor indexed="65"/>
        </patternFill>
      </fill>
    </dxf>
    <dxf>
      <font>
        <b/>
        <i val="0"/>
        <strike val="0"/>
        <condense val="0"/>
        <extend val="0"/>
        <outline val="0"/>
        <shadow val="0"/>
        <u val="none"/>
        <vertAlign val="baseline"/>
        <sz val="12"/>
        <color auto="1"/>
        <name val="Aptos"/>
        <family val="2"/>
        <scheme val="none"/>
      </font>
      <fill>
        <patternFill patternType="none">
          <fgColor indexed="64"/>
          <bgColor indexed="65"/>
        </patternFill>
      </fill>
    </dxf>
    <dxf>
      <font>
        <b/>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2"/>
        <name val="Aptos"/>
        <family val="2"/>
        <scheme val="none"/>
      </font>
      <alignment horizontal="left" vertical="bottom" textRotation="0" wrapText="0" indent="0" justifyLastLine="0" shrinkToFit="0" readingOrder="0"/>
    </dxf>
    <dxf>
      <font>
        <strike val="0"/>
        <outline val="0"/>
        <shadow val="0"/>
        <u val="none"/>
        <vertAlign val="baseline"/>
        <sz val="12"/>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outline="0">
        <left style="medium">
          <color indexed="64"/>
        </left>
        <right/>
        <top/>
        <bottom/>
      </border>
    </dxf>
    <dxf>
      <font>
        <b val="0"/>
        <i val="0"/>
        <strike val="0"/>
        <condense val="0"/>
        <extend val="0"/>
        <outline val="0"/>
        <shadow val="0"/>
        <u val="none"/>
        <vertAlign val="baseline"/>
        <sz val="12"/>
        <color auto="1"/>
        <name val="Aptos"/>
        <family val="2"/>
        <scheme val="none"/>
      </font>
    </dxf>
    <dxf>
      <border outline="0">
        <top style="medium">
          <color indexed="64"/>
        </top>
        <bottom style="medium">
          <color indexed="64"/>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border outline="0">
        <bottom style="medium">
          <color indexed="64"/>
        </bottom>
      </border>
    </dxf>
    <dxf>
      <font>
        <b/>
        <i val="0"/>
        <strike val="0"/>
        <condense val="0"/>
        <extend val="0"/>
        <outline val="0"/>
        <shadow val="0"/>
        <u val="none"/>
        <vertAlign val="baseline"/>
        <sz val="12"/>
        <color auto="1"/>
        <name val="Aptos"/>
        <family val="2"/>
        <scheme val="none"/>
      </font>
    </dxf>
    <dxf>
      <border outline="0">
        <top style="thin">
          <color indexed="64"/>
        </top>
      </border>
    </dxf>
    <dxf>
      <border outline="0">
        <bottom style="thin">
          <color indexed="64"/>
        </bottom>
      </border>
    </dxf>
    <dxf>
      <font>
        <b/>
        <i val="0"/>
        <strike val="0"/>
        <condense val="0"/>
        <extend val="0"/>
        <outline val="0"/>
        <shadow val="0"/>
        <u val="none"/>
        <vertAlign val="baseline"/>
        <sz val="12"/>
        <color theme="1"/>
        <name val="Aptos"/>
        <family val="2"/>
        <scheme val="none"/>
      </font>
      <fill>
        <patternFill patternType="solid">
          <fgColor indexed="64"/>
          <bgColor rgb="FFFFFFCC"/>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border diagonalUp="0" diagonalDown="0">
        <left style="medium">
          <color indexed="64"/>
        </left>
        <right style="medium">
          <color indexed="64"/>
        </right>
        <top style="thin">
          <color indexed="64"/>
        </top>
        <bottom style="medium">
          <color indexed="64"/>
        </bottom>
        <vertical/>
        <horizontal/>
      </border>
    </dxf>
    <dxf>
      <font>
        <b val="0"/>
        <i val="0"/>
        <strike val="0"/>
        <condense val="0"/>
        <extend val="0"/>
        <outline val="0"/>
        <shadow val="0"/>
        <u val="none"/>
        <vertAlign val="baseline"/>
        <sz val="12"/>
        <color theme="1"/>
        <name val="Aptos"/>
        <family val="2"/>
        <scheme val="none"/>
      </font>
      <alignment horizontal="left" vertical="bottom" textRotation="0" wrapText="0" indent="2" justifyLastLine="0" shrinkToFit="0" readingOrder="0"/>
    </dxf>
    <dxf>
      <border outline="0">
        <bottom style="medium">
          <color indexed="64"/>
        </bottom>
      </border>
    </dxf>
    <dxf>
      <font>
        <b val="0"/>
        <i val="0"/>
        <strike val="0"/>
        <condense val="0"/>
        <extend val="0"/>
        <outline val="0"/>
        <shadow val="0"/>
        <u val="none"/>
        <vertAlign val="baseline"/>
        <sz val="12"/>
        <color auto="1"/>
        <name val="Aptos"/>
        <family val="2"/>
        <scheme val="none"/>
      </font>
    </dxf>
    <dxf>
      <border outline="0">
        <bottom style="medium">
          <color indexed="64"/>
        </bottom>
      </border>
    </dxf>
    <dxf>
      <font>
        <b/>
        <i val="0"/>
        <strike val="0"/>
        <condense val="0"/>
        <extend val="0"/>
        <outline val="0"/>
        <shadow val="0"/>
        <u val="none"/>
        <vertAlign val="baseline"/>
        <sz val="12"/>
        <color auto="1"/>
        <name val="Aptos"/>
        <family val="2"/>
        <scheme val="none"/>
      </font>
    </dxf>
    <dxf>
      <border outline="0">
        <top style="thin">
          <color indexed="64"/>
        </top>
      </border>
    </dxf>
    <dxf>
      <border outline="0">
        <bottom style="thin">
          <color indexed="64"/>
        </bottom>
      </border>
    </dxf>
    <dxf>
      <font>
        <b/>
        <i val="0"/>
        <strike val="0"/>
        <condense val="0"/>
        <extend val="0"/>
        <outline val="0"/>
        <shadow val="0"/>
        <u val="none"/>
        <vertAlign val="baseline"/>
        <sz val="12"/>
        <color theme="1"/>
        <name val="Aptos"/>
        <family val="2"/>
        <scheme val="none"/>
      </font>
      <fill>
        <patternFill patternType="solid">
          <fgColor indexed="64"/>
          <bgColor rgb="FFFFFFCC"/>
        </patternFill>
      </fill>
      <alignment horizontal="center" vertical="bottom" textRotation="0" wrapText="0" indent="0" justifyLastLine="0" shrinkToFit="0" readingOrder="0"/>
      <border diagonalUp="0" diagonalDown="0" outline="0">
        <left style="thin">
          <color indexed="64"/>
        </left>
        <right style="thin">
          <color indexed="64"/>
        </right>
        <top/>
        <bottom/>
      </border>
    </dxf>
    <dxf>
      <border outline="0">
        <top style="thin">
          <color indexed="64"/>
        </top>
      </border>
    </dxf>
    <dxf>
      <border outline="0">
        <bottom style="thin">
          <color indexed="64"/>
        </bottom>
      </border>
    </dxf>
    <dxf>
      <font>
        <b/>
        <i val="0"/>
        <strike val="0"/>
        <condense val="0"/>
        <extend val="0"/>
        <outline val="0"/>
        <shadow val="0"/>
        <u val="none"/>
        <vertAlign val="baseline"/>
        <sz val="12"/>
        <color theme="1"/>
        <name val="Aptos"/>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lef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font>
        <b val="0"/>
        <i val="0"/>
        <strike val="0"/>
        <condense val="0"/>
        <extend val="0"/>
        <outline val="0"/>
        <shadow val="0"/>
        <u val="none"/>
        <vertAlign val="baseline"/>
        <sz val="12"/>
        <color auto="1"/>
        <name val="Aptos"/>
        <family val="2"/>
        <scheme val="none"/>
      </font>
      <fill>
        <patternFill patternType="solid">
          <fgColor indexed="64"/>
          <bgColor theme="8" tint="0.79998168889431442"/>
        </patternFill>
      </fill>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font>
        <b val="0"/>
        <i val="0"/>
        <strike val="0"/>
        <condense val="0"/>
        <extend val="0"/>
        <outline val="0"/>
        <shadow val="0"/>
        <u val="none"/>
        <vertAlign val="baseline"/>
        <sz val="12"/>
        <color auto="1"/>
        <name val="Aptos"/>
        <family val="2"/>
        <scheme val="none"/>
      </font>
      <fill>
        <patternFill patternType="solid">
          <fgColor indexed="64"/>
          <bgColor theme="8" tint="0.79998168889431442"/>
        </patternFill>
      </fill>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lef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left"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left" vertical="center" textRotation="0" wrapText="0" indent="0" justifyLastLine="0" shrinkToFit="0" readingOrder="0"/>
      <border diagonalUp="0" diagonalDown="0">
        <left/>
        <right/>
        <top/>
        <bottom style="thin">
          <color indexed="64"/>
        </bottom>
        <vertical/>
        <horizontal/>
      </border>
    </dxf>
    <dxf>
      <border outline="0">
        <top style="thin">
          <color indexed="64"/>
        </top>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font>
        <b val="0"/>
        <i val="0"/>
        <strike val="0"/>
        <condense val="0"/>
        <extend val="0"/>
        <outline val="0"/>
        <shadow val="0"/>
        <u val="none"/>
        <vertAlign val="baseline"/>
        <sz val="12"/>
        <color auto="1"/>
        <name val="Aptos"/>
        <family val="2"/>
        <scheme val="none"/>
      </font>
      <fill>
        <patternFill patternType="solid">
          <fgColor indexed="64"/>
          <bgColor theme="8" tint="0.79998168889431442"/>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lef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left" vertical="center"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left" vertical="center" textRotation="0" wrapText="0" indent="0" justifyLastLine="0" shrinkToFit="0" readingOrder="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left" vertical="center"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indexed="64"/>
        </right>
        <top style="thin">
          <color indexed="64"/>
        </top>
        <bottom/>
        <vertical/>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family val="2"/>
        <scheme val="none"/>
      </font>
      <fill>
        <patternFill patternType="solid">
          <fgColor indexed="64"/>
          <bgColor theme="8" tint="0.79998168889431442"/>
        </patternFill>
      </fill>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indexed="64"/>
        </left>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border outline="0">
        <left style="thin">
          <color indexed="64"/>
        </left>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left style="thin">
          <color indexed="64"/>
        </left>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border>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theme="1"/>
        </top>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6" formatCode="_(* #,##0.0_);_(* \(#,##0.0\);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6" formatCode="_(* #,##0.0_);_(* \(#,##0.0\);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6" formatCode="_(* #,##0.0_);_(* \(#,##0.0\);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6" formatCode="_(* #,##0.0_);_(* \(#,##0.0\);_(* &quot;-&quot;??_);_(@_)"/>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6" formatCode="_(* #,##0.0_);_(* \(#,##0.0\);_(* &quot;-&quot;??_);_(@_)"/>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indexed="64"/>
        </left>
        <top style="thin">
          <color theme="1"/>
        </top>
      </border>
    </dxf>
    <dxf>
      <font>
        <b val="0"/>
        <i val="0"/>
        <strike val="0"/>
        <condense val="0"/>
        <extend val="0"/>
        <outline val="0"/>
        <shadow val="0"/>
        <u val="none"/>
        <vertAlign val="baseline"/>
        <sz val="12"/>
        <color auto="1"/>
        <name val="Aptos"/>
        <family val="2"/>
        <scheme val="none"/>
      </font>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top style="thin">
          <color theme="1"/>
        </top>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Aptos"/>
        <family val="2"/>
        <scheme val="none"/>
      </font>
      <fill>
        <patternFill patternType="solid">
          <fgColor indexed="64"/>
          <bgColor theme="4" tint="0.5999938962981048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Aptos"/>
        <family val="2"/>
        <scheme val="none"/>
      </font>
      <fill>
        <patternFill patternType="solid">
          <fgColor theme="0" tint="-0.14999847407452621"/>
          <bgColor theme="3" tint="0.79998168889431442"/>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fill>
        <patternFill patternType="solid">
          <fgColor indexed="64"/>
          <bgColor theme="8" tint="0.79998168889431442"/>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theme="4" tint="0.39997558519241921"/>
        </top>
      </border>
    </dxf>
    <dxf>
      <font>
        <b val="0"/>
        <i val="0"/>
        <strike val="0"/>
        <condense val="0"/>
        <extend val="0"/>
        <outline val="0"/>
        <shadow val="0"/>
        <u val="none"/>
        <vertAlign val="baseline"/>
        <sz val="12"/>
        <color auto="1"/>
        <name val="Aptos"/>
        <family val="2"/>
        <scheme val="none"/>
      </font>
      <fill>
        <patternFill patternType="solid">
          <fgColor indexed="64"/>
          <bgColor theme="8" tint="0.79998168889431442"/>
        </patternFill>
      </fill>
      <alignment horizontal="right" vertical="center"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indexed="64"/>
        </left>
        <top style="thin">
          <color theme="4" tint="0.39997558519241921"/>
        </top>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theme="4" tint="0.39997558519241921"/>
        </top>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theme="8" tint="0.79998168889431442"/>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fill>
        <patternFill patternType="solid">
          <fgColor indexed="64"/>
          <bgColor rgb="FFFFC000"/>
        </patternFill>
      </fill>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Aptos"/>
        <family val="2"/>
        <scheme val="none"/>
      </font>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indexed="64"/>
        </right>
        <top style="thin">
          <color indexed="64"/>
        </top>
        <bottom/>
        <vertical/>
        <horizontal/>
      </border>
    </dxf>
    <dxf>
      <border outline="0">
        <left style="thin">
          <color indexed="64"/>
        </left>
        <top style="thin">
          <color theme="4" tint="0.39997558519241921"/>
        </top>
      </border>
    </dxf>
    <dxf>
      <font>
        <b val="0"/>
        <i val="0"/>
        <strike val="0"/>
        <condense val="0"/>
        <extend val="0"/>
        <outline val="0"/>
        <shadow val="0"/>
        <u val="none"/>
        <vertAlign val="baseline"/>
        <sz val="12"/>
        <color auto="1"/>
        <name val="Aptos"/>
        <family val="2"/>
        <scheme val="none"/>
      </font>
      <fill>
        <patternFill patternType="solid">
          <fgColor indexed="64"/>
          <bgColor theme="8" tint="0.79998168889431442"/>
        </patternFill>
      </fill>
      <alignment horizontal="right" vertical="center"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indexed="64"/>
        </left>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4" formatCode="#,##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theme="1"/>
        </top>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theme="1"/>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theme="1"/>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dxf>
    <dxf>
      <border outline="0">
        <top style="thin">
          <color indexed="64"/>
        </top>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theme="1"/>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3" formatCode="#,##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theme="1"/>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style="thin">
          <color indexed="64"/>
        </top>
        <bottom/>
        <vertical/>
        <horizontal/>
      </border>
    </dxf>
    <dxf>
      <border outline="0">
        <left style="thin">
          <color indexed="64"/>
        </left>
        <top style="thin">
          <color indexed="64"/>
        </top>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border outline="0">
        <top style="thin">
          <color indexed="64"/>
        </top>
      </border>
    </dxf>
    <dxf>
      <border outline="0">
        <bottom style="thin">
          <color indexed="64"/>
        </bottom>
      </border>
    </dxf>
    <dxf>
      <font>
        <b/>
        <i val="0"/>
        <strike val="0"/>
        <condense val="0"/>
        <extend val="0"/>
        <outline val="0"/>
        <shadow val="0"/>
        <u val="none"/>
        <vertAlign val="baseline"/>
        <sz val="12"/>
        <color theme="1"/>
        <name val="Aptos"/>
        <family val="2"/>
        <scheme val="none"/>
      </font>
      <fill>
        <patternFill patternType="solid">
          <fgColor indexed="64"/>
          <bgColor rgb="FFFFFFCC"/>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border>
        <bottom style="thin">
          <color indexed="64"/>
        </bottom>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indexed="65"/>
        </patternFill>
      </fill>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1" justifyLastLine="0" shrinkToFit="0" readingOrder="0"/>
    </dxf>
    <dxf>
      <border outline="0">
        <top style="medium">
          <color indexed="64"/>
        </top>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border outline="0">
        <bottom style="medium">
          <color indexed="64"/>
        </bottom>
      </border>
    </dxf>
    <dxf>
      <font>
        <b/>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1" justifyLastLine="0" shrinkToFit="0" readingOrder="0"/>
    </dxf>
    <dxf>
      <border outline="0">
        <top style="medium">
          <color indexed="64"/>
        </top>
      </border>
    </dxf>
    <dxf>
      <border outline="0">
        <bottom style="medium">
          <color indexed="64"/>
        </bottom>
      </border>
    </dxf>
    <dxf>
      <font>
        <b/>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7" formatCode="#,##0.00_);\(#,##0.00\)"/>
      <fill>
        <patternFill patternType="none">
          <fgColor indexed="64"/>
          <bgColor indexed="65"/>
        </patternFill>
      </fill>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bottom" textRotation="0" wrapText="0" indent="1" justifyLastLine="0" shrinkToFit="0" readingOrder="0"/>
    </dxf>
    <dxf>
      <border outline="0">
        <top style="medium">
          <color indexed="64"/>
        </top>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border outline="0">
        <bottom style="medium">
          <color indexed="64"/>
        </bottom>
      </border>
    </dxf>
    <dxf>
      <font>
        <b/>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family val="2"/>
        <scheme val="none"/>
      </font>
    </dxf>
    <dxf>
      <border>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4" formatCode="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65" formatCode="0.00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family val="2"/>
        <scheme val="none"/>
      </font>
      <numFmt numFmtId="165" formatCode="0.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65" formatCode="0.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0.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65" formatCode="0.0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rder>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general" vertical="center" textRotation="0" wrapText="1" indent="0" justifyLastLine="0" shrinkToFit="0" readingOrder="0"/>
      <border diagonalUp="0" diagonalDown="0">
        <left/>
        <right style="thin">
          <color indexed="64"/>
        </right>
        <top style="thin">
          <color indexed="64"/>
        </top>
        <bottom/>
        <vertical/>
        <horizontal/>
      </border>
    </dxf>
    <dxf>
      <border outline="0">
        <left style="thin">
          <color indexed="64"/>
        </left>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theme="1"/>
        <name val="Aptos"/>
        <family val="2"/>
        <scheme val="none"/>
      </font>
      <border diagonalUp="0" diagonalDown="0">
        <left style="thin">
          <color indexed="64"/>
        </left>
        <right/>
        <top/>
        <bottom/>
        <vertical/>
        <horizontal/>
      </border>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theme="1"/>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175" formatCode="#,##0.0"/>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center" textRotation="0" wrapText="1"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indexed="65"/>
        </patternFill>
      </fill>
    </dxf>
    <dxf>
      <border outline="0">
        <left style="thin">
          <color theme="1"/>
        </left>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border outline="0">
        <bottom style="thin">
          <color theme="1"/>
        </bottom>
      </border>
    </dxf>
    <dxf>
      <font>
        <b/>
        <i val="0"/>
        <strike val="0"/>
        <condense val="0"/>
        <extend val="0"/>
        <outline val="0"/>
        <shadow val="0"/>
        <u val="none"/>
        <vertAlign val="baseline"/>
        <sz val="12"/>
        <color theme="0"/>
        <name val="Aptos"/>
        <family val="2"/>
        <scheme val="none"/>
      </font>
      <fill>
        <patternFill patternType="solid">
          <fgColor indexed="64"/>
          <bgColor theme="6" tint="-0.49998474074526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dxf>
    <dxf>
      <border outline="0">
        <left style="thin">
          <color indexed="64"/>
        </left>
        <top style="thin">
          <color indexed="64"/>
        </top>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indexed="64"/>
        </left>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border outline="0">
        <left style="thin">
          <color indexed="64"/>
        </left>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indexed="64"/>
        </left>
      </border>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left style="thin">
          <color indexed="64"/>
        </left>
      </border>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theme="1"/>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dxf>
    <dxf>
      <font>
        <strike val="0"/>
        <outline val="0"/>
        <shadow val="0"/>
        <u val="none"/>
        <vertAlign val="baseline"/>
        <sz val="12"/>
        <color auto="1"/>
        <name val="Aptos"/>
        <family val="2"/>
        <scheme val="none"/>
      </font>
      <numFmt numFmtId="35" formatCode="_(* #,##0.00_);_(* \(#,##0.00\);_(* &quot;-&quot;??_);_(@_)"/>
    </dxf>
    <dxf>
      <font>
        <b/>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auto="1"/>
        <name val="Aptos"/>
        <family val="2"/>
        <scheme val="none"/>
      </font>
      <protection locked="0" hidden="0"/>
    </dxf>
    <dxf>
      <font>
        <b/>
        <i val="0"/>
        <strike val="0"/>
        <condense val="0"/>
        <extend val="0"/>
        <outline val="0"/>
        <shadow val="0"/>
        <u val="none"/>
        <vertAlign val="baseline"/>
        <sz val="12"/>
        <color theme="0"/>
        <name val="Aptos"/>
        <family val="2"/>
        <scheme val="none"/>
      </font>
      <fill>
        <patternFill patternType="solid">
          <fgColor indexed="64"/>
          <bgColor theme="4" tint="-0.499984740745262"/>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auto="1"/>
        </patternFill>
      </fill>
      <alignment horizontal="left" vertical="center" textRotation="0" wrapText="1" indent="0" justifyLastLine="0" shrinkToFit="0" readingOrder="0"/>
    </dxf>
    <dxf>
      <fill>
        <patternFill patternType="none">
          <fgColor indexed="64"/>
          <bgColor indexed="65"/>
        </patternFill>
      </fill>
    </dxf>
    <dxf>
      <fill>
        <patternFill patternType="none">
          <fgColor indexed="64"/>
          <bgColor auto="1"/>
        </patternFill>
      </fill>
    </dxf>
    <dxf>
      <border outline="0">
        <left style="thin">
          <color indexed="64"/>
        </left>
      </border>
    </dxf>
    <dxf>
      <font>
        <b val="0"/>
        <i val="0"/>
        <strike val="0"/>
        <condense val="0"/>
        <extend val="0"/>
        <outline val="0"/>
        <shadow val="0"/>
        <u val="none"/>
        <vertAlign val="baseline"/>
        <sz val="12"/>
        <color auto="1"/>
        <name val="Aptos"/>
        <family val="2"/>
        <scheme val="none"/>
      </font>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dxf>
    <dxf>
      <border outline="0">
        <left style="thin">
          <color indexed="64"/>
        </left>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3" formatCode="#,##0.0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indexed="64"/>
        </left>
        <right style="thin">
          <color indexed="64"/>
        </right>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border outline="0">
        <left style="thin">
          <color indexed="64"/>
        </left>
        <right style="thin">
          <color indexed="64"/>
        </right>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3" formatCode="#,##0.0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indexed="64"/>
        </left>
        <right style="thin">
          <color indexed="64"/>
        </right>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bottom style="thin">
          <color indexed="64"/>
        </bottom>
        <vertical/>
        <horizontal/>
      </border>
    </dxf>
    <dxf>
      <border outline="0">
        <left style="thin">
          <color indexed="64"/>
        </left>
        <right style="thin">
          <color indexed="64"/>
        </right>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rder>
    </dxf>
    <dxf>
      <font>
        <b val="0"/>
        <i val="0"/>
        <strike val="0"/>
        <condense val="0"/>
        <extend val="0"/>
        <outline val="0"/>
        <shadow val="0"/>
        <u val="none"/>
        <vertAlign val="baseline"/>
        <sz val="12"/>
        <color auto="1"/>
        <name val="Aptos"/>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border diagonalUp="0" diagonalDown="0">
        <left style="thin">
          <color indexed="64"/>
        </left>
        <right/>
        <top/>
        <bottom/>
        <vertical/>
        <horizontal/>
      </border>
    </dxf>
    <dxf>
      <font>
        <b val="0"/>
        <i val="0"/>
        <strike val="0"/>
        <condense val="0"/>
        <extend val="0"/>
        <outline val="0"/>
        <shadow val="0"/>
        <u val="none"/>
        <vertAlign val="baseline"/>
        <sz val="12"/>
        <color theme="1"/>
        <name val="Aptos"/>
        <family val="2"/>
        <scheme val="none"/>
      </font>
    </dxf>
    <dxf>
      <font>
        <b/>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border diagonalUp="0" diagonalDown="0">
        <left style="thin">
          <color indexed="64"/>
        </left>
        <right/>
        <top/>
        <bottom/>
        <vertical/>
        <horizontal/>
      </border>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auto="1"/>
        <name val="Aptos"/>
        <family val="2"/>
        <scheme val="none"/>
      </font>
      <fill>
        <patternFill patternType="none">
          <fgColor indexed="64"/>
          <bgColor auto="1"/>
        </patternFill>
      </fill>
    </dxf>
    <dxf>
      <font>
        <b val="0"/>
        <i val="0"/>
        <strike val="0"/>
        <condense val="0"/>
        <extend val="0"/>
        <outline val="0"/>
        <shadow val="0"/>
        <u val="none"/>
        <vertAlign val="baseline"/>
        <sz val="12"/>
        <color theme="1"/>
        <name val="Aptos"/>
        <family val="2"/>
        <scheme val="none"/>
      </font>
      <fill>
        <patternFill patternType="none">
          <fgColor indexed="64"/>
          <bgColor indexed="65"/>
        </patternFill>
      </fill>
    </dxf>
    <dxf>
      <font>
        <b val="0"/>
        <i val="0"/>
        <strike val="0"/>
        <condense val="0"/>
        <extend val="0"/>
        <outline val="0"/>
        <shadow val="0"/>
        <u val="none"/>
        <vertAlign val="baseline"/>
        <sz val="12"/>
        <color theme="1"/>
        <name val="Aptos"/>
        <family val="2"/>
        <scheme val="none"/>
      </font>
      <fill>
        <patternFill patternType="none">
          <fgColor indexed="64"/>
          <bgColor indexed="65"/>
        </patternFill>
      </fill>
    </dxf>
    <dxf>
      <font>
        <b val="0"/>
        <i val="0"/>
        <strike val="0"/>
        <condense val="0"/>
        <extend val="0"/>
        <outline val="0"/>
        <shadow val="0"/>
        <u val="none"/>
        <vertAlign val="baseline"/>
        <sz val="12"/>
        <color theme="1"/>
        <name val="Aptos"/>
        <family val="2"/>
        <scheme val="none"/>
      </font>
      <fill>
        <patternFill patternType="none">
          <fgColor indexed="64"/>
          <bgColor indexed="65"/>
        </patternFill>
      </fill>
    </dxf>
    <dxf>
      <font>
        <b val="0"/>
        <i val="0"/>
        <strike val="0"/>
        <condense val="0"/>
        <extend val="0"/>
        <outline val="0"/>
        <shadow val="0"/>
        <u val="none"/>
        <vertAlign val="baseline"/>
        <sz val="12"/>
        <color theme="1"/>
        <name val="Aptos"/>
        <family val="2"/>
        <scheme val="none"/>
      </font>
      <fill>
        <patternFill patternType="none">
          <fgColor indexed="64"/>
          <bgColor indexed="65"/>
        </patternFill>
      </fill>
    </dxf>
    <dxf>
      <font>
        <b/>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auto="1"/>
        <name val="Aptos"/>
        <family val="2"/>
        <scheme val="none"/>
      </font>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border diagonalUp="0" diagonalDown="0">
        <left/>
        <right/>
        <top/>
        <bottom style="thin">
          <color indexed="64"/>
        </bottom>
        <vertical/>
        <horizontal/>
      </border>
    </dxf>
    <dxf>
      <font>
        <b val="0"/>
        <i val="0"/>
        <strike val="0"/>
        <condense val="0"/>
        <extend val="0"/>
        <outline val="0"/>
        <shadow val="0"/>
        <u val="none"/>
        <vertAlign val="baseline"/>
        <sz val="12"/>
        <color auto="1"/>
        <name val="Aptos"/>
        <family val="2"/>
        <scheme val="none"/>
      </font>
      <border diagonalUp="0" diagonalDown="0">
        <left/>
        <right/>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right/>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right/>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numFmt numFmtId="175" formatCode="#,##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right/>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right/>
        <top/>
        <bottom style="thin">
          <color indexed="64"/>
        </bottom>
        <vertical/>
        <horizontal/>
      </border>
    </dxf>
    <dxf>
      <font>
        <b val="0"/>
        <i val="0"/>
        <strike val="0"/>
        <condense val="0"/>
        <extend val="0"/>
        <outline val="0"/>
        <shadow val="0"/>
        <u val="none"/>
        <vertAlign val="baseline"/>
        <sz val="12"/>
        <color theme="1"/>
        <name val="Aptos"/>
        <family val="2"/>
        <scheme val="none"/>
      </font>
      <border diagonalUp="0" diagonalDown="0">
        <left style="thin">
          <color indexed="64"/>
        </left>
        <right/>
        <top/>
        <bottom style="thin">
          <color indexed="64"/>
        </bottom>
        <vertical/>
        <horizontal/>
      </border>
    </dxf>
    <dxf>
      <border outline="0">
        <bottom style="thin">
          <color indexed="64"/>
        </bottom>
      </border>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auto="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numFmt numFmtId="3" formatCode="#,##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border diagonalUp="0" diagonalDown="0">
        <left style="thin">
          <color indexed="64"/>
        </left>
        <right/>
        <top/>
        <bottom/>
        <vertical/>
        <horizontal/>
      </border>
    </dxf>
    <dxf>
      <border outline="0">
        <bottom style="thin">
          <color indexed="64"/>
        </bottom>
      </border>
    </dxf>
    <dxf>
      <font>
        <b val="0"/>
        <i val="0"/>
        <strike val="0"/>
        <condense val="0"/>
        <extend val="0"/>
        <outline val="0"/>
        <shadow val="0"/>
        <u val="none"/>
        <vertAlign val="baseline"/>
        <sz val="12"/>
        <color theme="1"/>
        <name val="Aptos"/>
        <family val="2"/>
        <scheme val="none"/>
      </font>
    </dxf>
    <dxf>
      <font>
        <b/>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i val="0"/>
        <strike val="0"/>
        <condense val="0"/>
        <extend val="0"/>
        <outline val="0"/>
        <shadow val="0"/>
        <u val="none"/>
        <vertAlign val="baseline"/>
        <sz val="12"/>
        <color auto="1"/>
        <name val="Aptos"/>
        <family val="2"/>
        <scheme val="none"/>
      </font>
      <numFmt numFmtId="193" formatCode="0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top/>
        <bottom style="thin">
          <color indexed="64"/>
        </bottom>
      </border>
      <protection locked="0" hidden="0"/>
    </dxf>
    <dxf>
      <font>
        <b val="0"/>
        <i val="0"/>
        <strike val="0"/>
        <condense val="0"/>
        <extend val="0"/>
        <outline val="0"/>
        <shadow val="0"/>
        <u val="none"/>
        <vertAlign val="baseline"/>
        <sz val="12"/>
        <color auto="1"/>
        <name val="Aptos"/>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top/>
        <bottom style="thin">
          <color indexed="64"/>
        </bottom>
      </border>
    </dxf>
    <dxf>
      <border outline="0">
        <top style="thin">
          <color indexed="64"/>
        </top>
      </border>
    </dxf>
    <dxf>
      <font>
        <b val="0"/>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alignment horizontal="right" vertical="bottom" textRotation="0" wrapText="0" indent="0" justifyLastLine="0" shrinkToFit="0" readingOrder="0"/>
      <protection locked="0" hidden="0"/>
    </dxf>
    <dxf>
      <font>
        <b/>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top/>
        <bottom style="thin">
          <color indexed="64"/>
        </bottom>
      </border>
      <protection locked="0" hidden="0"/>
    </dxf>
    <dxf>
      <font>
        <b val="0"/>
        <i val="0"/>
        <strike val="0"/>
        <condense val="0"/>
        <extend val="0"/>
        <outline val="0"/>
        <shadow val="0"/>
        <u val="none"/>
        <vertAlign val="baseline"/>
        <sz val="12"/>
        <color auto="1"/>
        <name val="Aptos"/>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top/>
        <bottom style="thin">
          <color indexed="64"/>
        </bottom>
      </border>
    </dxf>
    <dxf>
      <border outline="0">
        <top style="thin">
          <color indexed="64"/>
        </top>
      </border>
    </dxf>
    <dxf>
      <font>
        <b val="0"/>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alignment horizontal="right" vertical="bottom" textRotation="0" wrapText="0" indent="0" justifyLastLine="0" shrinkToFit="0" readingOrder="0"/>
      <protection locked="0" hidden="0"/>
    </dxf>
    <dxf>
      <font>
        <b/>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dxf>
    <dxf>
      <font>
        <b val="0"/>
        <i val="0"/>
        <strike val="0"/>
        <condense val="0"/>
        <extend val="0"/>
        <outline val="0"/>
        <shadow val="0"/>
        <u val="none"/>
        <vertAlign val="baseline"/>
        <sz val="12"/>
        <color auto="1"/>
        <name val="Aptos"/>
        <family val="2"/>
        <scheme val="none"/>
      </font>
      <fill>
        <patternFill patternType="none">
          <fgColor indexed="64"/>
          <bgColor auto="1"/>
        </patternFill>
      </fill>
      <border diagonalUp="0" diagonalDown="0">
        <left/>
        <right/>
        <top/>
        <bottom/>
      </border>
      <protection locked="0" hidden="0"/>
    </dxf>
    <dxf>
      <font>
        <b val="0"/>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border diagonalUp="0" diagonalDown="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auto="1"/>
        <name val="Aptos"/>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none">
          <fgColor indexed="64"/>
          <bgColor auto="1"/>
        </patternFill>
      </fill>
    </dxf>
    <dxf>
      <border outline="0">
        <top style="thin">
          <color indexed="64"/>
        </top>
      </border>
    </dxf>
    <dxf>
      <font>
        <b val="0"/>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protection locked="0" hidden="0"/>
    </dxf>
    <dxf>
      <border outline="0">
        <bottom style="thin">
          <color indexed="64"/>
        </bottom>
      </border>
    </dxf>
    <dxf>
      <font>
        <b/>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i val="0"/>
        <strike val="0"/>
        <condense val="0"/>
        <extend val="0"/>
        <outline val="0"/>
        <shadow val="0"/>
        <u val="none"/>
        <vertAlign val="baseline"/>
        <sz val="12"/>
        <color auto="1"/>
        <name val="Aptos"/>
        <family val="2"/>
        <scheme val="none"/>
      </font>
      <numFmt numFmtId="193" formatCode="0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top/>
        <bottom style="thin">
          <color indexed="64"/>
        </bottom>
      </border>
      <protection locked="0" hidden="0"/>
    </dxf>
    <dxf>
      <font>
        <b val="0"/>
        <i val="0"/>
        <strike val="0"/>
        <condense val="0"/>
        <extend val="0"/>
        <outline val="0"/>
        <shadow val="0"/>
        <u val="none"/>
        <vertAlign val="baseline"/>
        <sz val="12"/>
        <color auto="1"/>
        <name val="Aptos"/>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top/>
        <bottom style="thin">
          <color indexed="64"/>
        </bottom>
      </border>
    </dxf>
    <dxf>
      <border outline="0">
        <top style="thin">
          <color indexed="64"/>
        </top>
      </border>
    </dxf>
    <dxf>
      <font>
        <b val="0"/>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alignment horizontal="right" vertical="bottom" textRotation="0" wrapText="0" indent="0" justifyLastLine="0" shrinkToFit="0" readingOrder="0"/>
      <protection locked="0" hidden="0"/>
    </dxf>
    <dxf>
      <font>
        <b/>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top/>
        <bottom style="thin">
          <color indexed="64"/>
        </bottom>
      </border>
      <protection locked="0" hidden="0"/>
    </dxf>
    <dxf>
      <font>
        <b val="0"/>
        <i val="0"/>
        <strike val="0"/>
        <condense val="0"/>
        <extend val="0"/>
        <outline val="0"/>
        <shadow val="0"/>
        <u val="none"/>
        <vertAlign val="baseline"/>
        <sz val="12"/>
        <color auto="1"/>
        <name val="Aptos"/>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top/>
        <bottom style="thin">
          <color indexed="64"/>
        </bottom>
      </border>
    </dxf>
    <dxf>
      <border outline="0">
        <top style="thin">
          <color indexed="64"/>
        </top>
      </border>
    </dxf>
    <dxf>
      <font>
        <b val="0"/>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alignment horizontal="right" vertical="bottom" textRotation="0" wrapText="0" indent="0" justifyLastLine="0" shrinkToFit="0" readingOrder="0"/>
      <protection locked="0" hidden="0"/>
    </dxf>
    <dxf>
      <font>
        <b/>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auto="1"/>
        <name val="Aptos"/>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none">
          <fgColor indexed="64"/>
          <bgColor auto="1"/>
        </patternFill>
      </fill>
    </dxf>
    <dxf>
      <border outline="0">
        <top style="thin">
          <color indexed="64"/>
        </top>
      </border>
    </dxf>
    <dxf>
      <font>
        <b val="0"/>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protection locked="0" hidden="0"/>
    </dxf>
    <dxf>
      <border outline="0">
        <bottom style="thin">
          <color indexed="64"/>
        </bottom>
      </border>
    </dxf>
    <dxf>
      <font>
        <b/>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dxf>
    <dxf>
      <border outline="0">
        <top style="thin">
          <color indexed="64"/>
        </top>
      </border>
    </dxf>
    <dxf>
      <border outline="0">
        <bottom style="thin">
          <color indexed="64"/>
        </bottom>
      </border>
    </dxf>
    <dxf>
      <font>
        <b/>
        <i val="0"/>
        <strike val="0"/>
        <condense val="0"/>
        <extend val="0"/>
        <outline val="0"/>
        <shadow val="0"/>
        <u val="none"/>
        <vertAlign val="baseline"/>
        <sz val="12"/>
        <color theme="1"/>
        <name val="Aptos"/>
        <family val="2"/>
        <scheme val="none"/>
      </font>
      <fill>
        <patternFill patternType="solid">
          <fgColor indexed="64"/>
          <bgColor rgb="FFFFFFCC"/>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3" formatCode="#,##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style="medium">
          <color indexed="64"/>
        </left>
        <right/>
        <top/>
        <bottom style="medium">
          <color indexed="64"/>
        </bottom>
        <vertical/>
        <horizontal/>
      </border>
    </dxf>
    <dxf>
      <font>
        <b val="0"/>
        <i val="0"/>
        <strike val="0"/>
        <condense val="0"/>
        <extend val="0"/>
        <outline val="0"/>
        <shadow val="0"/>
        <u val="none"/>
        <vertAlign val="baseline"/>
        <sz val="12"/>
        <color auto="1"/>
        <name val="Aptos"/>
        <family val="2"/>
        <scheme val="none"/>
      </font>
      <alignment horizontal="left" vertical="bottom" textRotation="0" wrapText="0" indent="1" justifyLastLine="0" shrinkToFit="0" readingOrder="0"/>
      <border diagonalUp="0" diagonalDown="0">
        <left/>
        <right/>
        <top/>
        <bottom style="medium">
          <color indexed="64"/>
        </bottom>
        <vertical/>
        <horizontal/>
      </border>
    </dxf>
    <dxf>
      <border outline="0">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2"/>
        <color auto="1"/>
        <name val="Aptos"/>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3" formatCode="#,##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style="medium">
          <color indexed="64"/>
        </left>
        <right/>
        <top/>
        <bottom style="medium">
          <color indexed="64"/>
        </bottom>
        <vertical/>
        <horizontal/>
      </border>
    </dxf>
    <dxf>
      <font>
        <b val="0"/>
        <i val="0"/>
        <strike val="0"/>
        <condense val="0"/>
        <extend val="0"/>
        <outline val="0"/>
        <shadow val="0"/>
        <u val="none"/>
        <vertAlign val="baseline"/>
        <sz val="12"/>
        <color auto="1"/>
        <name val="Aptos"/>
        <family val="2"/>
        <scheme val="none"/>
      </font>
      <alignment horizontal="left" vertical="bottom" textRotation="0" wrapText="0" indent="1" justifyLastLine="0" shrinkToFit="0" readingOrder="0"/>
      <border diagonalUp="0" diagonalDown="0">
        <left/>
        <right/>
        <top/>
        <bottom style="medium">
          <color indexed="64"/>
        </bottom>
        <vertical/>
        <horizontal/>
      </border>
    </dxf>
    <dxf>
      <border outline="0">
        <top style="medium">
          <color indexed="64"/>
        </top>
        <bottom style="medium">
          <color indexed="64"/>
        </bottom>
      </border>
    </dxf>
    <dxf>
      <font>
        <b val="0"/>
        <i val="0"/>
        <strike val="0"/>
        <condense val="0"/>
        <extend val="0"/>
        <outline val="0"/>
        <shadow val="0"/>
        <u val="none"/>
        <vertAlign val="baseline"/>
        <sz val="12"/>
        <color auto="1"/>
        <name val="Aptos"/>
        <family val="2"/>
        <scheme val="none"/>
      </font>
    </dxf>
    <dxf>
      <border outline="0">
        <bottom style="medium">
          <color indexed="64"/>
        </bottom>
      </border>
    </dxf>
    <dxf>
      <font>
        <b val="0"/>
        <i val="0"/>
        <strike val="0"/>
        <condense val="0"/>
        <extend val="0"/>
        <outline val="0"/>
        <shadow val="0"/>
        <u val="none"/>
        <vertAlign val="baseline"/>
        <sz val="12"/>
        <color auto="1"/>
        <name val="Aptos"/>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3" formatCode="#,##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3" formatCode="#,##0"/>
      <fill>
        <patternFill patternType="none">
          <fgColor indexed="64"/>
          <bgColor indexed="65"/>
        </patternFill>
      </fill>
      <border diagonalUp="0" diagonalDown="0">
        <left style="medium">
          <color indexed="64"/>
        </left>
        <right/>
        <top/>
        <bottom style="medium">
          <color indexed="64"/>
        </bottom>
        <vertical/>
        <horizontal/>
      </border>
    </dxf>
    <dxf>
      <font>
        <b val="0"/>
        <i val="0"/>
        <strike val="0"/>
        <condense val="0"/>
        <extend val="0"/>
        <outline val="0"/>
        <shadow val="0"/>
        <u val="none"/>
        <vertAlign val="baseline"/>
        <sz val="12"/>
        <color auto="1"/>
        <name val="Aptos"/>
        <family val="2"/>
        <scheme val="none"/>
      </font>
      <alignment horizontal="left" vertical="bottom" textRotation="0" wrapText="0" indent="1" justifyLastLine="0" shrinkToFit="0" readingOrder="0"/>
      <border diagonalUp="0" diagonalDown="0">
        <left/>
        <right/>
        <top/>
        <bottom style="medium">
          <color indexed="64"/>
        </bottom>
        <vertical/>
        <horizontal/>
      </border>
    </dxf>
    <dxf>
      <border outline="0">
        <top style="medium">
          <color indexed="64"/>
        </top>
        <bottom style="medium">
          <color indexed="64"/>
        </bottom>
      </border>
    </dxf>
    <dxf>
      <font>
        <b val="0"/>
        <i val="0"/>
        <strike val="0"/>
        <condense val="0"/>
        <extend val="0"/>
        <outline val="0"/>
        <shadow val="0"/>
        <u val="none"/>
        <vertAlign val="baseline"/>
        <sz val="12"/>
        <color auto="1"/>
        <name val="Aptos"/>
        <family val="2"/>
        <scheme val="none"/>
      </font>
    </dxf>
    <dxf>
      <border outline="0">
        <bottom style="medium">
          <color indexed="64"/>
        </bottom>
      </border>
    </dxf>
    <dxf>
      <font>
        <b val="0"/>
        <i val="0"/>
        <strike val="0"/>
        <condense val="0"/>
        <extend val="0"/>
        <outline val="0"/>
        <shadow val="0"/>
        <u val="none"/>
        <vertAlign val="baseline"/>
        <sz val="12"/>
        <color auto="1"/>
        <name val="Aptos"/>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dxf>
    <dxf>
      <border outline="0">
        <top style="thin">
          <color indexed="64"/>
        </top>
      </border>
    </dxf>
    <dxf>
      <border outline="0">
        <bottom style="thin">
          <color indexed="64"/>
        </bottom>
      </border>
    </dxf>
    <dxf>
      <font>
        <b/>
        <i val="0"/>
        <strike val="0"/>
        <condense val="0"/>
        <extend val="0"/>
        <outline val="0"/>
        <shadow val="0"/>
        <u val="none"/>
        <vertAlign val="baseline"/>
        <sz val="12"/>
        <color theme="1"/>
        <name val="Aptos"/>
        <family val="2"/>
        <scheme val="none"/>
      </font>
      <fill>
        <patternFill patternType="solid">
          <fgColor indexed="64"/>
          <bgColor rgb="FFFFFFCC"/>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theme="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style="medium">
          <color indexed="64"/>
        </left>
        <right/>
        <top/>
        <bottom style="medium">
          <color indexed="64"/>
        </bottom>
        <vertical/>
        <horizontal/>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1" justifyLastLine="0" shrinkToFit="0" readingOrder="0"/>
      <border diagonalUp="0" diagonalDown="0">
        <left/>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border outline="0">
        <bottom style="medium">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theme="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style="medium">
          <color indexed="64"/>
        </left>
        <right/>
        <top/>
        <bottom style="medium">
          <color indexed="64"/>
        </bottom>
        <vertical/>
        <horizontal/>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1" justifyLastLine="0" shrinkToFit="0" readingOrder="0"/>
      <border diagonalUp="0" diagonalDown="0">
        <left/>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border outline="0">
        <bottom style="medium">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69" formatCode="_(* #,##0.000_);_(* \(#,##0.000\);_(* &quot;-&quot;??_);_(@_)"/>
      <fill>
        <patternFill patternType="none">
          <fgColor indexed="64"/>
          <bgColor indexed="65"/>
        </patternFill>
      </fill>
      <border diagonalUp="0" diagonalDown="0">
        <left style="medium">
          <color indexed="64"/>
        </left>
        <right/>
        <top/>
        <bottom style="medium">
          <color indexed="64"/>
        </bottom>
        <vertical/>
        <horizontal/>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1" justifyLastLine="0" shrinkToFit="0" readingOrder="0"/>
      <border diagonalUp="0" diagonalDown="0">
        <left/>
        <right/>
        <top/>
        <bottom style="medium">
          <color indexed="64"/>
        </bottom>
        <vertical/>
        <horizontal/>
      </border>
    </dxf>
    <dxf>
      <border outline="0">
        <bottom style="medium">
          <color indexed="64"/>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border outline="0">
        <bottom style="medium">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numFmt numFmtId="177" formatCode="#,##0.00000"/>
    </dxf>
    <dxf>
      <font>
        <b val="0"/>
        <i val="0"/>
        <strike val="0"/>
        <condense val="0"/>
        <extend val="0"/>
        <outline val="0"/>
        <shadow val="0"/>
        <u val="none"/>
        <vertAlign val="baseline"/>
        <sz val="12"/>
        <color auto="1"/>
        <name val="Aptos"/>
        <family val="2"/>
        <scheme val="none"/>
      </font>
      <fill>
        <patternFill patternType="solid">
          <fgColor indexed="64"/>
          <bgColor theme="5"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numFmt numFmtId="169" formatCode="_(* #,##0.000_);_(* \(#,##0.000\);_(* &quot;-&quot;??_);_(@_)"/>
      <border diagonalUp="0" diagonalDown="0" outline="0">
        <left/>
        <right/>
        <top/>
        <bottom style="medium">
          <color indexed="64"/>
        </bottom>
      </border>
    </dxf>
    <dxf>
      <font>
        <b val="0"/>
        <i val="0"/>
        <strike val="0"/>
        <condense val="0"/>
        <extend val="0"/>
        <outline val="0"/>
        <shadow val="0"/>
        <u val="none"/>
        <vertAlign val="baseline"/>
        <sz val="12"/>
        <color auto="1"/>
        <name val="Aptos"/>
        <family val="2"/>
        <scheme val="none"/>
      </font>
      <alignment horizontal="left" vertical="bottom" textRotation="0" wrapText="0" indent="1" justifyLastLine="0" shrinkToFit="0" readingOrder="0"/>
      <border diagonalUp="0" diagonalDown="0" outline="0">
        <left/>
        <right/>
        <top/>
        <bottom style="medium">
          <color indexed="64"/>
        </bottom>
      </border>
    </dxf>
    <dxf>
      <border outline="0">
        <top style="medium">
          <color indexed="64"/>
        </top>
        <bottom style="medium">
          <color indexed="64"/>
        </bottom>
      </border>
    </dxf>
    <dxf>
      <font>
        <b val="0"/>
        <i val="0"/>
        <strike val="0"/>
        <condense val="0"/>
        <extend val="0"/>
        <outline val="0"/>
        <shadow val="0"/>
        <u val="none"/>
        <vertAlign val="baseline"/>
        <sz val="12"/>
        <color auto="1"/>
        <name val="Aptos"/>
        <family val="2"/>
        <scheme val="none"/>
      </font>
    </dxf>
    <dxf>
      <border outline="0">
        <bottom style="medium">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font>
        <strike val="0"/>
        <outline val="0"/>
        <shadow val="0"/>
        <u val="none"/>
        <vertAlign val="baseline"/>
        <sz val="12"/>
        <name val="Aptos"/>
        <family val="2"/>
        <scheme val="none"/>
      </font>
    </dxf>
    <dxf>
      <border outline="0">
        <top style="medium">
          <color indexed="64"/>
        </top>
        <bottom style="medium">
          <color indexed="64"/>
        </bottom>
      </border>
    </dxf>
    <dxf>
      <font>
        <strike val="0"/>
        <outline val="0"/>
        <shadow val="0"/>
        <u val="none"/>
        <vertAlign val="baseline"/>
        <sz val="12"/>
        <name val="Aptos"/>
        <family val="2"/>
        <scheme val="none"/>
      </font>
    </dxf>
    <dxf>
      <border outline="0">
        <bottom style="medium">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i val="0"/>
        <strike val="0"/>
        <condense val="0"/>
        <extend val="0"/>
        <outline val="0"/>
        <shadow val="0"/>
        <u val="none"/>
        <vertAlign val="baseline"/>
        <sz val="12"/>
        <color auto="1"/>
        <name val="Aptos"/>
        <family val="2"/>
        <scheme val="none"/>
      </font>
      <numFmt numFmtId="193" formatCode="0_)"/>
      <fill>
        <patternFill patternType="none">
          <fgColor indexed="64"/>
          <bgColor indexed="65"/>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top/>
        <bottom style="thin">
          <color indexed="64"/>
        </bottom>
      </border>
      <protection locked="0" hidden="0"/>
    </dxf>
    <dxf>
      <font>
        <b val="0"/>
        <i val="0"/>
        <strike val="0"/>
        <condense val="0"/>
        <extend val="0"/>
        <outline val="0"/>
        <shadow val="0"/>
        <u val="none"/>
        <vertAlign val="baseline"/>
        <sz val="12"/>
        <color auto="1"/>
        <name val="Aptos"/>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top/>
        <bottom style="thin">
          <color indexed="64"/>
        </bottom>
      </border>
    </dxf>
    <dxf>
      <border outline="0">
        <top style="thin">
          <color indexed="64"/>
        </top>
      </border>
    </dxf>
    <dxf>
      <font>
        <b val="0"/>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alignment horizontal="right" vertical="bottom" textRotation="0" wrapText="0" indent="0" justifyLastLine="0" shrinkToFit="0" readingOrder="0"/>
      <protection locked="0" hidden="0"/>
    </dxf>
    <dxf>
      <font>
        <b/>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top/>
        <bottom style="thin">
          <color indexed="64"/>
        </bottom>
      </border>
      <protection locked="0" hidden="0"/>
    </dxf>
    <dxf>
      <font>
        <b val="0"/>
        <i val="0"/>
        <strike val="0"/>
        <condense val="0"/>
        <extend val="0"/>
        <outline val="0"/>
        <shadow val="0"/>
        <u val="none"/>
        <vertAlign val="baseline"/>
        <sz val="12"/>
        <color auto="1"/>
        <name val="Aptos"/>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top/>
        <bottom style="thin">
          <color indexed="64"/>
        </bottom>
      </border>
    </dxf>
    <dxf>
      <border outline="0">
        <top style="thin">
          <color indexed="64"/>
        </top>
      </border>
    </dxf>
    <dxf>
      <font>
        <b val="0"/>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alignment horizontal="right" vertical="bottom" textRotation="0" wrapText="0" indent="0" justifyLastLine="0" shrinkToFit="0" readingOrder="0"/>
      <protection locked="0" hidden="0"/>
    </dxf>
    <dxf>
      <font>
        <b/>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dxf>
    <dxf>
      <font>
        <b val="0"/>
        <i val="0"/>
        <strike val="0"/>
        <condense val="0"/>
        <extend val="0"/>
        <outline val="0"/>
        <shadow val="0"/>
        <u val="none"/>
        <vertAlign val="baseline"/>
        <sz val="12"/>
        <color auto="1"/>
        <name val="Aptos"/>
        <family val="2"/>
        <scheme val="none"/>
      </font>
      <fill>
        <patternFill patternType="none">
          <fgColor indexed="64"/>
          <bgColor auto="1"/>
        </patternFill>
      </fill>
      <border diagonalUp="0" diagonalDown="0">
        <left/>
        <right/>
        <top/>
        <bottom/>
      </border>
      <protection locked="0" hidden="0"/>
    </dxf>
    <dxf>
      <font>
        <b val="0"/>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border diagonalUp="0" diagonalDown="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border diagonalUp="0" diagonalDown="0" outline="0">
        <left/>
        <right/>
        <top/>
        <bottom/>
      </border>
      <protection locked="0" hidden="0"/>
    </dxf>
    <dxf>
      <font>
        <b val="0"/>
        <i val="0"/>
        <strike val="0"/>
        <condense val="0"/>
        <extend val="0"/>
        <outline val="0"/>
        <shadow val="0"/>
        <u val="none"/>
        <vertAlign val="baseline"/>
        <sz val="12"/>
        <color auto="1"/>
        <name val="Aptos"/>
        <family val="2"/>
        <scheme val="none"/>
      </font>
      <numFmt numFmtId="166" formatCode="_(* #,##0_);_(* \(#,##0\);_(* &quot;-&quot;??_);_(@_)"/>
      <fill>
        <patternFill patternType="none">
          <fgColor indexed="64"/>
          <bgColor auto="1"/>
        </patternFill>
      </fill>
      <border diagonalUp="0" diagonalDown="0" outline="0">
        <left/>
        <right/>
        <top/>
        <bottom style="thin">
          <color indexed="64"/>
        </bottom>
      </border>
      <protection locked="0" hidden="0"/>
    </dxf>
    <dxf>
      <font>
        <b val="0"/>
        <i val="0"/>
        <strike val="0"/>
        <condense val="0"/>
        <extend val="0"/>
        <outline val="0"/>
        <shadow val="0"/>
        <u val="none"/>
        <vertAlign val="baseline"/>
        <sz val="12"/>
        <color auto="1"/>
        <name val="Aptos"/>
        <family val="2"/>
        <scheme val="none"/>
      </font>
      <numFmt numFmtId="0" formatCode="General"/>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auto="1"/>
        <name val="Aptos"/>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none">
          <fgColor indexed="64"/>
          <bgColor auto="1"/>
        </patternFill>
      </fill>
    </dxf>
    <dxf>
      <border outline="0">
        <top style="thin">
          <color indexed="64"/>
        </top>
      </border>
    </dxf>
    <dxf>
      <font>
        <b val="0"/>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protection locked="0" hidden="0"/>
    </dxf>
    <dxf>
      <border outline="0">
        <bottom style="thin">
          <color indexed="64"/>
        </bottom>
      </border>
    </dxf>
    <dxf>
      <font>
        <b/>
        <i val="0"/>
        <strike val="0"/>
        <condense val="0"/>
        <extend val="0"/>
        <outline val="0"/>
        <shadow val="0"/>
        <u val="none"/>
        <vertAlign val="baseline"/>
        <sz val="12"/>
        <color auto="1"/>
        <name val="Aptos"/>
        <family val="2"/>
        <scheme val="none"/>
      </font>
      <numFmt numFmtId="193" formatCode="0_)"/>
      <fill>
        <patternFill patternType="none">
          <fgColor indexed="64"/>
          <bgColor auto="1"/>
        </patternFill>
      </fill>
    </dxf>
    <dxf>
      <font>
        <b val="0"/>
        <i val="0"/>
        <strike val="0"/>
        <condense val="0"/>
        <extend val="0"/>
        <outline val="0"/>
        <shadow val="0"/>
        <u val="none"/>
        <vertAlign val="baseline"/>
        <sz val="12"/>
        <color auto="1"/>
        <name val="Aptos"/>
        <family val="2"/>
        <scheme val="none"/>
      </font>
    </dxf>
    <dxf>
      <border outline="0">
        <top style="thin">
          <color theme="1"/>
        </top>
      </border>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dxf>
    <dxf>
      <font>
        <b val="0"/>
        <i val="0"/>
        <strike val="0"/>
        <condense val="0"/>
        <extend val="0"/>
        <outline val="0"/>
        <shadow val="0"/>
        <u val="none"/>
        <vertAlign val="baseline"/>
        <sz val="12"/>
        <color auto="1"/>
        <name val="Aptos"/>
        <family val="2"/>
        <scheme val="none"/>
      </font>
    </dxf>
    <dxf>
      <border outline="0">
        <top style="thin">
          <color indexed="64"/>
        </top>
      </border>
    </dxf>
    <dxf>
      <border outline="0">
        <bottom style="thin">
          <color indexed="64"/>
        </bottom>
      </border>
    </dxf>
    <dxf>
      <font>
        <b/>
        <i val="0"/>
        <strike val="0"/>
        <condense val="0"/>
        <extend val="0"/>
        <outline val="0"/>
        <shadow val="0"/>
        <u val="none"/>
        <vertAlign val="baseline"/>
        <sz val="12"/>
        <color theme="1"/>
        <name val="Aptos"/>
        <family val="2"/>
        <scheme val="none"/>
      </font>
      <fill>
        <patternFill patternType="solid">
          <fgColor indexed="64"/>
          <bgColor rgb="FFFFFFCC"/>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1" justifyLastLine="0" shrinkToFit="0" readingOrder="0"/>
    </dxf>
    <dxf>
      <border outline="0">
        <bottom style="medium">
          <color indexed="64"/>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border outline="0">
        <bottom style="medium">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Aptos"/>
        <family val="2"/>
        <scheme val="none"/>
      </font>
      <fill>
        <patternFill patternType="none">
          <fgColor indexed="64"/>
          <bgColor auto="1"/>
        </patternFill>
      </fill>
    </dxf>
    <dxf>
      <font>
        <b/>
        <i val="0"/>
        <strike val="0"/>
        <condense val="0"/>
        <extend val="0"/>
        <outline val="0"/>
        <shadow val="0"/>
        <u val="none"/>
        <vertAlign val="baseline"/>
        <sz val="12"/>
        <color auto="1"/>
        <name val="Aptos"/>
        <family val="2"/>
        <scheme val="none"/>
      </font>
      <fill>
        <patternFill patternType="none">
          <fgColor indexed="64"/>
          <bgColor auto="1"/>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font>
        <b val="0"/>
        <i val="0"/>
        <strike val="0"/>
        <condense val="0"/>
        <extend val="0"/>
        <outline val="0"/>
        <shadow val="0"/>
        <u val="none"/>
        <vertAlign val="baseline"/>
        <sz val="12"/>
        <color auto="1"/>
        <name val="Aptos"/>
        <family val="2"/>
        <scheme val="none"/>
      </font>
      <fill>
        <patternFill patternType="none">
          <fgColor indexed="64"/>
          <bgColor indexed="65"/>
        </patternFill>
      </fill>
      <border diagonalUp="0" diagonalDown="0">
        <left style="medium">
          <color indexed="64"/>
        </left>
        <right/>
        <top/>
        <bottom/>
        <vertical/>
        <horizontal/>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left" vertical="bottom" textRotation="0" wrapText="0" indent="1" justifyLastLine="0" shrinkToFit="0" readingOrder="0"/>
    </dxf>
    <dxf>
      <border outline="0">
        <bottom style="medium">
          <color indexed="64"/>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dxf>
    <dxf>
      <border outline="0">
        <bottom style="medium">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font>
        <strike val="0"/>
        <outline val="0"/>
        <shadow val="0"/>
        <u val="none"/>
        <sz val="12"/>
        <name val="Aptos"/>
        <family val="2"/>
        <scheme val="none"/>
      </font>
    </dxf>
    <dxf>
      <border outline="0">
        <bottom style="medium">
          <color indexed="64"/>
        </bottom>
      </border>
    </dxf>
    <dxf>
      <font>
        <b/>
        <i val="0"/>
        <strike val="0"/>
        <condense val="0"/>
        <extend val="0"/>
        <outline val="0"/>
        <shadow val="0"/>
        <u val="none"/>
        <vertAlign val="baseline"/>
        <sz val="12"/>
        <color theme="0"/>
        <name val="Apto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bottom style="medium">
          <color indexed="64"/>
        </bottom>
      </border>
    </dxf>
    <dxf>
      <font>
        <b/>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border diagonalUp="0" diagonalDown="0">
        <left/>
        <right style="medium">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dxf>
    <dxf>
      <border outline="0">
        <bottom style="medium">
          <color indexed="64"/>
        </bottom>
      </border>
    </dxf>
    <dxf>
      <font>
        <b/>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border diagonalUp="0" diagonalDown="0">
        <left/>
        <right style="medium">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dxf>
    <dxf>
      <border outline="0">
        <bottom style="medium">
          <color indexed="64"/>
        </bottom>
      </border>
    </dxf>
    <dxf>
      <font>
        <b/>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border diagonalUp="0" diagonalDown="0">
        <left/>
        <right style="medium">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dxf>
    <dxf>
      <border outline="0">
        <bottom style="medium">
          <color indexed="64"/>
        </bottom>
      </border>
    </dxf>
    <dxf>
      <font>
        <b/>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border diagonalUp="0" diagonalDown="0">
        <left/>
        <right style="medium">
          <color indexed="64"/>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dxf>
    <dxf>
      <border outline="0">
        <bottom style="medium">
          <color indexed="64"/>
        </bottom>
      </border>
    </dxf>
    <dxf>
      <font>
        <b/>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i val="0"/>
        <strike val="0"/>
        <condense val="0"/>
        <extend val="0"/>
        <outline val="0"/>
        <shadow val="0"/>
        <u val="none"/>
        <vertAlign val="baseline"/>
        <sz val="12"/>
        <color auto="1"/>
        <name val="Aptos"/>
        <family val="2"/>
        <scheme val="none"/>
      </font>
      <alignment horizontal="right" vertical="bottom"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bottom style="medium">
          <color indexed="64"/>
        </bottom>
      </border>
    </dxf>
    <dxf>
      <border outline="0">
        <bottom style="medium">
          <color indexed="64"/>
        </bottom>
      </border>
    </dxf>
    <dxf>
      <font>
        <b/>
        <i val="0"/>
        <strike val="0"/>
        <condense val="0"/>
        <extend val="0"/>
        <outline val="0"/>
        <shadow val="0"/>
        <u val="none"/>
        <vertAlign val="baseline"/>
        <sz val="12"/>
        <color auto="1"/>
        <name val="Aptos"/>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auto="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68" formatCode="0.0"/>
      <fill>
        <patternFill patternType="solid">
          <fgColor indexed="64"/>
          <bgColor rgb="FFFFFFCC"/>
        </patternFill>
      </fill>
      <border diagonalUp="0" diagonalDown="0">
        <left style="thin">
          <color indexed="64"/>
        </left>
        <right style="thin">
          <color indexed="64"/>
        </right>
        <top style="thin">
          <color indexed="64"/>
        </top>
        <bottom style="thin">
          <color indexed="64"/>
        </bottom>
        <vertical/>
        <horizontal/>
      </border>
    </dxf>
    <dxf>
      <border outline="0">
        <top style="thin">
          <color theme="1"/>
        </top>
      </border>
    </dxf>
    <dxf>
      <border outline="0">
        <bottom style="thin">
          <color theme="1"/>
        </bottom>
      </border>
    </dxf>
    <dxf>
      <font>
        <b/>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numFmt numFmtId="168" formatCode="0.0"/>
    </dxf>
    <dxf>
      <font>
        <b val="0"/>
        <i val="0"/>
        <strike val="0"/>
        <condense val="0"/>
        <extend val="0"/>
        <outline val="0"/>
        <shadow val="0"/>
        <u val="none"/>
        <vertAlign val="baseline"/>
        <sz val="12"/>
        <color theme="1"/>
        <name val="Aptos"/>
        <family val="2"/>
        <scheme val="none"/>
      </font>
      <numFmt numFmtId="172" formatCode="0.0%"/>
    </dxf>
    <dxf>
      <font>
        <b val="0"/>
        <i val="0"/>
        <strike val="0"/>
        <condense val="0"/>
        <extend val="0"/>
        <outline val="0"/>
        <shadow val="0"/>
        <u val="none"/>
        <vertAlign val="baseline"/>
        <sz val="12"/>
        <color theme="1"/>
        <name val="Aptos"/>
        <family val="2"/>
        <scheme val="none"/>
      </font>
      <numFmt numFmtId="168" formatCode="0.0"/>
      <fill>
        <patternFill patternType="solid">
          <fgColor indexed="64"/>
          <bgColor rgb="FFFFFFCC"/>
        </patternFill>
      </fill>
      <border diagonalUp="0" diagonalDown="0">
        <left style="thin">
          <color indexed="64"/>
        </left>
        <right style="thin">
          <color indexed="64"/>
        </right>
        <top style="thin">
          <color indexed="64"/>
        </top>
        <bottom style="thin">
          <color indexed="64"/>
        </bottom>
        <vertical/>
        <horizontal/>
      </border>
    </dxf>
    <dxf>
      <border outline="0">
        <top style="thin">
          <color theme="1"/>
        </top>
      </border>
    </dxf>
    <dxf>
      <border outline="0">
        <bottom style="thin">
          <color theme="1"/>
        </bottom>
      </border>
    </dxf>
    <dxf>
      <font>
        <b/>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left/>
        <right/>
        <top style="thin">
          <color indexed="64"/>
        </top>
        <bottom style="thin">
          <color indexed="64"/>
        </bottom>
        <vertical/>
        <horizontal/>
      </border>
    </dxf>
    <dxf>
      <font>
        <b val="0"/>
        <i val="0"/>
        <strike val="0"/>
        <condense val="0"/>
        <extend val="0"/>
        <outline val="0"/>
        <shadow val="0"/>
        <u val="none"/>
        <vertAlign val="baseline"/>
        <sz val="12"/>
        <color auto="1"/>
        <name val="Aptos"/>
        <family val="2"/>
        <scheme val="none"/>
      </font>
      <numFmt numFmtId="3" formatCode="#,##0"/>
      <border diagonalUp="0" diagonalDown="0" outline="0">
        <left/>
        <right/>
        <top style="thin">
          <color indexed="64"/>
        </top>
        <bottom style="thin">
          <color indexed="64"/>
        </bottom>
      </border>
    </dxf>
    <dxf>
      <font>
        <b val="0"/>
        <i val="0"/>
        <strike val="0"/>
        <condense val="0"/>
        <extend val="0"/>
        <outline val="0"/>
        <shadow val="0"/>
        <u val="none"/>
        <vertAlign val="baseline"/>
        <sz val="12"/>
        <color auto="1"/>
        <name val="Aptos"/>
        <family val="2"/>
        <scheme val="none"/>
      </font>
      <alignment horizontal="general"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2"/>
        <color auto="1"/>
        <name val="Aptos"/>
        <family val="2"/>
        <scheme val="none"/>
      </font>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right" vertical="bottom" textRotation="0" wrapText="0" indent="0" justifyLastLine="0" shrinkToFit="0" readingOrder="0"/>
    </dxf>
    <dxf>
      <border outline="0">
        <bottom style="medium">
          <color indexed="64"/>
        </bottom>
      </border>
    </dxf>
    <dxf>
      <border outline="0">
        <bottom style="thin">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alignment horizontal="general"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Aptos"/>
        <family val="2"/>
        <scheme val="none"/>
      </font>
    </dxf>
    <dxf>
      <border outline="0">
        <bottom style="medium">
          <color indexed="64"/>
        </bottom>
      </border>
    </dxf>
    <dxf>
      <font>
        <b/>
        <i val="0"/>
        <strike val="0"/>
        <condense val="0"/>
        <extend val="0"/>
        <outline val="0"/>
        <shadow val="0"/>
        <u val="none"/>
        <vertAlign val="baseline"/>
        <sz val="12"/>
        <color auto="1"/>
        <name val="Aptos"/>
        <family val="2"/>
        <scheme val="none"/>
      </font>
      <fill>
        <patternFill patternType="solid">
          <fgColor indexed="64"/>
          <bgColor theme="8"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i val="0"/>
        <strike val="0"/>
        <condense val="0"/>
        <extend val="0"/>
        <outline val="0"/>
        <shadow val="0"/>
        <u val="none"/>
        <vertAlign val="baseline"/>
        <sz val="12"/>
        <color auto="1"/>
        <name val="Aptos"/>
        <family val="2"/>
        <scheme val="none"/>
      </font>
    </dxf>
    <dxf>
      <border outline="0">
        <bottom style="thin">
          <color indexed="64"/>
        </bottom>
      </border>
    </dxf>
    <dxf>
      <font>
        <b val="0"/>
        <i val="0"/>
        <strike val="0"/>
        <condense val="0"/>
        <extend val="0"/>
        <outline val="0"/>
        <shadow val="0"/>
        <u val="none"/>
        <vertAlign val="baseline"/>
        <sz val="12"/>
        <color auto="1"/>
        <name val="Aptos"/>
        <family val="2"/>
        <scheme val="none"/>
      </font>
    </dxf>
    <dxf>
      <border outline="0">
        <bottom style="medium">
          <color indexed="64"/>
        </bottom>
      </border>
    </dxf>
    <dxf>
      <font>
        <b/>
        <i val="0"/>
        <strike val="0"/>
        <condense val="0"/>
        <extend val="0"/>
        <outline val="0"/>
        <shadow val="0"/>
        <u val="none"/>
        <vertAlign val="baseline"/>
        <sz val="12"/>
        <color auto="1"/>
        <name val="Aptos"/>
        <family val="2"/>
        <scheme val="none"/>
      </font>
      <fill>
        <patternFill patternType="solid">
          <fgColor indexed="64"/>
          <bgColor theme="5"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dxf>
    <dxf>
      <border outline="0">
        <bottom style="thin">
          <color indexed="64"/>
        </bottom>
      </border>
    </dxf>
    <dxf>
      <font>
        <b val="0"/>
        <i val="0"/>
        <strike val="0"/>
        <condense val="0"/>
        <extend val="0"/>
        <outline val="0"/>
        <shadow val="0"/>
        <u val="none"/>
        <vertAlign val="baseline"/>
        <sz val="12"/>
        <color auto="1"/>
        <name val="Aptos"/>
        <family val="2"/>
        <scheme val="none"/>
      </font>
    </dxf>
    <dxf>
      <border outline="0">
        <bottom style="medium">
          <color indexed="64"/>
        </bottom>
      </border>
    </dxf>
    <dxf>
      <font>
        <b/>
        <i val="0"/>
        <strike val="0"/>
        <condense val="0"/>
        <extend val="0"/>
        <outline val="0"/>
        <shadow val="0"/>
        <u val="none"/>
        <vertAlign val="baseline"/>
        <sz val="12"/>
        <color auto="1"/>
        <name val="Aptos"/>
        <family val="2"/>
        <scheme val="none"/>
      </font>
      <fill>
        <patternFill patternType="solid">
          <fgColor indexed="64"/>
          <bgColor theme="6"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numFmt numFmtId="168" formatCode="0.0"/>
    </dxf>
    <dxf>
      <font>
        <b val="0"/>
        <i val="0"/>
        <strike val="0"/>
        <condense val="0"/>
        <extend val="0"/>
        <outline val="0"/>
        <shadow val="0"/>
        <u val="none"/>
        <vertAlign val="baseline"/>
        <sz val="12"/>
        <color auto="1"/>
        <name val="Aptos"/>
        <family val="2"/>
        <scheme val="none"/>
      </font>
    </dxf>
    <dxf>
      <border outline="0">
        <bottom style="thin">
          <color indexed="64"/>
        </bottom>
      </border>
    </dxf>
    <dxf>
      <font>
        <b val="0"/>
        <i val="0"/>
        <strike val="0"/>
        <condense val="0"/>
        <extend val="0"/>
        <outline val="0"/>
        <shadow val="0"/>
        <u val="none"/>
        <vertAlign val="baseline"/>
        <sz val="12"/>
        <color auto="1"/>
        <name val="Aptos"/>
        <family val="2"/>
        <scheme val="none"/>
      </font>
    </dxf>
    <dxf>
      <border outline="0">
        <bottom style="medium">
          <color indexed="64"/>
        </bottom>
      </border>
    </dxf>
    <dxf>
      <font>
        <b/>
        <i val="0"/>
        <strike val="0"/>
        <condense val="0"/>
        <extend val="0"/>
        <outline val="0"/>
        <shadow val="0"/>
        <u val="none"/>
        <vertAlign val="baseline"/>
        <sz val="12"/>
        <color auto="1"/>
        <name val="Aptos"/>
        <family val="2"/>
        <scheme val="none"/>
      </font>
      <fill>
        <patternFill patternType="solid">
          <fgColor indexed="64"/>
          <bgColor theme="4"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ptos"/>
        <family val="2"/>
        <scheme val="none"/>
      </font>
      <numFmt numFmtId="172" formatCode="0.0%"/>
    </dxf>
    <dxf>
      <font>
        <b val="0"/>
        <i val="0"/>
        <strike val="0"/>
        <condense val="0"/>
        <extend val="0"/>
        <outline val="0"/>
        <shadow val="0"/>
        <u val="none"/>
        <vertAlign val="baseline"/>
        <sz val="12"/>
        <color theme="1"/>
        <name val="Aptos"/>
        <family val="2"/>
        <scheme val="none"/>
      </font>
      <numFmt numFmtId="175" formatCode="#,##0.0"/>
      <fill>
        <patternFill patternType="solid">
          <fgColor indexed="64"/>
          <bgColor rgb="FFFFFFCC"/>
        </patternFill>
      </fill>
      <border diagonalUp="0" diagonalDown="0">
        <left style="thin">
          <color indexed="64"/>
        </left>
        <right style="thin">
          <color indexed="64"/>
        </right>
        <top style="thin">
          <color indexed="64"/>
        </top>
        <bottom style="thin">
          <color indexed="64"/>
        </bottom>
        <vertical/>
        <horizontal/>
      </border>
    </dxf>
    <dxf>
      <border outline="0">
        <top style="thin">
          <color theme="1"/>
        </top>
      </border>
    </dxf>
    <dxf>
      <border outline="0">
        <bottom style="thin">
          <color theme="1"/>
        </bottom>
      </border>
    </dxf>
    <dxf>
      <font>
        <b/>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numFmt numFmtId="168" formatCode="0.0"/>
    </dxf>
    <dxf>
      <font>
        <b val="0"/>
        <i val="0"/>
        <strike val="0"/>
        <condense val="0"/>
        <extend val="0"/>
        <outline val="0"/>
        <shadow val="0"/>
        <u val="none"/>
        <vertAlign val="baseline"/>
        <sz val="12"/>
        <color theme="1"/>
        <name val="Aptos"/>
        <family val="2"/>
        <scheme val="none"/>
      </font>
      <numFmt numFmtId="172" formatCode="0.0%"/>
    </dxf>
    <dxf>
      <font>
        <b val="0"/>
        <i val="0"/>
        <strike val="0"/>
        <condense val="0"/>
        <extend val="0"/>
        <outline val="0"/>
        <shadow val="0"/>
        <u val="none"/>
        <vertAlign val="baseline"/>
        <sz val="12"/>
        <color theme="1"/>
        <name val="Aptos"/>
        <family val="2"/>
        <scheme val="none"/>
      </font>
      <numFmt numFmtId="176" formatCode="_(* #,##0.0_);_(* \(#,##0.0\);_(* &quot;-&quot;??_);_(@_)"/>
      <fill>
        <patternFill patternType="solid">
          <fgColor indexed="64"/>
          <bgColor rgb="FFFFFFCC"/>
        </patternFill>
      </fill>
      <border diagonalUp="0" diagonalDown="0">
        <left style="thin">
          <color indexed="64"/>
        </left>
        <right style="thin">
          <color indexed="64"/>
        </right>
        <top style="thin">
          <color indexed="64"/>
        </top>
        <bottom style="thin">
          <color indexed="64"/>
        </bottom>
        <vertical/>
        <horizontal/>
      </border>
    </dxf>
    <dxf>
      <border outline="0">
        <top style="thin">
          <color theme="1"/>
        </top>
      </border>
    </dxf>
    <dxf>
      <border outline="0">
        <bottom style="thin">
          <color theme="1"/>
        </bottom>
      </border>
    </dxf>
    <dxf>
      <font>
        <b/>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rgb="FF000000"/>
        <name val="Aptos"/>
        <family val="2"/>
        <scheme val="none"/>
      </font>
      <fill>
        <patternFill patternType="solid">
          <fgColor indexed="64"/>
          <bgColor theme="0" tint="-0.14999847407452621"/>
        </patternFill>
      </fill>
    </dxf>
    <dxf>
      <font>
        <b/>
        <i val="0"/>
        <strike val="0"/>
        <condense val="0"/>
        <extend val="0"/>
        <outline val="0"/>
        <shadow val="0"/>
        <u val="none"/>
        <vertAlign val="baseline"/>
        <sz val="12"/>
        <color theme="1"/>
        <name val="Aptos"/>
        <family val="2"/>
        <scheme val="none"/>
      </font>
      <fill>
        <patternFill patternType="none">
          <fgColor indexed="64"/>
          <bgColor auto="1"/>
        </patternFill>
      </fill>
    </dxf>
    <dxf>
      <font>
        <b val="0"/>
        <i val="0"/>
        <strike val="0"/>
        <condense val="0"/>
        <extend val="0"/>
        <outline val="0"/>
        <shadow val="0"/>
        <u val="none"/>
        <vertAlign val="baseline"/>
        <sz val="12"/>
        <color auto="1"/>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auto="1"/>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left/>
        <right/>
        <top style="thin">
          <color indexed="64"/>
        </top>
        <bottom/>
        <vertical/>
        <horizontal/>
      </border>
    </dxf>
    <dxf>
      <font>
        <b val="0"/>
        <i val="0"/>
        <strike val="0"/>
        <condense val="0"/>
        <extend val="0"/>
        <outline val="0"/>
        <shadow val="0"/>
        <u val="none"/>
        <vertAlign val="baseline"/>
        <sz val="12"/>
        <color rgb="FF002060"/>
        <name val="Aptos"/>
        <family val="2"/>
        <scheme val="none"/>
      </font>
      <numFmt numFmtId="4" formatCode="#,##0.00"/>
      <border diagonalUp="0" diagonalDown="0" outline="0">
        <left/>
        <right/>
        <top style="thin">
          <color indexed="64"/>
        </top>
        <bottom/>
      </border>
    </dxf>
    <dxf>
      <font>
        <strike val="0"/>
        <outline val="0"/>
        <shadow val="0"/>
        <u val="none"/>
        <sz val="12"/>
        <color auto="1"/>
        <name val="Aptos"/>
        <family val="2"/>
        <scheme val="none"/>
      </font>
      <alignment horizontal="left" vertical="bottom" textRotation="0" wrapText="0" relativeIndent="-1" justifyLastLine="0" shrinkToFit="0" readingOrder="0"/>
    </dxf>
    <dxf>
      <font>
        <b val="0"/>
        <i val="0"/>
        <strike val="0"/>
        <condense val="0"/>
        <extend val="0"/>
        <outline val="0"/>
        <shadow val="0"/>
        <u val="none"/>
        <vertAlign val="baseline"/>
        <sz val="12"/>
        <color rgb="FF002060"/>
        <name val="Aptos"/>
        <family val="2"/>
        <scheme val="none"/>
      </font>
    </dxf>
    <dxf>
      <border outline="0">
        <bottom style="thin">
          <color indexed="64"/>
        </bottom>
      </border>
    </dxf>
    <dxf>
      <font>
        <b/>
        <i val="0"/>
        <strike val="0"/>
        <condense val="0"/>
        <extend val="0"/>
        <outline val="0"/>
        <shadow val="0"/>
        <u val="none"/>
        <vertAlign val="baseline"/>
        <sz val="12"/>
        <color theme="0"/>
        <name val="Aptos"/>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alignment horizontal="left" vertical="center" textRotation="0" wrapText="0" indent="0" justifyLastLine="0" shrinkToFit="0" readingOrder="0"/>
    </dxf>
    <dxf>
      <font>
        <b val="0"/>
        <i val="0"/>
        <strike val="0"/>
        <condense val="0"/>
        <extend val="0"/>
        <outline val="0"/>
        <shadow val="0"/>
        <u val="none"/>
        <vertAlign val="baseline"/>
        <sz val="12"/>
        <color theme="1"/>
        <name val="Aptos"/>
        <family val="2"/>
        <scheme val="none"/>
      </font>
      <numFmt numFmtId="172" formatCode="0.0%"/>
    </dxf>
    <dxf>
      <font>
        <b val="0"/>
        <i val="0"/>
        <strike val="0"/>
        <condense val="0"/>
        <extend val="0"/>
        <outline val="0"/>
        <shadow val="0"/>
        <u val="none"/>
        <vertAlign val="baseline"/>
        <sz val="12"/>
        <color theme="1"/>
        <name val="Aptos"/>
        <family val="2"/>
        <scheme val="none"/>
      </font>
      <numFmt numFmtId="175"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ptos"/>
        <family val="2"/>
        <scheme val="none"/>
      </font>
      <numFmt numFmtId="172" formatCode="0.0%"/>
    </dxf>
    <dxf>
      <font>
        <b val="0"/>
        <i val="0"/>
        <strike val="0"/>
        <condense val="0"/>
        <extend val="0"/>
        <outline val="0"/>
        <shadow val="0"/>
        <u val="none"/>
        <vertAlign val="baseline"/>
        <sz val="12"/>
        <color theme="1"/>
        <name val="Aptos"/>
        <family val="2"/>
        <scheme val="none"/>
      </font>
      <numFmt numFmtId="175" formatCode="#,##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auto="1"/>
        <name val="Aptos"/>
        <family val="2"/>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ptos"/>
        <family val="2"/>
        <scheme val="none"/>
      </font>
      <numFmt numFmtId="172" formatCode="0.0%"/>
    </dxf>
    <dxf>
      <font>
        <b val="0"/>
        <i val="0"/>
        <strike val="0"/>
        <condense val="0"/>
        <extend val="0"/>
        <outline val="0"/>
        <shadow val="0"/>
        <u val="none"/>
        <vertAlign val="baseline"/>
        <sz val="12"/>
        <color theme="1"/>
        <name val="Aptos"/>
        <family val="2"/>
        <scheme val="none"/>
      </font>
      <numFmt numFmtId="175" formatCode="#,##0.0"/>
      <fill>
        <patternFill patternType="solid">
          <fgColor indexed="64"/>
          <bgColor rgb="FFFFFFC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indexed="8"/>
        <name val="Aptos"/>
        <family val="2"/>
        <scheme val="none"/>
      </font>
      <alignment horizontal="left" vertical="center" textRotation="0" wrapText="0" indent="0" justifyLastLine="0" shrinkToFit="0" readingOrder="0"/>
    </dxf>
    <dxf>
      <font>
        <b val="0"/>
        <i val="0"/>
        <strike val="0"/>
        <condense val="0"/>
        <extend val="0"/>
        <outline val="0"/>
        <shadow val="0"/>
        <u val="none"/>
        <vertAlign val="baseline"/>
        <sz val="12"/>
        <color theme="1"/>
        <name val="Aptos"/>
        <family val="2"/>
        <scheme val="none"/>
      </font>
      <numFmt numFmtId="172" formatCode="0.0%"/>
    </dxf>
    <dxf>
      <font>
        <b val="0"/>
        <i val="0"/>
        <strike val="0"/>
        <condense val="0"/>
        <extend val="0"/>
        <outline val="0"/>
        <shadow val="0"/>
        <u val="none"/>
        <vertAlign val="baseline"/>
        <sz val="12"/>
        <color theme="1"/>
        <name val="Aptos"/>
        <family val="2"/>
        <scheme val="none"/>
      </font>
      <numFmt numFmtId="175" formatCode="#,##0.0"/>
      <fill>
        <patternFill patternType="solid">
          <fgColor indexed="64"/>
          <bgColor rgb="FFFFFFC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auto="1"/>
        <name val="Aptos"/>
        <family val="2"/>
        <scheme val="none"/>
      </font>
      <numFmt numFmtId="175" formatCode="#,##0.0"/>
      <border diagonalUp="0" diagonalDown="0">
        <left/>
        <right/>
        <top style="medium">
          <color indexed="64"/>
        </top>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style="medium">
          <color indexed="64"/>
        </top>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style="medium">
          <color indexed="64"/>
        </top>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style="medium">
          <color indexed="64"/>
        </top>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style="medium">
          <color indexed="64"/>
        </top>
        <bottom/>
        <vertical/>
        <horizontal/>
      </border>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val="0"/>
        <i val="0"/>
        <strike val="0"/>
        <condense val="0"/>
        <extend val="0"/>
        <outline val="0"/>
        <shadow val="0"/>
        <u val="none"/>
        <vertAlign val="baseline"/>
        <sz val="12"/>
        <color auto="1"/>
        <name val="Aptos"/>
        <family val="2"/>
        <scheme val="none"/>
      </font>
      <numFmt numFmtId="175" formatCode="#,##0.0"/>
    </dxf>
    <dxf>
      <font>
        <b/>
        <i val="0"/>
        <strike val="0"/>
        <condense val="0"/>
        <extend val="0"/>
        <outline val="0"/>
        <shadow val="0"/>
        <u val="none"/>
        <vertAlign val="baseline"/>
        <sz val="12"/>
        <color auto="1"/>
        <name val="Aptos"/>
        <family val="2"/>
        <scheme val="none"/>
      </font>
      <numFmt numFmtId="175" formatCode="#,##0.0"/>
    </dxf>
    <dxf>
      <border outline="0">
        <bottom style="medium">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ptos"/>
        <family val="2"/>
        <scheme val="none"/>
      </font>
      <numFmt numFmtId="175" formatCode="#,##0.0"/>
      <border diagonalUp="0" diagonalDown="0">
        <left/>
        <right/>
        <top style="medium">
          <color indexed="64"/>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style="medium">
          <color indexed="64"/>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style="medium">
          <color indexed="64"/>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style="medium">
          <color indexed="64"/>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style="medium">
          <color indexed="64"/>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style="medium">
          <color indexed="64"/>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style="medium">
          <color indexed="64"/>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style="medium">
          <color indexed="64"/>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i val="0"/>
        <strike val="0"/>
        <condense val="0"/>
        <extend val="0"/>
        <outline val="0"/>
        <shadow val="0"/>
        <u val="none"/>
        <vertAlign val="baseline"/>
        <sz val="12"/>
        <color auto="1"/>
        <name val="Aptos"/>
        <family val="2"/>
        <scheme val="none"/>
      </font>
      <numFmt numFmtId="175" formatCode="#,##0.0"/>
      <border diagonalUp="0" diagonalDown="0">
        <left/>
        <right/>
        <top/>
        <bottom style="medium">
          <color indexed="64"/>
        </bottom>
        <vertical/>
        <horizontal/>
      </border>
    </dxf>
    <dxf>
      <font>
        <b val="0"/>
        <i val="0"/>
        <strike val="0"/>
        <condense val="0"/>
        <extend val="0"/>
        <outline val="0"/>
        <shadow val="0"/>
        <u val="none"/>
        <vertAlign val="baseline"/>
        <sz val="12"/>
        <color auto="1"/>
        <name val="Aptos"/>
        <family val="2"/>
        <scheme val="none"/>
      </font>
    </dxf>
    <dxf>
      <border outline="0">
        <bottom style="medium">
          <color indexed="64"/>
        </bottom>
      </border>
    </dxf>
    <dxf>
      <font>
        <b/>
        <i val="0"/>
        <strike val="0"/>
        <condense val="0"/>
        <extend val="0"/>
        <outline val="0"/>
        <shadow val="0"/>
        <u val="none"/>
        <vertAlign val="baseline"/>
        <sz val="12"/>
        <color auto="1"/>
        <name val="Aptos"/>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ertAlign val="baseline"/>
        <sz val="12"/>
        <color indexed="12"/>
        <name val="Aptos"/>
        <family val="2"/>
        <scheme val="none"/>
      </font>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al="none"/>
        <vertAlign val="baseline"/>
        <sz val="12"/>
        <color theme="1"/>
        <name val="Aptos"/>
        <family val="2"/>
        <scheme val="none"/>
      </font>
    </dxf>
    <dxf>
      <font>
        <b val="0"/>
        <i val="0"/>
        <strike val="0"/>
        <condense val="0"/>
        <extend val="0"/>
        <outline val="0"/>
        <shadow val="0"/>
        <u/>
        <vertAlign val="baseline"/>
        <sz val="12"/>
        <color indexed="12"/>
        <name val="Aptos"/>
        <family val="2"/>
        <scheme val="none"/>
      </font>
      <alignment horizontal="general" vertical="bottom" textRotation="0" wrapText="0" indent="0" justifyLastLine="0" shrinkToFit="0" readingOrder="0"/>
      <protection locked="1" hidden="0"/>
    </dxf>
    <dxf>
      <font>
        <b/>
        <i val="0"/>
        <strike val="0"/>
        <condense val="0"/>
        <extend val="0"/>
        <outline val="0"/>
        <shadow val="0"/>
        <u val="none"/>
        <vertAlign val="baseline"/>
        <sz val="12"/>
        <color theme="1"/>
        <name val="Aptos"/>
        <family val="2"/>
        <scheme val="none"/>
      </font>
    </dxf>
    <dxf>
      <fill>
        <patternFill>
          <bgColor theme="6" tint="0.39994506668294322"/>
        </patternFill>
      </fill>
      <border>
        <left style="thin">
          <color auto="1"/>
        </left>
        <right style="thin">
          <color auto="1"/>
        </right>
        <top style="thin">
          <color auto="1"/>
        </top>
        <bottom style="thin">
          <color auto="1"/>
        </bottom>
      </border>
    </dxf>
    <dxf>
      <fill>
        <patternFill>
          <bgColor theme="6" tint="0.39994506668294322"/>
        </patternFill>
      </fill>
    </dxf>
  </dxfs>
  <tableStyles count="2" defaultTableStyle="TableStyleMedium9" defaultPivotStyle="PivotStyleLight16">
    <tableStyle name="Table Style 1" pivot="0" count="1" xr9:uid="{A383C98B-8A0E-4FFD-8F8F-083C2D3CF863}">
      <tableStyleElement type="firstRowStripe" dxfId="5313"/>
    </tableStyle>
    <tableStyle name="Table Style 2" pivot="0" count="1" xr9:uid="{11BD1932-CF3E-4AC2-AD0C-F3B77F42AA44}">
      <tableStyleElement type="firstRowStripe" dxfId="5312"/>
    </tableStyle>
  </tableStyles>
  <colors>
    <mruColors>
      <color rgb="FFFFFFCC"/>
      <color rgb="FFFF99FF"/>
      <color rgb="FFFFCCFF"/>
      <color rgb="FFFF6600"/>
      <color rgb="FFFFCC00"/>
      <color rgb="FFCEBF32"/>
      <color rgb="FFC40606"/>
      <color rgb="FFCC3300"/>
      <color rgb="FFCC0000"/>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2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44.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45.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4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4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48.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4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50.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51.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52.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53.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5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55.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58.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59.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5.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880" b="0" i="0" u="none" strike="noStrike" baseline="0">
                <a:solidFill>
                  <a:srgbClr val="000000"/>
                </a:solidFill>
                <a:latin typeface="Aptos" panose="020B0004020202020204" pitchFamily="34" charset="0"/>
                <a:ea typeface="Calibri"/>
                <a:cs typeface="Calibri"/>
              </a:defRPr>
            </a:pPr>
            <a:r>
              <a:rPr lang="en-US">
                <a:latin typeface="Aptos" panose="020B0004020202020204" pitchFamily="34" charset="0"/>
              </a:rPr>
              <a:t>Massachusetts GHG Emissions</a:t>
            </a:r>
          </a:p>
        </c:rich>
      </c:tx>
      <c:overlay val="0"/>
    </c:title>
    <c:autoTitleDeleted val="0"/>
    <c:plotArea>
      <c:layout>
        <c:manualLayout>
          <c:layoutTarget val="inner"/>
          <c:xMode val="edge"/>
          <c:yMode val="edge"/>
          <c:x val="0.16284977024499503"/>
          <c:y val="0.14123216416129802"/>
          <c:w val="0.79254859404977906"/>
          <c:h val="0.71541068747286707"/>
        </c:manualLayout>
      </c:layout>
      <c:lineChart>
        <c:grouping val="standard"/>
        <c:varyColors val="0"/>
        <c:ser>
          <c:idx val="1"/>
          <c:order val="0"/>
          <c:tx>
            <c:v>Historic Emissions</c:v>
          </c:tx>
          <c:spPr>
            <a:ln w="25400">
              <a:solidFill>
                <a:srgbClr val="000000"/>
              </a:solidFill>
              <a:prstDash val="solid"/>
            </a:ln>
          </c:spPr>
          <c:marker>
            <c:symbol val="square"/>
            <c:size val="6"/>
            <c:spPr>
              <a:solidFill>
                <a:schemeClr val="bg1">
                  <a:lumMod val="65000"/>
                </a:schemeClr>
              </a:solidFill>
              <a:ln w="25400">
                <a:solidFill>
                  <a:srgbClr val="000000"/>
                </a:solidFill>
              </a:ln>
            </c:spPr>
          </c:marker>
          <c:dPt>
            <c:idx val="20"/>
            <c:bubble3D val="0"/>
            <c:extLst>
              <c:ext xmlns:c16="http://schemas.microsoft.com/office/drawing/2014/chart" uri="{C3380CC4-5D6E-409C-BE32-E72D297353CC}">
                <c16:uniqueId val="{00000000-15F6-4226-BAC8-C4533A9CE537}"/>
              </c:ext>
            </c:extLst>
          </c:dPt>
          <c:dPt>
            <c:idx val="22"/>
            <c:bubble3D val="0"/>
            <c:extLst>
              <c:ext xmlns:c16="http://schemas.microsoft.com/office/drawing/2014/chart" uri="{C3380CC4-5D6E-409C-BE32-E72D297353CC}">
                <c16:uniqueId val="{00000001-15F6-4226-BAC8-C4533A9CE537}"/>
              </c:ext>
            </c:extLst>
          </c:dPt>
          <c:dPt>
            <c:idx val="23"/>
            <c:marker>
              <c:spPr>
                <a:solidFill>
                  <a:schemeClr val="bg1">
                    <a:lumMod val="75000"/>
                  </a:schemeClr>
                </a:solidFill>
                <a:ln w="25400">
                  <a:solidFill>
                    <a:schemeClr val="tx1"/>
                  </a:solidFill>
                </a:ln>
              </c:spPr>
            </c:marker>
            <c:bubble3D val="0"/>
            <c:extLst>
              <c:ext xmlns:c16="http://schemas.microsoft.com/office/drawing/2014/chart" uri="{C3380CC4-5D6E-409C-BE32-E72D297353CC}">
                <c16:uniqueId val="{00000002-15F6-4226-BAC8-C4533A9CE537}"/>
              </c:ext>
            </c:extLst>
          </c:dPt>
          <c:dPt>
            <c:idx val="24"/>
            <c:marker>
              <c:spPr>
                <a:solidFill>
                  <a:schemeClr val="bg1">
                    <a:lumMod val="75000"/>
                  </a:schemeClr>
                </a:solidFill>
                <a:ln w="25400">
                  <a:solidFill>
                    <a:schemeClr val="tx1"/>
                  </a:solidFill>
                </a:ln>
              </c:spPr>
            </c:marker>
            <c:bubble3D val="0"/>
            <c:extLst>
              <c:ext xmlns:c16="http://schemas.microsoft.com/office/drawing/2014/chart" uri="{C3380CC4-5D6E-409C-BE32-E72D297353CC}">
                <c16:uniqueId val="{00000003-15F6-4226-BAC8-C4533A9CE537}"/>
              </c:ext>
            </c:extLst>
          </c:dPt>
          <c:dLbls>
            <c:dLbl>
              <c:idx val="0"/>
              <c:layout>
                <c:manualLayout>
                  <c:x val="-1.7656245402009395E-2"/>
                  <c:y val="0.47056947839471003"/>
                </c:manualLayout>
              </c:layout>
              <c:tx>
                <c:rich>
                  <a:bodyPr wrap="square" lIns="38100" tIns="19050" rIns="38100" bIns="19050" anchor="ctr" anchorCtr="0">
                    <a:noAutofit/>
                  </a:bodyPr>
                  <a:lstStyle/>
                  <a:p>
                    <a:pPr algn="ctr">
                      <a:defRPr sz="2000">
                        <a:latin typeface="Aptos" panose="020B0004020202020204" pitchFamily="34" charset="0"/>
                      </a:defRPr>
                    </a:pPr>
                    <a:r>
                      <a:rPr lang="en-US" sz="1800" b="1">
                        <a:latin typeface="Aptos" panose="020B0004020202020204" pitchFamily="34" charset="0"/>
                      </a:rPr>
                      <a:t>1990</a:t>
                    </a:r>
                    <a:br>
                      <a:rPr lang="en-US" sz="1800" b="1">
                        <a:latin typeface="Aptos" panose="020B0004020202020204" pitchFamily="34" charset="0"/>
                      </a:rPr>
                    </a:br>
                    <a:fld id="{3F1D89A9-6254-4D17-A36D-C5A4526AD277}" type="VALUE">
                      <a:rPr lang="en-US" sz="1800" b="1">
                        <a:latin typeface="Aptos" panose="020B0004020202020204" pitchFamily="34" charset="0"/>
                      </a:rPr>
                      <a:pPr algn="ctr">
                        <a:defRPr sz="2000">
                          <a:latin typeface="Aptos" panose="020B0004020202020204" pitchFamily="34" charset="0"/>
                        </a:defRPr>
                      </a:pPr>
                      <a:t>[VALUE]</a:t>
                    </a:fld>
                    <a:br>
                      <a:rPr lang="en-US" sz="1800" b="1">
                        <a:latin typeface="Aptos" panose="020B0004020202020204" pitchFamily="34" charset="0"/>
                      </a:rPr>
                    </a:br>
                    <a:r>
                      <a:rPr lang="en-US" sz="1800" b="1">
                        <a:latin typeface="Aptos" panose="020B0004020202020204" pitchFamily="34" charset="0"/>
                      </a:rPr>
                      <a:t>Baseline</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0.11447331014130484"/>
                      <c:h val="0.15635954685296091"/>
                    </c:manualLayout>
                  </c15:layout>
                  <c15:dlblFieldTable/>
                  <c15:showDataLabelsRange val="0"/>
                </c:ext>
                <c:ext xmlns:c16="http://schemas.microsoft.com/office/drawing/2014/chart" uri="{C3380CC4-5D6E-409C-BE32-E72D297353CC}">
                  <c16:uniqueId val="{00000004-15F6-4226-BAC8-C4533A9CE537}"/>
                </c:ext>
              </c:extLst>
            </c:dLbl>
            <c:dLbl>
              <c:idx val="29"/>
              <c:layout>
                <c:manualLayout>
                  <c:x val="-4.3344174127319677E-3"/>
                  <c:y val="0.20255114010056985"/>
                </c:manualLayout>
              </c:layout>
              <c:tx>
                <c:rich>
                  <a:bodyPr wrap="square" lIns="38100" tIns="19050" rIns="38100" bIns="19050" anchor="ctr">
                    <a:noAutofit/>
                  </a:bodyPr>
                  <a:lstStyle/>
                  <a:p>
                    <a:pPr>
                      <a:defRPr sz="2000" b="1">
                        <a:latin typeface="Aptos" panose="020B0004020202020204" pitchFamily="34" charset="0"/>
                      </a:defRPr>
                    </a:pPr>
                    <a:r>
                      <a:rPr lang="en-US" sz="1800">
                        <a:latin typeface="Aptos" panose="020B0004020202020204" pitchFamily="34" charset="0"/>
                      </a:rPr>
                      <a:t>2022</a:t>
                    </a:r>
                    <a:br>
                      <a:rPr lang="en-US" sz="1800">
                        <a:latin typeface="Aptos" panose="020B0004020202020204" pitchFamily="34" charset="0"/>
                      </a:rPr>
                    </a:br>
                    <a:r>
                      <a:rPr lang="en-US" sz="1800">
                        <a:latin typeface="Aptos" panose="020B0004020202020204" pitchFamily="34" charset="0"/>
                      </a:rPr>
                      <a:t>68.0</a:t>
                    </a:r>
                    <a:br>
                      <a:rPr lang="en-US" sz="1800">
                        <a:latin typeface="Aptos" panose="020B0004020202020204" pitchFamily="34" charset="0"/>
                      </a:rPr>
                    </a:br>
                    <a:r>
                      <a:rPr lang="en-US" sz="1800">
                        <a:latin typeface="Aptos" panose="020B0004020202020204" pitchFamily="34" charset="0"/>
                      </a:rPr>
                      <a:t>26.9%</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0.10436666751696666"/>
                      <c:h val="0.16959417012587011"/>
                    </c:manualLayout>
                  </c15:layout>
                  <c15:showDataLabelsRange val="0"/>
                </c:ext>
                <c:ext xmlns:c16="http://schemas.microsoft.com/office/drawing/2014/chart" uri="{C3380CC4-5D6E-409C-BE32-E72D297353CC}">
                  <c16:uniqueId val="{00000005-15F6-4226-BAC8-C4533A9CE537}"/>
                </c:ext>
              </c:extLst>
            </c:dLbl>
            <c:dLbl>
              <c:idx val="30"/>
              <c:layout>
                <c:manualLayout>
                  <c:x val="-0.10997469111902786"/>
                  <c:y val="0.12725990886077229"/>
                </c:manualLayout>
              </c:layout>
              <c:tx>
                <c:rich>
                  <a:bodyPr wrap="square" lIns="38100" tIns="19050" rIns="38100" bIns="19050" anchor="ctr">
                    <a:noAutofit/>
                  </a:bodyPr>
                  <a:lstStyle/>
                  <a:p>
                    <a:pPr>
                      <a:defRPr sz="2000">
                        <a:latin typeface="Aptos" panose="020B0004020202020204" pitchFamily="34" charset="0"/>
                      </a:defRPr>
                    </a:pPr>
                    <a:r>
                      <a:rPr lang="en-US" sz="1800" b="1">
                        <a:latin typeface="Aptos" panose="020B0004020202020204" pitchFamily="34" charset="0"/>
                      </a:rPr>
                      <a:t>2020</a:t>
                    </a:r>
                    <a:br>
                      <a:rPr lang="en-US" sz="1800" b="1">
                        <a:latin typeface="Aptos" panose="020B0004020202020204" pitchFamily="34" charset="0"/>
                      </a:rPr>
                    </a:br>
                    <a:fld id="{63F85852-F460-4C1E-B6EA-F2D8A67C8930}" type="VALUE">
                      <a:rPr lang="en-US" sz="1800" b="1">
                        <a:latin typeface="Aptos" panose="020B0004020202020204" pitchFamily="34" charset="0"/>
                      </a:rPr>
                      <a:pPr>
                        <a:defRPr sz="2000">
                          <a:latin typeface="Aptos" panose="020B0004020202020204" pitchFamily="34" charset="0"/>
                        </a:defRPr>
                      </a:pPr>
                      <a:t>[VALUE]</a:t>
                    </a:fld>
                    <a:br>
                      <a:rPr lang="en-US" sz="1800" b="1">
                        <a:latin typeface="Aptos" panose="020B0004020202020204" pitchFamily="34" charset="0"/>
                      </a:rPr>
                    </a:br>
                    <a:r>
                      <a:rPr lang="en-US" sz="1800" b="1">
                        <a:latin typeface="Aptos" panose="020B0004020202020204" pitchFamily="34" charset="0"/>
                      </a:rPr>
                      <a:t>31.0%</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5950659823175299E-2"/>
                      <c:h val="0.16440262218406898"/>
                    </c:manualLayout>
                  </c15:layout>
                  <c15:dlblFieldTable/>
                  <c15:showDataLabelsRange val="0"/>
                </c:ext>
                <c:ext xmlns:c16="http://schemas.microsoft.com/office/drawing/2014/chart" uri="{C3380CC4-5D6E-409C-BE32-E72D297353CC}">
                  <c16:uniqueId val="{00000006-15F6-4226-BAC8-C4533A9CE537}"/>
                </c:ext>
              </c:extLst>
            </c:dLbl>
            <c:dLbl>
              <c:idx val="31"/>
              <c:layout>
                <c:manualLayout>
                  <c:x val="2.691108088966087E-2"/>
                  <c:y val="0.16462069448180641"/>
                </c:manualLayout>
              </c:layout>
              <c:tx>
                <c:rich>
                  <a:bodyPr wrap="square" lIns="38100" tIns="19050" rIns="38100" bIns="19050" anchor="ctr">
                    <a:noAutofit/>
                  </a:bodyPr>
                  <a:lstStyle/>
                  <a:p>
                    <a:pPr>
                      <a:defRPr sz="2000">
                        <a:latin typeface="Aptos" panose="020B0004020202020204" pitchFamily="34" charset="0"/>
                      </a:defRPr>
                    </a:pPr>
                    <a:r>
                      <a:rPr lang="en-US" sz="1800" b="1">
                        <a:latin typeface="Aptos" panose="020B0004020202020204" pitchFamily="34" charset="0"/>
                      </a:rPr>
                      <a:t>2023</a:t>
                    </a:r>
                    <a:br>
                      <a:rPr lang="en-US" sz="1800" b="1">
                        <a:latin typeface="Aptos" panose="020B0004020202020204" pitchFamily="34" charset="0"/>
                      </a:rPr>
                    </a:br>
                    <a:r>
                      <a:rPr lang="en-US" sz="1800" b="1">
                        <a:latin typeface="Aptos" panose="020B0004020202020204" pitchFamily="34" charset="0"/>
                      </a:rPr>
                      <a:t>65.3</a:t>
                    </a:r>
                    <a:br>
                      <a:rPr lang="en-US" sz="1800" b="1">
                        <a:latin typeface="Aptos" panose="020B0004020202020204" pitchFamily="34" charset="0"/>
                      </a:rPr>
                    </a:br>
                    <a:r>
                      <a:rPr lang="en-US" sz="1800" b="1">
                        <a:latin typeface="Aptos" panose="020B0004020202020204" pitchFamily="34" charset="0"/>
                      </a:rPr>
                      <a:t>29.8%</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7155249042287108E-2"/>
                      <c:h val="0.15834467674342023"/>
                    </c:manualLayout>
                  </c15:layout>
                  <c15:showDataLabelsRange val="0"/>
                </c:ext>
                <c:ext xmlns:c16="http://schemas.microsoft.com/office/drawing/2014/chart" uri="{C3380CC4-5D6E-409C-BE32-E72D297353CC}">
                  <c16:uniqueId val="{00000007-15F6-4226-BAC8-C4533A9CE537}"/>
                </c:ext>
              </c:extLst>
            </c:dLbl>
            <c:spPr>
              <a:noFill/>
              <a:ln>
                <a:noFill/>
              </a:ln>
              <a:effectLst/>
            </c:spPr>
            <c:txPr>
              <a:bodyPr wrap="square" lIns="38100" tIns="19050" rIns="38100" bIns="19050" anchor="ctr">
                <a:spAutoFit/>
              </a:bodyPr>
              <a:lstStyle/>
              <a:p>
                <a:pPr>
                  <a:defRPr sz="2000">
                    <a:latin typeface="Aptos" panose="020B0004020202020204" pitchFamily="34" charset="0"/>
                  </a:defRPr>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0"/>
              </c:ext>
            </c:extLst>
          </c:dLbls>
          <c:cat>
            <c:strRef>
              <c:f>Summary!$B$48:$AP$48</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Summary!$B$57:$AI$57</c:f>
              <c:numCache>
                <c:formatCode>0.0</c:formatCode>
                <c:ptCount val="34"/>
                <c:pt idx="0">
                  <c:v>93.005061114385569</c:v>
                </c:pt>
                <c:pt idx="1">
                  <c:v>90.714089358778821</c:v>
                </c:pt>
                <c:pt idx="2">
                  <c:v>92.602546113848888</c:v>
                </c:pt>
                <c:pt idx="3">
                  <c:v>90.420097845114341</c:v>
                </c:pt>
                <c:pt idx="4">
                  <c:v>90.666381568545191</c:v>
                </c:pt>
                <c:pt idx="5">
                  <c:v>88.603886218145689</c:v>
                </c:pt>
                <c:pt idx="6">
                  <c:v>88.881216335157106</c:v>
                </c:pt>
                <c:pt idx="7">
                  <c:v>93.298655933508726</c:v>
                </c:pt>
                <c:pt idx="8">
                  <c:v>91.50975488981544</c:v>
                </c:pt>
                <c:pt idx="9">
                  <c:v>90.442489289254084</c:v>
                </c:pt>
                <c:pt idx="10">
                  <c:v>92.339554357634611</c:v>
                </c:pt>
                <c:pt idx="11">
                  <c:v>91.380645321737447</c:v>
                </c:pt>
                <c:pt idx="12">
                  <c:v>93.485621259719736</c:v>
                </c:pt>
                <c:pt idx="13">
                  <c:v>95.54353177401525</c:v>
                </c:pt>
                <c:pt idx="14">
                  <c:v>93.310164472412225</c:v>
                </c:pt>
                <c:pt idx="15">
                  <c:v>94.969260995679363</c:v>
                </c:pt>
                <c:pt idx="16">
                  <c:v>86.292458478025253</c:v>
                </c:pt>
                <c:pt idx="17">
                  <c:v>89.119520543464205</c:v>
                </c:pt>
                <c:pt idx="18">
                  <c:v>86.358552421357089</c:v>
                </c:pt>
                <c:pt idx="19">
                  <c:v>81.216784267345631</c:v>
                </c:pt>
                <c:pt idx="20">
                  <c:v>82.257391342506338</c:v>
                </c:pt>
                <c:pt idx="21">
                  <c:v>76.809556672178559</c:v>
                </c:pt>
                <c:pt idx="22">
                  <c:v>70.626762991257095</c:v>
                </c:pt>
                <c:pt idx="23">
                  <c:v>75.278993392001837</c:v>
                </c:pt>
                <c:pt idx="24">
                  <c:v>73.832334119273042</c:v>
                </c:pt>
                <c:pt idx="25">
                  <c:v>75.000439601401951</c:v>
                </c:pt>
                <c:pt idx="26">
                  <c:v>71.328185981528421</c:v>
                </c:pt>
                <c:pt idx="27">
                  <c:v>70.47618538790212</c:v>
                </c:pt>
                <c:pt idx="28">
                  <c:v>71.631287152283775</c:v>
                </c:pt>
                <c:pt idx="29">
                  <c:v>70.389528830556515</c:v>
                </c:pt>
                <c:pt idx="30">
                  <c:v>64.151992533382881</c:v>
                </c:pt>
                <c:pt idx="31">
                  <c:v>67.09707815821298</c:v>
                </c:pt>
                <c:pt idx="32">
                  <c:v>68.022327133326556</c:v>
                </c:pt>
                <c:pt idx="33">
                  <c:v>65.139812960804832</c:v>
                </c:pt>
              </c:numCache>
            </c:numRef>
          </c:val>
          <c:smooth val="0"/>
          <c:extLst>
            <c:ext xmlns:c16="http://schemas.microsoft.com/office/drawing/2014/chart" uri="{C3380CC4-5D6E-409C-BE32-E72D297353CC}">
              <c16:uniqueId val="{00000008-15F6-4226-BAC8-C4533A9CE537}"/>
            </c:ext>
          </c:extLst>
        </c:ser>
        <c:ser>
          <c:idx val="4"/>
          <c:order val="1"/>
          <c:tx>
            <c:strRef>
              <c:f>Summary!$A$60</c:f>
              <c:strCache>
                <c:ptCount val="1"/>
                <c:pt idx="0">
                  <c:v>2020 Limit (25% below 1990)</c:v>
                </c:pt>
              </c:strCache>
            </c:strRef>
          </c:tx>
          <c:spPr>
            <a:ln w="25400">
              <a:noFill/>
              <a:prstDash val="dash"/>
            </a:ln>
          </c:spPr>
          <c:marker>
            <c:symbol val="diamond"/>
            <c:size val="10"/>
            <c:spPr>
              <a:solidFill>
                <a:schemeClr val="accent1">
                  <a:lumMod val="20000"/>
                  <a:lumOff val="80000"/>
                </a:schemeClr>
              </a:solidFill>
              <a:ln w="19050">
                <a:solidFill>
                  <a:schemeClr val="accent1">
                    <a:lumMod val="50000"/>
                  </a:schemeClr>
                </a:solidFill>
              </a:ln>
            </c:spPr>
          </c:marker>
          <c:dPt>
            <c:idx val="0"/>
            <c:marker>
              <c:symbol val="none"/>
            </c:marker>
            <c:bubble3D val="0"/>
            <c:extLst>
              <c:ext xmlns:c16="http://schemas.microsoft.com/office/drawing/2014/chart" uri="{C3380CC4-5D6E-409C-BE32-E72D297353CC}">
                <c16:uniqueId val="{00000009-15F6-4226-BAC8-C4533A9CE537}"/>
              </c:ext>
            </c:extLst>
          </c:dPt>
          <c:dLbls>
            <c:dLbl>
              <c:idx val="30"/>
              <c:layout>
                <c:manualLayout>
                  <c:x val="-3.1903256505901527E-2"/>
                  <c:y val="-0.10112250844108893"/>
                </c:manualLayout>
              </c:layout>
              <c:tx>
                <c:rich>
                  <a:bodyPr/>
                  <a:lstStyle/>
                  <a:p>
                    <a:pPr>
                      <a:defRPr sz="1800" b="1" i="0" u="none" strike="noStrike" baseline="0">
                        <a:solidFill>
                          <a:schemeClr val="accent1">
                            <a:lumMod val="75000"/>
                          </a:schemeClr>
                        </a:solidFill>
                        <a:latin typeface="Aptos" panose="020B0004020202020204" pitchFamily="34" charset="0"/>
                        <a:ea typeface="Calibri"/>
                        <a:cs typeface="Calibri"/>
                      </a:defRPr>
                    </a:pPr>
                    <a:r>
                      <a:rPr lang="en-US" sz="1800">
                        <a:solidFill>
                          <a:schemeClr val="accent1">
                            <a:lumMod val="75000"/>
                          </a:schemeClr>
                        </a:solidFill>
                        <a:latin typeface="Aptos" panose="020B0004020202020204" pitchFamily="34" charset="0"/>
                      </a:rPr>
                      <a:t>2020</a:t>
                    </a:r>
                    <a:br>
                      <a:rPr lang="en-US" sz="1800">
                        <a:solidFill>
                          <a:schemeClr val="accent1">
                            <a:lumMod val="75000"/>
                          </a:schemeClr>
                        </a:solidFill>
                        <a:latin typeface="Aptos" panose="020B0004020202020204" pitchFamily="34" charset="0"/>
                      </a:rPr>
                    </a:br>
                    <a:r>
                      <a:rPr lang="en-US" sz="1800">
                        <a:solidFill>
                          <a:schemeClr val="accent1">
                            <a:lumMod val="75000"/>
                          </a:schemeClr>
                        </a:solidFill>
                        <a:latin typeface="Aptos" panose="020B0004020202020204" pitchFamily="34" charset="0"/>
                      </a:rPr>
                      <a:t>Limit</a:t>
                    </a:r>
                    <a:br>
                      <a:rPr lang="en-US" sz="1800">
                        <a:solidFill>
                          <a:schemeClr val="accent1">
                            <a:lumMod val="75000"/>
                          </a:schemeClr>
                        </a:solidFill>
                        <a:latin typeface="Aptos" panose="020B0004020202020204" pitchFamily="34" charset="0"/>
                      </a:rPr>
                    </a:br>
                    <a:r>
                      <a:rPr lang="en-US" sz="1800">
                        <a:solidFill>
                          <a:schemeClr val="accent1">
                            <a:lumMod val="75000"/>
                          </a:schemeClr>
                        </a:solidFill>
                        <a:latin typeface="Aptos" panose="020B0004020202020204" pitchFamily="34" charset="0"/>
                      </a:rPr>
                      <a:t>69.8</a:t>
                    </a:r>
                    <a:br>
                      <a:rPr lang="en-US" sz="1800">
                        <a:solidFill>
                          <a:schemeClr val="accent1">
                            <a:lumMod val="75000"/>
                          </a:schemeClr>
                        </a:solidFill>
                        <a:latin typeface="Aptos" panose="020B0004020202020204" pitchFamily="34" charset="0"/>
                      </a:rPr>
                    </a:br>
                    <a:r>
                      <a:rPr lang="en-US" sz="1800">
                        <a:solidFill>
                          <a:schemeClr val="accent1">
                            <a:lumMod val="75000"/>
                          </a:schemeClr>
                        </a:solidFill>
                        <a:latin typeface="Aptos" panose="020B0004020202020204" pitchFamily="34" charset="0"/>
                      </a:rPr>
                      <a:t>25%</a:t>
                    </a:r>
                  </a:p>
                </c:rich>
              </c:tx>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5F6-4226-BAC8-C4533A9CE537}"/>
                </c:ext>
              </c:extLst>
            </c:dLbl>
            <c:spPr>
              <a:noFill/>
              <a:ln>
                <a:noFill/>
              </a:ln>
              <a:effectLst/>
            </c:spPr>
            <c:txPr>
              <a:bodyPr wrap="square" lIns="38100" tIns="19050" rIns="38100" bIns="19050" anchor="ctr">
                <a:spAutoFit/>
              </a:bodyPr>
              <a:lstStyle/>
              <a:p>
                <a:pPr>
                  <a:defRPr>
                    <a:solidFill>
                      <a:schemeClr val="accent1">
                        <a:lumMod val="75000"/>
                      </a:schemeClr>
                    </a:solidFill>
                    <a:latin typeface="Aptos" panose="020B00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Summary!$B$48:$AP$48</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Summary!$B$60:$AF$60</c:f>
              <c:numCache>
                <c:formatCode>#,##0.0</c:formatCode>
                <c:ptCount val="31"/>
                <c:pt idx="0">
                  <c:v>69.753795835789177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69.753795835789177</c:v>
                </c:pt>
              </c:numCache>
            </c:numRef>
          </c:val>
          <c:smooth val="0"/>
          <c:extLst>
            <c:ext xmlns:c16="http://schemas.microsoft.com/office/drawing/2014/chart" uri="{C3380CC4-5D6E-409C-BE32-E72D297353CC}">
              <c16:uniqueId val="{0000000B-15F6-4226-BAC8-C4533A9CE537}"/>
            </c:ext>
          </c:extLst>
        </c:ser>
        <c:ser>
          <c:idx val="0"/>
          <c:order val="2"/>
          <c:tx>
            <c:strRef>
              <c:f>Summary!$A$61</c:f>
              <c:strCache>
                <c:ptCount val="1"/>
                <c:pt idx="0">
                  <c:v>2025 CECP Limit (33% below 1990)</c:v>
                </c:pt>
              </c:strCache>
            </c:strRef>
          </c:tx>
          <c:spPr>
            <a:ln>
              <a:noFill/>
              <a:prstDash val="dash"/>
            </a:ln>
          </c:spPr>
          <c:marker>
            <c:symbol val="diamond"/>
            <c:size val="10"/>
            <c:spPr>
              <a:solidFill>
                <a:schemeClr val="accent1">
                  <a:lumMod val="20000"/>
                  <a:lumOff val="80000"/>
                </a:schemeClr>
              </a:solidFill>
              <a:ln w="19050">
                <a:solidFill>
                  <a:schemeClr val="accent1">
                    <a:lumMod val="50000"/>
                  </a:schemeClr>
                </a:solidFill>
              </a:ln>
            </c:spPr>
          </c:marker>
          <c:dPt>
            <c:idx val="0"/>
            <c:marker>
              <c:symbol val="none"/>
            </c:marker>
            <c:bubble3D val="0"/>
            <c:extLst>
              <c:ext xmlns:c16="http://schemas.microsoft.com/office/drawing/2014/chart" uri="{C3380CC4-5D6E-409C-BE32-E72D297353CC}">
                <c16:uniqueId val="{0000000C-15F6-4226-BAC8-C4533A9CE537}"/>
              </c:ext>
            </c:extLst>
          </c:dPt>
          <c:dPt>
            <c:idx val="35"/>
            <c:bubble3D val="0"/>
            <c:extLst>
              <c:ext xmlns:c16="http://schemas.microsoft.com/office/drawing/2014/chart" uri="{C3380CC4-5D6E-409C-BE32-E72D297353CC}">
                <c16:uniqueId val="{0000000D-15F6-4226-BAC8-C4533A9CE537}"/>
              </c:ext>
            </c:extLst>
          </c:dPt>
          <c:dLbls>
            <c:dLbl>
              <c:idx val="35"/>
              <c:layout>
                <c:manualLayout>
                  <c:x val="-5.3504202303420928E-2"/>
                  <c:y val="-0.18066622395178153"/>
                </c:manualLayout>
              </c:layout>
              <c:tx>
                <c:rich>
                  <a:bodyPr wrap="square" lIns="38100" tIns="19050" rIns="38100" bIns="19050" anchor="ctr">
                    <a:noAutofit/>
                  </a:bodyPr>
                  <a:lstStyle/>
                  <a:p>
                    <a:pPr>
                      <a:defRPr sz="1800">
                        <a:solidFill>
                          <a:schemeClr val="accent1">
                            <a:lumMod val="75000"/>
                          </a:schemeClr>
                        </a:solidFill>
                        <a:latin typeface="Aptos" panose="020B0004020202020204" pitchFamily="34" charset="0"/>
                      </a:defRPr>
                    </a:pPr>
                    <a:r>
                      <a:rPr lang="en-US" sz="1800" b="1">
                        <a:solidFill>
                          <a:schemeClr val="accent1">
                            <a:lumMod val="75000"/>
                          </a:schemeClr>
                        </a:solidFill>
                        <a:latin typeface="Aptos" panose="020B0004020202020204" pitchFamily="34" charset="0"/>
                      </a:rPr>
                      <a:t>2025 Limit</a:t>
                    </a:r>
                    <a:br>
                      <a:rPr lang="en-US" sz="1800" b="1">
                        <a:solidFill>
                          <a:schemeClr val="accent1">
                            <a:lumMod val="75000"/>
                          </a:schemeClr>
                        </a:solidFill>
                        <a:latin typeface="Aptos" panose="020B0004020202020204" pitchFamily="34" charset="0"/>
                      </a:rPr>
                    </a:br>
                    <a:fld id="{3FEE26AE-A3DB-41E8-B24F-EA3B7FED938B}" type="VALUE">
                      <a:rPr lang="en-US" sz="1800" b="1">
                        <a:solidFill>
                          <a:schemeClr val="accent1">
                            <a:lumMod val="75000"/>
                          </a:schemeClr>
                        </a:solidFill>
                        <a:latin typeface="Aptos" panose="020B0004020202020204" pitchFamily="34" charset="0"/>
                      </a:rPr>
                      <a:pPr>
                        <a:defRPr sz="1800">
                          <a:solidFill>
                            <a:schemeClr val="accent1">
                              <a:lumMod val="75000"/>
                            </a:schemeClr>
                          </a:solidFill>
                          <a:latin typeface="Aptos" panose="020B0004020202020204" pitchFamily="34" charset="0"/>
                        </a:defRPr>
                      </a:pPr>
                      <a:t>[VALUE]</a:t>
                    </a:fld>
                    <a:br>
                      <a:rPr lang="en-US" sz="1800" b="1">
                        <a:solidFill>
                          <a:schemeClr val="accent1">
                            <a:lumMod val="75000"/>
                          </a:schemeClr>
                        </a:solidFill>
                        <a:latin typeface="Aptos" panose="020B0004020202020204" pitchFamily="34" charset="0"/>
                      </a:rPr>
                    </a:br>
                    <a:r>
                      <a:rPr lang="en-US" sz="1800" b="1">
                        <a:solidFill>
                          <a:schemeClr val="accent1">
                            <a:lumMod val="75000"/>
                          </a:schemeClr>
                        </a:solidFill>
                        <a:latin typeface="Aptos" panose="020B0004020202020204" pitchFamily="34" charset="0"/>
                      </a:rPr>
                      <a:t>33%</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8906405930027984E-2"/>
                      <c:h val="0.12802538109362654"/>
                    </c:manualLayout>
                  </c15:layout>
                  <c15:dlblFieldTable/>
                  <c15:showDataLabelsRange val="0"/>
                </c:ext>
                <c:ext xmlns:c16="http://schemas.microsoft.com/office/drawing/2014/chart" uri="{C3380CC4-5D6E-409C-BE32-E72D297353CC}">
                  <c16:uniqueId val="{0000000D-15F6-4226-BAC8-C4533A9CE537}"/>
                </c:ext>
              </c:extLst>
            </c:dLbl>
            <c:spPr>
              <a:noFill/>
              <a:ln>
                <a:noFill/>
              </a:ln>
              <a:effectLst/>
            </c:spPr>
            <c:txPr>
              <a:bodyPr wrap="square" lIns="38100" tIns="19050" rIns="38100" bIns="19050" anchor="ctr">
                <a:spAutoFit/>
              </a:bodyPr>
              <a:lstStyle/>
              <a:p>
                <a:pPr>
                  <a:defRPr sz="1800">
                    <a:solidFill>
                      <a:schemeClr val="accent1">
                        <a:lumMod val="75000"/>
                      </a:schemeClr>
                    </a:solidFill>
                    <a:latin typeface="Aptos" panose="020B00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Summary!$B$48:$AP$48</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Summary!$B$61:$AK$61</c:f>
              <c:numCache>
                <c:formatCode>#,##0.0</c:formatCode>
                <c:ptCount val="36"/>
                <c:pt idx="0">
                  <c:v>63.2</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63.2</c:v>
                </c:pt>
              </c:numCache>
            </c:numRef>
          </c:val>
          <c:smooth val="0"/>
          <c:extLst>
            <c:ext xmlns:c16="http://schemas.microsoft.com/office/drawing/2014/chart" uri="{C3380CC4-5D6E-409C-BE32-E72D297353CC}">
              <c16:uniqueId val="{0000000E-15F6-4226-BAC8-C4533A9CE537}"/>
            </c:ext>
          </c:extLst>
        </c:ser>
        <c:ser>
          <c:idx val="2"/>
          <c:order val="3"/>
          <c:tx>
            <c:strRef>
              <c:f>Summary!$A$62</c:f>
              <c:strCache>
                <c:ptCount val="1"/>
                <c:pt idx="0">
                  <c:v>2030 CECP Limit (50% below 1990)</c:v>
                </c:pt>
              </c:strCache>
            </c:strRef>
          </c:tx>
          <c:spPr>
            <a:ln>
              <a:noFill/>
              <a:prstDash val="dash"/>
            </a:ln>
          </c:spPr>
          <c:marker>
            <c:symbol val="diamond"/>
            <c:size val="10"/>
            <c:spPr>
              <a:solidFill>
                <a:srgbClr val="FFC000"/>
              </a:solidFill>
              <a:ln>
                <a:solidFill>
                  <a:schemeClr val="tx1"/>
                </a:solidFill>
              </a:ln>
            </c:spPr>
          </c:marker>
          <c:dPt>
            <c:idx val="0"/>
            <c:marker>
              <c:symbol val="none"/>
            </c:marker>
            <c:bubble3D val="0"/>
            <c:extLst>
              <c:ext xmlns:c16="http://schemas.microsoft.com/office/drawing/2014/chart" uri="{C3380CC4-5D6E-409C-BE32-E72D297353CC}">
                <c16:uniqueId val="{0000000F-15F6-4226-BAC8-C4533A9CE537}"/>
              </c:ext>
            </c:extLst>
          </c:dPt>
          <c:dPt>
            <c:idx val="40"/>
            <c:marker>
              <c:spPr>
                <a:solidFill>
                  <a:schemeClr val="accent1">
                    <a:lumMod val="20000"/>
                    <a:lumOff val="80000"/>
                  </a:schemeClr>
                </a:solidFill>
                <a:ln w="19050">
                  <a:solidFill>
                    <a:schemeClr val="tx1"/>
                  </a:solidFill>
                </a:ln>
              </c:spPr>
            </c:marker>
            <c:bubble3D val="0"/>
            <c:extLst>
              <c:ext xmlns:c16="http://schemas.microsoft.com/office/drawing/2014/chart" uri="{C3380CC4-5D6E-409C-BE32-E72D297353CC}">
                <c16:uniqueId val="{00000010-15F6-4226-BAC8-C4533A9CE537}"/>
              </c:ext>
            </c:extLst>
          </c:dPt>
          <c:dLbls>
            <c:dLbl>
              <c:idx val="35"/>
              <c:layout>
                <c:manualLayout>
                  <c:x val="3.6789549033643627E-2"/>
                  <c:y val="2.9399029666746204E-2"/>
                </c:manualLayout>
              </c:layout>
              <c:tx>
                <c:rich>
                  <a:bodyPr/>
                  <a:lstStyle/>
                  <a:p>
                    <a:fld id="{BABC96D7-75B2-429A-A530-52F7A049E9D1}" type="VALUE">
                      <a:rPr lang="en-US" sz="1400" b="1"/>
                      <a:pPr/>
                      <a:t>[VALUE]</a:t>
                    </a:fld>
                    <a:endParaRPr 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15F6-4226-BAC8-C4533A9CE537}"/>
                </c:ext>
              </c:extLst>
            </c:dLbl>
            <c:dLbl>
              <c:idx val="40"/>
              <c:layout>
                <c:manualLayout>
                  <c:x val="-2.8681369862633803E-2"/>
                  <c:y val="-0.37488438737602015"/>
                </c:manualLayout>
              </c:layout>
              <c:tx>
                <c:rich>
                  <a:bodyPr wrap="square" lIns="38100" tIns="19050" rIns="38100" bIns="19050" anchor="ctr">
                    <a:spAutoFit/>
                  </a:bodyPr>
                  <a:lstStyle/>
                  <a:p>
                    <a:pPr>
                      <a:defRPr sz="1800">
                        <a:solidFill>
                          <a:schemeClr val="accent1">
                            <a:lumMod val="75000"/>
                          </a:schemeClr>
                        </a:solidFill>
                        <a:latin typeface="Aptos" panose="020B0004020202020204" pitchFamily="34" charset="0"/>
                      </a:defRPr>
                    </a:pPr>
                    <a:r>
                      <a:rPr lang="en-US" sz="1800" b="1">
                        <a:solidFill>
                          <a:schemeClr val="accent1">
                            <a:lumMod val="75000"/>
                          </a:schemeClr>
                        </a:solidFill>
                        <a:latin typeface="Aptos" panose="020B0004020202020204" pitchFamily="34" charset="0"/>
                      </a:rPr>
                      <a:t>2030</a:t>
                    </a:r>
                    <a:br>
                      <a:rPr lang="en-US" sz="1800" b="1">
                        <a:solidFill>
                          <a:schemeClr val="accent1">
                            <a:lumMod val="75000"/>
                          </a:schemeClr>
                        </a:solidFill>
                        <a:latin typeface="Aptos" panose="020B0004020202020204" pitchFamily="34" charset="0"/>
                      </a:rPr>
                    </a:br>
                    <a:r>
                      <a:rPr lang="en-US" sz="1800" b="1">
                        <a:solidFill>
                          <a:schemeClr val="accent1">
                            <a:lumMod val="75000"/>
                          </a:schemeClr>
                        </a:solidFill>
                        <a:latin typeface="Aptos" panose="020B0004020202020204" pitchFamily="34" charset="0"/>
                      </a:rPr>
                      <a:t> Limit</a:t>
                    </a:r>
                    <a:br>
                      <a:rPr lang="en-US" sz="1800" b="1">
                        <a:solidFill>
                          <a:schemeClr val="accent1">
                            <a:lumMod val="75000"/>
                          </a:schemeClr>
                        </a:solidFill>
                        <a:latin typeface="Aptos" panose="020B0004020202020204" pitchFamily="34" charset="0"/>
                      </a:rPr>
                    </a:br>
                    <a:fld id="{943095ED-3082-475D-B3A7-4D8A0FEAC68F}" type="VALUE">
                      <a:rPr lang="en-US" sz="1800" b="1">
                        <a:solidFill>
                          <a:schemeClr val="accent1">
                            <a:lumMod val="75000"/>
                          </a:schemeClr>
                        </a:solidFill>
                        <a:latin typeface="Aptos" panose="020B0004020202020204" pitchFamily="34" charset="0"/>
                      </a:rPr>
                      <a:pPr>
                        <a:defRPr sz="1800">
                          <a:solidFill>
                            <a:schemeClr val="accent1">
                              <a:lumMod val="75000"/>
                            </a:schemeClr>
                          </a:solidFill>
                          <a:latin typeface="Aptos" panose="020B0004020202020204" pitchFamily="34" charset="0"/>
                        </a:defRPr>
                      </a:pPr>
                      <a:t>[VALUE]</a:t>
                    </a:fld>
                    <a:br>
                      <a:rPr lang="en-US" sz="1800" b="1">
                        <a:solidFill>
                          <a:schemeClr val="accent1">
                            <a:lumMod val="75000"/>
                          </a:schemeClr>
                        </a:solidFill>
                        <a:latin typeface="Aptos" panose="020B0004020202020204" pitchFamily="34" charset="0"/>
                      </a:rPr>
                    </a:br>
                    <a:r>
                      <a:rPr lang="en-US" sz="1800" b="1">
                        <a:solidFill>
                          <a:schemeClr val="accent1">
                            <a:lumMod val="75000"/>
                          </a:schemeClr>
                        </a:solidFill>
                        <a:latin typeface="Aptos" panose="020B0004020202020204" pitchFamily="34" charset="0"/>
                      </a:rPr>
                      <a:t>50%</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0-15F6-4226-BAC8-C4533A9CE537}"/>
                </c:ext>
              </c:extLst>
            </c:dLbl>
            <c:spPr>
              <a:noFill/>
              <a:ln>
                <a:noFill/>
              </a:ln>
              <a:effectLst/>
            </c:spPr>
            <c:txPr>
              <a:bodyPr wrap="square" lIns="38100" tIns="19050" rIns="38100" bIns="19050" anchor="ctr">
                <a:spAutoFit/>
              </a:bodyPr>
              <a:lstStyle/>
              <a:p>
                <a:pPr>
                  <a:defRPr sz="1800">
                    <a:latin typeface="Aptos" panose="020B00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Summary!$B$48:$AP$48</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Summary!$B$62:$AP$62</c:f>
              <c:numCache>
                <c:formatCode>#,##0.0</c:formatCode>
                <c:ptCount val="41"/>
                <c:pt idx="0">
                  <c:v>47</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47</c:v>
                </c:pt>
              </c:numCache>
            </c:numRef>
          </c:val>
          <c:smooth val="0"/>
          <c:extLst>
            <c:ext xmlns:c16="http://schemas.microsoft.com/office/drawing/2014/chart" uri="{C3380CC4-5D6E-409C-BE32-E72D297353CC}">
              <c16:uniqueId val="{00000012-15F6-4226-BAC8-C4533A9CE537}"/>
            </c:ext>
          </c:extLst>
        </c:ser>
        <c:dLbls>
          <c:showLegendKey val="0"/>
          <c:showVal val="0"/>
          <c:showCatName val="0"/>
          <c:showSerName val="0"/>
          <c:showPercent val="0"/>
          <c:showBubbleSize val="0"/>
        </c:dLbls>
        <c:marker val="1"/>
        <c:smooth val="0"/>
        <c:axId val="45303680"/>
        <c:axId val="45305216"/>
      </c:lineChart>
      <c:catAx>
        <c:axId val="45303680"/>
        <c:scaling>
          <c:orientation val="minMax"/>
        </c:scaling>
        <c:delete val="0"/>
        <c:axPos val="b"/>
        <c:numFmt formatCode="General" sourceLinked="1"/>
        <c:majorTickMark val="out"/>
        <c:minorTickMark val="none"/>
        <c:tickLblPos val="nextTo"/>
        <c:txPr>
          <a:bodyPr rot="0" vert="horz"/>
          <a:lstStyle/>
          <a:p>
            <a:pPr>
              <a:defRPr sz="2400" b="0" i="0" u="none" strike="noStrike" baseline="0">
                <a:solidFill>
                  <a:srgbClr val="000000"/>
                </a:solidFill>
                <a:latin typeface="Aptos" panose="020B0004020202020204" pitchFamily="34" charset="0"/>
                <a:ea typeface="Calibri"/>
                <a:cs typeface="Calibri"/>
              </a:defRPr>
            </a:pPr>
            <a:endParaRPr lang="en-US"/>
          </a:p>
        </c:txPr>
        <c:crossAx val="45305216"/>
        <c:crosses val="autoZero"/>
        <c:auto val="1"/>
        <c:lblAlgn val="ctr"/>
        <c:lblOffset val="100"/>
        <c:tickLblSkip val="5"/>
        <c:tickMarkSkip val="1"/>
        <c:noMultiLvlLbl val="0"/>
      </c:catAx>
      <c:valAx>
        <c:axId val="45305216"/>
        <c:scaling>
          <c:orientation val="minMax"/>
          <c:max val="100"/>
          <c:min val="40"/>
        </c:scaling>
        <c:delete val="0"/>
        <c:axPos val="l"/>
        <c:majorGridlines>
          <c:spPr>
            <a:ln>
              <a:solidFill>
                <a:schemeClr val="bg1">
                  <a:lumMod val="85000"/>
                </a:schemeClr>
              </a:solidFill>
            </a:ln>
          </c:spPr>
        </c:majorGridlines>
        <c:title>
          <c:tx>
            <c:rich>
              <a:bodyPr/>
              <a:lstStyle/>
              <a:p>
                <a:pPr>
                  <a:defRPr sz="2400" b="0" i="0" u="none" strike="noStrike" baseline="0">
                    <a:solidFill>
                      <a:srgbClr val="000000"/>
                    </a:solidFill>
                    <a:latin typeface="Aptos" panose="020B0004020202020204" pitchFamily="34" charset="0"/>
                    <a:ea typeface="Calibri"/>
                    <a:cs typeface="Calibri"/>
                  </a:defRPr>
                </a:pPr>
                <a:r>
                  <a:rPr lang="en-US" sz="2400" b="0" i="0" u="none" strike="noStrike" baseline="0">
                    <a:solidFill>
                      <a:srgbClr val="000000"/>
                    </a:solidFill>
                    <a:latin typeface="Aptos" panose="020B0004020202020204" pitchFamily="34" charset="0"/>
                  </a:rPr>
                  <a:t>Million Metric Tons of CO</a:t>
                </a:r>
                <a:r>
                  <a:rPr lang="en-US" sz="2400" b="0" i="0" u="none" strike="noStrike" baseline="-25000">
                    <a:solidFill>
                      <a:srgbClr val="000000"/>
                    </a:solidFill>
                    <a:latin typeface="Aptos" panose="020B0004020202020204" pitchFamily="34" charset="0"/>
                  </a:rPr>
                  <a:t>2</a:t>
                </a:r>
                <a:r>
                  <a:rPr lang="en-US" sz="2400" b="0" i="0" u="none" strike="noStrike" baseline="0">
                    <a:solidFill>
                      <a:srgbClr val="000000"/>
                    </a:solidFill>
                    <a:latin typeface="Aptos" panose="020B0004020202020204" pitchFamily="34" charset="0"/>
                  </a:rPr>
                  <a:t> equivalent   </a:t>
                </a:r>
              </a:p>
            </c:rich>
          </c:tx>
          <c:overlay val="0"/>
          <c:spPr>
            <a:noFill/>
            <a:ln w="25400">
              <a:noFill/>
            </a:ln>
          </c:spPr>
        </c:title>
        <c:numFmt formatCode="_(* #,##0_);_(* \(#,##0\);_(* &quot;-&quot;_);_(@_)" sourceLinked="0"/>
        <c:majorTickMark val="none"/>
        <c:minorTickMark val="none"/>
        <c:tickLblPos val="nextTo"/>
        <c:txPr>
          <a:bodyPr rot="0" vert="horz"/>
          <a:lstStyle/>
          <a:p>
            <a:pPr>
              <a:defRPr sz="2400" b="0" i="0" u="none" strike="noStrike" baseline="0">
                <a:solidFill>
                  <a:srgbClr val="000000"/>
                </a:solidFill>
                <a:latin typeface="Aptos" panose="020B0004020202020204" pitchFamily="34" charset="0"/>
                <a:ea typeface="Calibri"/>
                <a:cs typeface="Calibri"/>
              </a:defRPr>
            </a:pPr>
            <a:endParaRPr lang="en-US"/>
          </a:p>
        </c:txPr>
        <c:crossAx val="45303680"/>
        <c:crosses val="autoZero"/>
        <c:crossBetween val="midCat"/>
      </c:valAx>
      <c:spPr>
        <a:noFill/>
        <a:ln w="25400">
          <a:noFill/>
        </a:ln>
      </c:spPr>
    </c:plotArea>
    <c:plotVisOnly val="1"/>
    <c:dispBlanksAs val="gap"/>
    <c:showDLblsOverMax val="0"/>
  </c:chart>
  <c:txPr>
    <a:bodyPr/>
    <a:lstStyle/>
    <a:p>
      <a:pPr>
        <a:defRPr sz="24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ptos" panose="020B0004020202020204" pitchFamily="34" charset="0"/>
                <a:ea typeface="+mn-ea"/>
                <a:cs typeface="+mn-cs"/>
              </a:defRPr>
            </a:pPr>
            <a:r>
              <a:rPr lang="en-US">
                <a:solidFill>
                  <a:sysClr val="windowText" lastClr="000000"/>
                </a:solidFill>
                <a:latin typeface="Aptos" panose="020B0004020202020204" pitchFamily="34" charset="0"/>
              </a:rPr>
              <a:t>Massachusetts GHG Emissions  (by Sector)</a:t>
            </a:r>
          </a:p>
        </c:rich>
      </c:tx>
      <c:layout>
        <c:manualLayout>
          <c:xMode val="edge"/>
          <c:yMode val="edge"/>
          <c:x val="0.23735179055070718"/>
          <c:y val="4.085106382978723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6.55421412678516E-2"/>
          <c:y val="0.12626382978723405"/>
          <c:w val="0.68316600358749924"/>
          <c:h val="0.77006560562908355"/>
        </c:manualLayout>
      </c:layout>
      <c:lineChart>
        <c:grouping val="standard"/>
        <c:varyColors val="0"/>
        <c:ser>
          <c:idx val="1"/>
          <c:order val="0"/>
          <c:tx>
            <c:strRef>
              <c:f>Process!$A$21</c:f>
              <c:strCache>
                <c:ptCount val="1"/>
                <c:pt idx="0">
                  <c:v>Transportation CO2e from Fuel Combustion</c:v>
                </c:pt>
              </c:strCache>
            </c:strRef>
          </c:tx>
          <c:spPr>
            <a:ln w="28575" cap="rnd">
              <a:solidFill>
                <a:schemeClr val="accent4">
                  <a:lumMod val="75000"/>
                </a:schemeClr>
              </a:solidFill>
              <a:round/>
            </a:ln>
            <a:effectLst/>
          </c:spPr>
          <c:marker>
            <c:symbol val="square"/>
            <c:size val="6"/>
            <c:spPr>
              <a:solidFill>
                <a:schemeClr val="accent4">
                  <a:lumMod val="20000"/>
                  <a:lumOff val="80000"/>
                </a:schemeClr>
              </a:solidFill>
              <a:ln w="9525">
                <a:solidFill>
                  <a:schemeClr val="accent4">
                    <a:lumMod val="75000"/>
                  </a:schemeClr>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Process!$B$21:$AI$21</c:f>
              <c:numCache>
                <c:formatCode>#,##0.0</c:formatCode>
                <c:ptCount val="34"/>
                <c:pt idx="0">
                  <c:v>29.581745501205152</c:v>
                </c:pt>
                <c:pt idx="1">
                  <c:v>28.007934560130941</c:v>
                </c:pt>
                <c:pt idx="2">
                  <c:v>27.563240820066049</c:v>
                </c:pt>
                <c:pt idx="3">
                  <c:v>27.772344463031306</c:v>
                </c:pt>
                <c:pt idx="4">
                  <c:v>28.042522309337134</c:v>
                </c:pt>
                <c:pt idx="5">
                  <c:v>28.704754954067852</c:v>
                </c:pt>
                <c:pt idx="6">
                  <c:v>29.563067414078876</c:v>
                </c:pt>
                <c:pt idx="7">
                  <c:v>29.897537474524093</c:v>
                </c:pt>
                <c:pt idx="8">
                  <c:v>30.181050408053974</c:v>
                </c:pt>
                <c:pt idx="9">
                  <c:v>30.789867518520762</c:v>
                </c:pt>
                <c:pt idx="10">
                  <c:v>31.933223453237744</c:v>
                </c:pt>
                <c:pt idx="11">
                  <c:v>31.42992969847694</c:v>
                </c:pt>
                <c:pt idx="12">
                  <c:v>31.574075255538787</c:v>
                </c:pt>
                <c:pt idx="13">
                  <c:v>31.97471459221569</c:v>
                </c:pt>
                <c:pt idx="14">
                  <c:v>33.213685399354738</c:v>
                </c:pt>
                <c:pt idx="15">
                  <c:v>33.172330863894125</c:v>
                </c:pt>
                <c:pt idx="16">
                  <c:v>32.279926174657945</c:v>
                </c:pt>
                <c:pt idx="17">
                  <c:v>32.531308872264191</c:v>
                </c:pt>
                <c:pt idx="18">
                  <c:v>31.531388451441796</c:v>
                </c:pt>
                <c:pt idx="19">
                  <c:v>29.577725512467968</c:v>
                </c:pt>
                <c:pt idx="20">
                  <c:v>29.777150721285388</c:v>
                </c:pt>
                <c:pt idx="21">
                  <c:v>29.696806879044935</c:v>
                </c:pt>
                <c:pt idx="22">
                  <c:v>29.109024991059549</c:v>
                </c:pt>
                <c:pt idx="23">
                  <c:v>30.358885111491265</c:v>
                </c:pt>
                <c:pt idx="24">
                  <c:v>28.534881580560413</c:v>
                </c:pt>
                <c:pt idx="25">
                  <c:v>28.953989807069522</c:v>
                </c:pt>
                <c:pt idx="26">
                  <c:v>29.294609318853226</c:v>
                </c:pt>
                <c:pt idx="27">
                  <c:v>28.737551562426354</c:v>
                </c:pt>
                <c:pt idx="28">
                  <c:v>29.329106616129806</c:v>
                </c:pt>
                <c:pt idx="29">
                  <c:v>29.076974889794318</c:v>
                </c:pt>
                <c:pt idx="30">
                  <c:v>22.943498665902066</c:v>
                </c:pt>
                <c:pt idx="31">
                  <c:v>25.675300072198549</c:v>
                </c:pt>
                <c:pt idx="32">
                  <c:v>26.243543311499938</c:v>
                </c:pt>
                <c:pt idx="33">
                  <c:v>26.290528324068958</c:v>
                </c:pt>
              </c:numCache>
            </c:numRef>
          </c:val>
          <c:smooth val="0"/>
          <c:extLst>
            <c:ext xmlns:c16="http://schemas.microsoft.com/office/drawing/2014/chart" uri="{C3380CC4-5D6E-409C-BE32-E72D297353CC}">
              <c16:uniqueId val="{00000001-4215-401D-83C2-6A589236FE03}"/>
            </c:ext>
          </c:extLst>
        </c:ser>
        <c:ser>
          <c:idx val="0"/>
          <c:order val="1"/>
          <c:tx>
            <c:strRef>
              <c:f>Process!$A$9</c:f>
              <c:strCache>
                <c:ptCount val="1"/>
                <c:pt idx="0">
                  <c:v>Residential CO2e from Fuel Combustion</c:v>
                </c:pt>
              </c:strCache>
            </c:strRef>
          </c:tx>
          <c:spPr>
            <a:ln w="28575" cap="rnd">
              <a:solidFill>
                <a:schemeClr val="tx2">
                  <a:lumMod val="60000"/>
                  <a:lumOff val="40000"/>
                </a:schemeClr>
              </a:solidFill>
              <a:round/>
            </a:ln>
            <a:effectLst/>
          </c:spPr>
          <c:marker>
            <c:symbol val="circle"/>
            <c:size val="6"/>
            <c:spPr>
              <a:solidFill>
                <a:schemeClr val="tx2">
                  <a:lumMod val="20000"/>
                  <a:lumOff val="80000"/>
                </a:schemeClr>
              </a:solidFill>
              <a:ln w="9525">
                <a:solidFill>
                  <a:schemeClr val="accent1"/>
                </a:solidFill>
              </a:ln>
              <a:effectLst/>
            </c:spPr>
          </c:marker>
          <c:val>
            <c:numRef>
              <c:f>Process!$B$9:$AI$9</c:f>
              <c:numCache>
                <c:formatCode>#,##0.0</c:formatCode>
                <c:ptCount val="34"/>
                <c:pt idx="0">
                  <c:v>15.31365040534536</c:v>
                </c:pt>
                <c:pt idx="1">
                  <c:v>14.518561901071031</c:v>
                </c:pt>
                <c:pt idx="2">
                  <c:v>16.637356745667098</c:v>
                </c:pt>
                <c:pt idx="3">
                  <c:v>16.765001626446427</c:v>
                </c:pt>
                <c:pt idx="4">
                  <c:v>16.5798858667393</c:v>
                </c:pt>
                <c:pt idx="5">
                  <c:v>14.981382499081906</c:v>
                </c:pt>
                <c:pt idx="6">
                  <c:v>14.782858365913283</c:v>
                </c:pt>
                <c:pt idx="7">
                  <c:v>14.564592342096235</c:v>
                </c:pt>
                <c:pt idx="8">
                  <c:v>13.354760517636455</c:v>
                </c:pt>
                <c:pt idx="9">
                  <c:v>14.184525556803141</c:v>
                </c:pt>
                <c:pt idx="10">
                  <c:v>15.873185523164093</c:v>
                </c:pt>
                <c:pt idx="11">
                  <c:v>16.198710998491727</c:v>
                </c:pt>
                <c:pt idx="12">
                  <c:v>16.119354900942991</c:v>
                </c:pt>
                <c:pt idx="13">
                  <c:v>16.600836369533869</c:v>
                </c:pt>
                <c:pt idx="14">
                  <c:v>15.196403031679685</c:v>
                </c:pt>
                <c:pt idx="15">
                  <c:v>15.024695557999227</c:v>
                </c:pt>
                <c:pt idx="16">
                  <c:v>12.923179297666044</c:v>
                </c:pt>
                <c:pt idx="17">
                  <c:v>13.604230714044231</c:v>
                </c:pt>
                <c:pt idx="18">
                  <c:v>14.483158972300863</c:v>
                </c:pt>
                <c:pt idx="19">
                  <c:v>13.98678803586758</c:v>
                </c:pt>
                <c:pt idx="20">
                  <c:v>13.730480782578111</c:v>
                </c:pt>
                <c:pt idx="21">
                  <c:v>13.745840787844321</c:v>
                </c:pt>
                <c:pt idx="22">
                  <c:v>11.893764667017985</c:v>
                </c:pt>
                <c:pt idx="23">
                  <c:v>12.423602730416979</c:v>
                </c:pt>
                <c:pt idx="24">
                  <c:v>13.752359852039337</c:v>
                </c:pt>
                <c:pt idx="25">
                  <c:v>13.664149986754941</c:v>
                </c:pt>
                <c:pt idx="26">
                  <c:v>11.426913567612464</c:v>
                </c:pt>
                <c:pt idx="27">
                  <c:v>12.417746232981566</c:v>
                </c:pt>
                <c:pt idx="28">
                  <c:v>13.412382059760446</c:v>
                </c:pt>
                <c:pt idx="29">
                  <c:v>13.749066679828145</c:v>
                </c:pt>
                <c:pt idx="30">
                  <c:v>12.234288890840196</c:v>
                </c:pt>
                <c:pt idx="31">
                  <c:v>12.614889979771682</c:v>
                </c:pt>
                <c:pt idx="32">
                  <c:v>13.035171753664676</c:v>
                </c:pt>
                <c:pt idx="33">
                  <c:v>11.849074030388028</c:v>
                </c:pt>
              </c:numCache>
            </c:numRef>
          </c:val>
          <c:smooth val="0"/>
          <c:extLst>
            <c:ext xmlns:c16="http://schemas.microsoft.com/office/drawing/2014/chart" uri="{C3380CC4-5D6E-409C-BE32-E72D297353CC}">
              <c16:uniqueId val="{00000007-4215-401D-83C2-6A589236FE03}"/>
            </c:ext>
          </c:extLst>
        </c:ser>
        <c:ser>
          <c:idx val="4"/>
          <c:order val="2"/>
          <c:tx>
            <c:strRef>
              <c:f>Process!$A$24</c:f>
              <c:strCache>
                <c:ptCount val="1"/>
                <c:pt idx="0">
                  <c:v>Electricity Total CO2e from Fuel Combustion</c:v>
                </c:pt>
              </c:strCache>
            </c:strRef>
          </c:tx>
          <c:spPr>
            <a:ln w="28575" cap="rnd">
              <a:solidFill>
                <a:srgbClr val="FF99FF"/>
              </a:solidFill>
              <a:round/>
            </a:ln>
            <a:effectLst/>
          </c:spPr>
          <c:marker>
            <c:symbol val="triangle"/>
            <c:size val="6"/>
            <c:spPr>
              <a:solidFill>
                <a:srgbClr val="FFCCFF"/>
              </a:solidFill>
              <a:ln w="9525">
                <a:solidFill>
                  <a:srgbClr val="FF99FF"/>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Process!$B$24:$AI$24</c:f>
              <c:numCache>
                <c:formatCode>#,##0.0</c:formatCode>
                <c:ptCount val="34"/>
                <c:pt idx="0">
                  <c:v>28.162431330116149</c:v>
                </c:pt>
                <c:pt idx="1">
                  <c:v>28.264086112233116</c:v>
                </c:pt>
                <c:pt idx="2">
                  <c:v>27.083465220071602</c:v>
                </c:pt>
                <c:pt idx="3">
                  <c:v>25.451998051107321</c:v>
                </c:pt>
                <c:pt idx="4">
                  <c:v>25.542371654754771</c:v>
                </c:pt>
                <c:pt idx="5">
                  <c:v>24.730600597448042</c:v>
                </c:pt>
                <c:pt idx="6">
                  <c:v>24.51855665029958</c:v>
                </c:pt>
                <c:pt idx="7">
                  <c:v>28.637910886582169</c:v>
                </c:pt>
                <c:pt idx="8">
                  <c:v>29.274838523518994</c:v>
                </c:pt>
                <c:pt idx="9">
                  <c:v>27.873815963592197</c:v>
                </c:pt>
                <c:pt idx="10">
                  <c:v>27.07555759560249</c:v>
                </c:pt>
                <c:pt idx="11">
                  <c:v>26.559330901711363</c:v>
                </c:pt>
                <c:pt idx="12">
                  <c:v>28.147865813381259</c:v>
                </c:pt>
                <c:pt idx="13">
                  <c:v>29.637443235091379</c:v>
                </c:pt>
                <c:pt idx="14">
                  <c:v>28.52854665158296</c:v>
                </c:pt>
                <c:pt idx="15">
                  <c:v>29.976865531050549</c:v>
                </c:pt>
                <c:pt idx="16">
                  <c:v>26.19038965355578</c:v>
                </c:pt>
                <c:pt idx="17">
                  <c:v>27.844045975987939</c:v>
                </c:pt>
                <c:pt idx="18">
                  <c:v>25.13013800459893</c:v>
                </c:pt>
                <c:pt idx="19">
                  <c:v>22.503797660883695</c:v>
                </c:pt>
                <c:pt idx="20">
                  <c:v>23.211386378367123</c:v>
                </c:pt>
                <c:pt idx="21">
                  <c:v>18.281940644785681</c:v>
                </c:pt>
                <c:pt idx="22">
                  <c:v>15.861730730057928</c:v>
                </c:pt>
                <c:pt idx="23">
                  <c:v>16.4512569723315</c:v>
                </c:pt>
                <c:pt idx="24">
                  <c:v>14.88463344566345</c:v>
                </c:pt>
                <c:pt idx="25">
                  <c:v>15.686193768215984</c:v>
                </c:pt>
                <c:pt idx="26">
                  <c:v>14.734081239424333</c:v>
                </c:pt>
                <c:pt idx="27">
                  <c:v>13.614370068180438</c:v>
                </c:pt>
                <c:pt idx="28">
                  <c:v>12.134257842909928</c:v>
                </c:pt>
                <c:pt idx="29">
                  <c:v>10.722427778971639</c:v>
                </c:pt>
                <c:pt idx="30">
                  <c:v>12.806025714474893</c:v>
                </c:pt>
                <c:pt idx="31">
                  <c:v>12.487184309944796</c:v>
                </c:pt>
                <c:pt idx="32">
                  <c:v>12.230393622083517</c:v>
                </c:pt>
                <c:pt idx="33">
                  <c:v>11.260706072606789</c:v>
                </c:pt>
              </c:numCache>
            </c:numRef>
          </c:val>
          <c:smooth val="0"/>
          <c:extLst>
            <c:ext xmlns:c16="http://schemas.microsoft.com/office/drawing/2014/chart" uri="{C3380CC4-5D6E-409C-BE32-E72D297353CC}">
              <c16:uniqueId val="{00000002-4215-401D-83C2-6A589236FE03}"/>
            </c:ext>
          </c:extLst>
        </c:ser>
        <c:ser>
          <c:idx val="2"/>
          <c:order val="3"/>
          <c:tx>
            <c:strRef>
              <c:f>Process!$A$12</c:f>
              <c:strCache>
                <c:ptCount val="1"/>
                <c:pt idx="0">
                  <c:v>Commercial CO2e from Fuel Combustion</c:v>
                </c:pt>
              </c:strCache>
            </c:strRef>
          </c:tx>
          <c:spPr>
            <a:ln w="28575" cap="rnd">
              <a:solidFill>
                <a:schemeClr val="tx2">
                  <a:lumMod val="50000"/>
                </a:schemeClr>
              </a:solidFill>
              <a:round/>
            </a:ln>
            <a:effectLst/>
          </c:spPr>
          <c:marker>
            <c:symbol val="square"/>
            <c:size val="6"/>
            <c:spPr>
              <a:solidFill>
                <a:schemeClr val="accent1">
                  <a:lumMod val="20000"/>
                  <a:lumOff val="80000"/>
                </a:schemeClr>
              </a:solidFill>
              <a:ln w="9525">
                <a:solidFill>
                  <a:schemeClr val="tx2">
                    <a:lumMod val="50000"/>
                  </a:schemeClr>
                </a:solidFill>
              </a:ln>
              <a:effectLst/>
            </c:spPr>
          </c:marker>
          <c:val>
            <c:numRef>
              <c:f>Process!$B$12:$AI$12</c:f>
              <c:numCache>
                <c:formatCode>#,##0.0</c:formatCode>
                <c:ptCount val="34"/>
                <c:pt idx="0">
                  <c:v>8.4498373292805997</c:v>
                </c:pt>
                <c:pt idx="1">
                  <c:v>9.2327174055964747</c:v>
                </c:pt>
                <c:pt idx="2">
                  <c:v>8.9900720556205993</c:v>
                </c:pt>
                <c:pt idx="3">
                  <c:v>8.0482362214060164</c:v>
                </c:pt>
                <c:pt idx="4">
                  <c:v>8.921629042544625</c:v>
                </c:pt>
                <c:pt idx="5">
                  <c:v>9.0187998178736368</c:v>
                </c:pt>
                <c:pt idx="6">
                  <c:v>9.1210152080864475</c:v>
                </c:pt>
                <c:pt idx="7">
                  <c:v>9.5098828363490036</c:v>
                </c:pt>
                <c:pt idx="8">
                  <c:v>8.1251718135853483</c:v>
                </c:pt>
                <c:pt idx="9">
                  <c:v>6.2393751516955165</c:v>
                </c:pt>
                <c:pt idx="10">
                  <c:v>6.8430242216658304</c:v>
                </c:pt>
                <c:pt idx="11">
                  <c:v>5.8080883608675817</c:v>
                </c:pt>
                <c:pt idx="12">
                  <c:v>5.9304043098722525</c:v>
                </c:pt>
                <c:pt idx="13">
                  <c:v>7.1634713428097143</c:v>
                </c:pt>
                <c:pt idx="14">
                  <c:v>6.5866158927197862</c:v>
                </c:pt>
                <c:pt idx="15">
                  <c:v>6.7227133446511402</c:v>
                </c:pt>
                <c:pt idx="16">
                  <c:v>5.0430993802870772</c:v>
                </c:pt>
                <c:pt idx="17">
                  <c:v>5.3760374991415771</c:v>
                </c:pt>
                <c:pt idx="18">
                  <c:v>5.6229900450532995</c:v>
                </c:pt>
                <c:pt idx="19">
                  <c:v>5.8286978660278645</c:v>
                </c:pt>
                <c:pt idx="20">
                  <c:v>6.7611013025421904</c:v>
                </c:pt>
                <c:pt idx="21">
                  <c:v>6.3698006006574017</c:v>
                </c:pt>
                <c:pt idx="22">
                  <c:v>5.2680916237270869</c:v>
                </c:pt>
                <c:pt idx="23">
                  <c:v>6.7992810511147983</c:v>
                </c:pt>
                <c:pt idx="24">
                  <c:v>7.1844944219819409</c:v>
                </c:pt>
                <c:pt idx="25">
                  <c:v>7.5880162987844058</c:v>
                </c:pt>
                <c:pt idx="26">
                  <c:v>7.0017819335319551</c:v>
                </c:pt>
                <c:pt idx="27">
                  <c:v>7.3469777355165595</c:v>
                </c:pt>
                <c:pt idx="28">
                  <c:v>7.8869271219136996</c:v>
                </c:pt>
                <c:pt idx="29">
                  <c:v>8.0663642861157765</c:v>
                </c:pt>
                <c:pt idx="30">
                  <c:v>7.2632699026008742</c:v>
                </c:pt>
                <c:pt idx="31">
                  <c:v>7.3937392268636524</c:v>
                </c:pt>
                <c:pt idx="32">
                  <c:v>8.1387980758273972</c:v>
                </c:pt>
                <c:pt idx="33">
                  <c:v>7.5548664774684742</c:v>
                </c:pt>
              </c:numCache>
            </c:numRef>
          </c:val>
          <c:smooth val="0"/>
          <c:extLst>
            <c:ext xmlns:c16="http://schemas.microsoft.com/office/drawing/2014/chart" uri="{C3380CC4-5D6E-409C-BE32-E72D297353CC}">
              <c16:uniqueId val="{00000008-4215-401D-83C2-6A589236FE03}"/>
            </c:ext>
          </c:extLst>
        </c:ser>
        <c:ser>
          <c:idx val="12"/>
          <c:order val="4"/>
          <c:tx>
            <c:strRef>
              <c:f>Process!$A$32</c:f>
              <c:strCache>
                <c:ptCount val="1"/>
                <c:pt idx="0">
                  <c:v>Industrial Processes (CO2e)</c:v>
                </c:pt>
              </c:strCache>
            </c:strRef>
          </c:tx>
          <c:spPr>
            <a:ln w="28575" cap="rnd">
              <a:solidFill>
                <a:schemeClr val="accent3">
                  <a:lumMod val="75000"/>
                </a:schemeClr>
              </a:solidFill>
              <a:prstDash val="sysDash"/>
              <a:round/>
            </a:ln>
            <a:effectLst/>
          </c:spPr>
          <c:marker>
            <c:symbol val="diamond"/>
            <c:size val="7"/>
            <c:spPr>
              <a:solidFill>
                <a:schemeClr val="accent3">
                  <a:lumMod val="60000"/>
                  <a:lumOff val="40000"/>
                </a:schemeClr>
              </a:solidFill>
              <a:ln w="9525">
                <a:solidFill>
                  <a:srgbClr val="00B050"/>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Process!$B$32:$AI$32</c:f>
              <c:numCache>
                <c:formatCode>#,##0.0</c:formatCode>
                <c:ptCount val="34"/>
                <c:pt idx="0">
                  <c:v>0.65625199051509786</c:v>
                </c:pt>
                <c:pt idx="1">
                  <c:v>0.71515416896556006</c:v>
                </c:pt>
                <c:pt idx="2">
                  <c:v>0.73849101987423305</c:v>
                </c:pt>
                <c:pt idx="3">
                  <c:v>0.84634390373530799</c:v>
                </c:pt>
                <c:pt idx="4">
                  <c:v>0.99268777160783084</c:v>
                </c:pt>
                <c:pt idx="5">
                  <c:v>1.2942356697070025</c:v>
                </c:pt>
                <c:pt idx="6">
                  <c:v>1.5173940091650766</c:v>
                </c:pt>
                <c:pt idx="7">
                  <c:v>1.7296705098776286</c:v>
                </c:pt>
                <c:pt idx="8">
                  <c:v>2.0517836695231537</c:v>
                </c:pt>
                <c:pt idx="9">
                  <c:v>2.1722864635428154</c:v>
                </c:pt>
                <c:pt idx="10">
                  <c:v>2.2344480754691962</c:v>
                </c:pt>
                <c:pt idx="11">
                  <c:v>2.2873664104114422</c:v>
                </c:pt>
                <c:pt idx="12">
                  <c:v>2.3543108214792743</c:v>
                </c:pt>
                <c:pt idx="13">
                  <c:v>2.4553345934789768</c:v>
                </c:pt>
                <c:pt idx="14">
                  <c:v>2.3943985038673308</c:v>
                </c:pt>
                <c:pt idx="15">
                  <c:v>2.491187372700066</c:v>
                </c:pt>
                <c:pt idx="16">
                  <c:v>2.6398819487247986</c:v>
                </c:pt>
                <c:pt idx="17">
                  <c:v>2.7783370634740137</c:v>
                </c:pt>
                <c:pt idx="18">
                  <c:v>2.927455558375383</c:v>
                </c:pt>
                <c:pt idx="19">
                  <c:v>3.375736296088339</c:v>
                </c:pt>
                <c:pt idx="20">
                  <c:v>2.8556574039997655</c:v>
                </c:pt>
                <c:pt idx="21">
                  <c:v>2.8359689544329019</c:v>
                </c:pt>
                <c:pt idx="22">
                  <c:v>3.1262089958054671</c:v>
                </c:pt>
                <c:pt idx="23">
                  <c:v>3.8058037367623898</c:v>
                </c:pt>
                <c:pt idx="24">
                  <c:v>4.2054910787649353</c:v>
                </c:pt>
                <c:pt idx="25">
                  <c:v>3.7540424332673563</c:v>
                </c:pt>
                <c:pt idx="26">
                  <c:v>3.8048005415260682</c:v>
                </c:pt>
                <c:pt idx="27">
                  <c:v>3.3089432868880282</c:v>
                </c:pt>
                <c:pt idx="28">
                  <c:v>3.8135695724326135</c:v>
                </c:pt>
                <c:pt idx="29">
                  <c:v>3.6460572396013302</c:v>
                </c:pt>
                <c:pt idx="30">
                  <c:v>4.0321955751119818</c:v>
                </c:pt>
                <c:pt idx="31">
                  <c:v>3.9978101361882903</c:v>
                </c:pt>
                <c:pt idx="32">
                  <c:v>3.4348267758324091</c:v>
                </c:pt>
                <c:pt idx="33">
                  <c:v>3.5821232543038848</c:v>
                </c:pt>
              </c:numCache>
            </c:numRef>
          </c:val>
          <c:smooth val="0"/>
          <c:extLst>
            <c:ext xmlns:c16="http://schemas.microsoft.com/office/drawing/2014/chart" uri="{C3380CC4-5D6E-409C-BE32-E72D297353CC}">
              <c16:uniqueId val="{00000004-4215-401D-83C2-6A589236FE03}"/>
            </c:ext>
          </c:extLst>
        </c:ser>
        <c:ser>
          <c:idx val="3"/>
          <c:order val="5"/>
          <c:tx>
            <c:strRef>
              <c:f>Process!$A$16</c:f>
              <c:strCache>
                <c:ptCount val="1"/>
                <c:pt idx="0">
                  <c:v>Industrial CO2e from Fuel Combustion</c:v>
                </c:pt>
              </c:strCache>
            </c:strRef>
          </c:tx>
          <c:spPr>
            <a:ln w="28575" cap="rnd">
              <a:solidFill>
                <a:schemeClr val="accent2">
                  <a:lumMod val="75000"/>
                </a:schemeClr>
              </a:solidFill>
              <a:round/>
            </a:ln>
            <a:effectLst/>
          </c:spPr>
          <c:marker>
            <c:symbol val="diamond"/>
            <c:size val="6"/>
            <c:spPr>
              <a:solidFill>
                <a:schemeClr val="accent2">
                  <a:lumMod val="20000"/>
                  <a:lumOff val="80000"/>
                </a:schemeClr>
              </a:solidFill>
              <a:ln w="9525">
                <a:solidFill>
                  <a:schemeClr val="accent2">
                    <a:lumMod val="75000"/>
                  </a:schemeClr>
                </a:solidFill>
              </a:ln>
              <a:effectLst/>
            </c:spPr>
          </c:marker>
          <c:val>
            <c:numRef>
              <c:f>Process!$B$16:$AI$16</c:f>
              <c:numCache>
                <c:formatCode>#,##0.0</c:formatCode>
                <c:ptCount val="34"/>
                <c:pt idx="0">
                  <c:v>5.6055444375748946</c:v>
                </c:pt>
                <c:pt idx="1">
                  <c:v>4.7203306522586423</c:v>
                </c:pt>
                <c:pt idx="2">
                  <c:v>6.4434881590501689</c:v>
                </c:pt>
                <c:pt idx="3">
                  <c:v>6.5995164430121873</c:v>
                </c:pt>
                <c:pt idx="4">
                  <c:v>5.7137275717032194</c:v>
                </c:pt>
                <c:pt idx="5">
                  <c:v>5.0295458063278202</c:v>
                </c:pt>
                <c:pt idx="6">
                  <c:v>5.0110348602786434</c:v>
                </c:pt>
                <c:pt idx="7">
                  <c:v>5.1112421995349511</c:v>
                </c:pt>
                <c:pt idx="8">
                  <c:v>4.808825190094586</c:v>
                </c:pt>
                <c:pt idx="9">
                  <c:v>5.5096311371002367</c:v>
                </c:pt>
                <c:pt idx="10">
                  <c:v>5.3806880710082661</c:v>
                </c:pt>
                <c:pt idx="11">
                  <c:v>6.5330841217154205</c:v>
                </c:pt>
                <c:pt idx="12">
                  <c:v>6.4337930645208612</c:v>
                </c:pt>
                <c:pt idx="13">
                  <c:v>4.3788872742004674</c:v>
                </c:pt>
                <c:pt idx="14">
                  <c:v>4.2709227144122419</c:v>
                </c:pt>
                <c:pt idx="15">
                  <c:v>4.527964290294995</c:v>
                </c:pt>
                <c:pt idx="16">
                  <c:v>4.3980409384451322</c:v>
                </c:pt>
                <c:pt idx="17">
                  <c:v>4.3097813270969629</c:v>
                </c:pt>
                <c:pt idx="18">
                  <c:v>3.9782211484534664</c:v>
                </c:pt>
                <c:pt idx="19">
                  <c:v>3.2713308683350615</c:v>
                </c:pt>
                <c:pt idx="20">
                  <c:v>3.7405476391501797</c:v>
                </c:pt>
                <c:pt idx="21">
                  <c:v>3.8974105246934214</c:v>
                </c:pt>
                <c:pt idx="22">
                  <c:v>3.3496069838342475</c:v>
                </c:pt>
                <c:pt idx="23">
                  <c:v>3.5368624475801331</c:v>
                </c:pt>
                <c:pt idx="24">
                  <c:v>3.4604103256118655</c:v>
                </c:pt>
                <c:pt idx="25">
                  <c:v>3.486507997416604</c:v>
                </c:pt>
                <c:pt idx="26">
                  <c:v>3.273910575910739</c:v>
                </c:pt>
                <c:pt idx="27">
                  <c:v>3.3076976742527324</c:v>
                </c:pt>
                <c:pt idx="28">
                  <c:v>3.3368151235079453</c:v>
                </c:pt>
                <c:pt idx="29">
                  <c:v>3.4149898421526799</c:v>
                </c:pt>
                <c:pt idx="30">
                  <c:v>3.1647813971898953</c:v>
                </c:pt>
                <c:pt idx="31">
                  <c:v>3.3201117725995055</c:v>
                </c:pt>
                <c:pt idx="32">
                  <c:v>3.3385758874359195</c:v>
                </c:pt>
                <c:pt idx="33">
                  <c:v>3.0528433286907695</c:v>
                </c:pt>
              </c:numCache>
            </c:numRef>
          </c:val>
          <c:smooth val="0"/>
          <c:extLst>
            <c:ext xmlns:c16="http://schemas.microsoft.com/office/drawing/2014/chart" uri="{C3380CC4-5D6E-409C-BE32-E72D297353CC}">
              <c16:uniqueId val="{00000009-4215-401D-83C2-6A589236FE03}"/>
            </c:ext>
          </c:extLst>
        </c:ser>
        <c:ser>
          <c:idx val="9"/>
          <c:order val="6"/>
          <c:tx>
            <c:strRef>
              <c:f>Process!$A$29</c:f>
              <c:strCache>
                <c:ptCount val="1"/>
                <c:pt idx="0">
                  <c:v>Natural Gas Systems (CO2e)</c:v>
                </c:pt>
              </c:strCache>
            </c:strRef>
          </c:tx>
          <c:spPr>
            <a:ln w="28575" cap="rnd">
              <a:solidFill>
                <a:schemeClr val="bg1">
                  <a:lumMod val="50000"/>
                </a:schemeClr>
              </a:solidFill>
              <a:round/>
            </a:ln>
            <a:effectLst/>
          </c:spPr>
          <c:marker>
            <c:symbol val="square"/>
            <c:size val="6"/>
            <c:spPr>
              <a:solidFill>
                <a:schemeClr val="bg1">
                  <a:lumMod val="85000"/>
                </a:schemeClr>
              </a:solidFill>
              <a:ln w="9525">
                <a:solidFill>
                  <a:schemeClr val="tx1"/>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Process!$B$29:$AI$29</c:f>
              <c:numCache>
                <c:formatCode>#,##0.0</c:formatCode>
                <c:ptCount val="34"/>
                <c:pt idx="0">
                  <c:v>1.8677651258656023</c:v>
                </c:pt>
                <c:pt idx="1">
                  <c:v>1.852887425897749</c:v>
                </c:pt>
                <c:pt idx="2">
                  <c:v>1.8397743556365584</c:v>
                </c:pt>
                <c:pt idx="3">
                  <c:v>1.7613444610359528</c:v>
                </c:pt>
                <c:pt idx="4">
                  <c:v>1.7049153610944481</c:v>
                </c:pt>
                <c:pt idx="5">
                  <c:v>1.6709702656070302</c:v>
                </c:pt>
                <c:pt idx="6">
                  <c:v>1.5924548496297186</c:v>
                </c:pt>
                <c:pt idx="7">
                  <c:v>1.5411686000890501</c:v>
                </c:pt>
                <c:pt idx="8">
                  <c:v>1.4818949902988792</c:v>
                </c:pt>
                <c:pt idx="9">
                  <c:v>1.4228973383008028</c:v>
                </c:pt>
                <c:pt idx="10">
                  <c:v>1.3849041465119019</c:v>
                </c:pt>
                <c:pt idx="11">
                  <c:v>1.3148628860365357</c:v>
                </c:pt>
                <c:pt idx="12">
                  <c:v>1.2775637306450169</c:v>
                </c:pt>
                <c:pt idx="13">
                  <c:v>1.2248834953868954</c:v>
                </c:pt>
                <c:pt idx="14">
                  <c:v>1.2096454508131458</c:v>
                </c:pt>
                <c:pt idx="15">
                  <c:v>1.116769011294539</c:v>
                </c:pt>
                <c:pt idx="16">
                  <c:v>1.0773854569526293</c:v>
                </c:pt>
                <c:pt idx="17">
                  <c:v>1.0341021055848829</c:v>
                </c:pt>
                <c:pt idx="18">
                  <c:v>1.0261355902109481</c:v>
                </c:pt>
                <c:pt idx="19">
                  <c:v>0.97574211006229161</c:v>
                </c:pt>
                <c:pt idx="20">
                  <c:v>0.98651781200941091</c:v>
                </c:pt>
                <c:pt idx="21">
                  <c:v>0.79998790658513375</c:v>
                </c:pt>
                <c:pt idx="22">
                  <c:v>0.79980448829054251</c:v>
                </c:pt>
                <c:pt idx="23">
                  <c:v>0.78487067159526314</c:v>
                </c:pt>
                <c:pt idx="24">
                  <c:v>0.75976893464181838</c:v>
                </c:pt>
                <c:pt idx="25">
                  <c:v>0.79756121017191395</c:v>
                </c:pt>
                <c:pt idx="26">
                  <c:v>0.77716355555855188</c:v>
                </c:pt>
                <c:pt idx="27">
                  <c:v>0.73524508776400288</c:v>
                </c:pt>
                <c:pt idx="28">
                  <c:v>0.72053532011706112</c:v>
                </c:pt>
                <c:pt idx="29">
                  <c:v>0.71879595083025949</c:v>
                </c:pt>
                <c:pt idx="30">
                  <c:v>0.74193958504154822</c:v>
                </c:pt>
                <c:pt idx="31">
                  <c:v>0.71349693568858774</c:v>
                </c:pt>
                <c:pt idx="32">
                  <c:v>0.73924386892764427</c:v>
                </c:pt>
                <c:pt idx="33">
                  <c:v>0.70636312077249752</c:v>
                </c:pt>
              </c:numCache>
            </c:numRef>
          </c:val>
          <c:smooth val="0"/>
          <c:extLst>
            <c:ext xmlns:c16="http://schemas.microsoft.com/office/drawing/2014/chart" uri="{C3380CC4-5D6E-409C-BE32-E72D297353CC}">
              <c16:uniqueId val="{00000003-4215-401D-83C2-6A589236FE03}"/>
            </c:ext>
          </c:extLst>
        </c:ser>
        <c:ser>
          <c:idx val="17"/>
          <c:order val="7"/>
          <c:tx>
            <c:strRef>
              <c:f>Process!$A$37</c:f>
              <c:strCache>
                <c:ptCount val="1"/>
                <c:pt idx="0">
                  <c:v>Waste (CO2e)</c:v>
                </c:pt>
              </c:strCache>
            </c:strRef>
          </c:tx>
          <c:spPr>
            <a:ln w="28575" cap="rnd">
              <a:solidFill>
                <a:schemeClr val="accent6">
                  <a:lumMod val="75000"/>
                </a:schemeClr>
              </a:solidFill>
              <a:round/>
            </a:ln>
            <a:effectLst/>
          </c:spPr>
          <c:marker>
            <c:symbol val="triangle"/>
            <c:size val="7"/>
            <c:spPr>
              <a:solidFill>
                <a:schemeClr val="accent6">
                  <a:lumMod val="20000"/>
                  <a:lumOff val="80000"/>
                </a:schemeClr>
              </a:solidFill>
              <a:ln w="9525">
                <a:solidFill>
                  <a:schemeClr val="accent6">
                    <a:lumMod val="80000"/>
                    <a:lumOff val="20000"/>
                  </a:schemeClr>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Process!$B$37:$AI$37</c:f>
              <c:numCache>
                <c:formatCode>#,##0.0</c:formatCode>
                <c:ptCount val="34"/>
                <c:pt idx="0">
                  <c:v>2.921734225476742</c:v>
                </c:pt>
                <c:pt idx="1">
                  <c:v>2.9840678785493369</c:v>
                </c:pt>
                <c:pt idx="2">
                  <c:v>2.8838876328600254</c:v>
                </c:pt>
                <c:pt idx="3">
                  <c:v>2.767988379213437</c:v>
                </c:pt>
                <c:pt idx="4">
                  <c:v>2.7563272831925185</c:v>
                </c:pt>
                <c:pt idx="5">
                  <c:v>2.7698744134030142</c:v>
                </c:pt>
                <c:pt idx="6">
                  <c:v>2.3907342903677469</c:v>
                </c:pt>
                <c:pt idx="7">
                  <c:v>1.9258553661170486</c:v>
                </c:pt>
                <c:pt idx="8">
                  <c:v>1.8470510349176412</c:v>
                </c:pt>
                <c:pt idx="9">
                  <c:v>1.8601259693695325</c:v>
                </c:pt>
                <c:pt idx="10">
                  <c:v>1.2371687987727551</c:v>
                </c:pt>
                <c:pt idx="11">
                  <c:v>0.89743217109974072</c:v>
                </c:pt>
                <c:pt idx="12">
                  <c:v>1.27497069222323</c:v>
                </c:pt>
                <c:pt idx="13">
                  <c:v>1.7601777880702896</c:v>
                </c:pt>
                <c:pt idx="14">
                  <c:v>1.5733288085225232</c:v>
                </c:pt>
                <c:pt idx="15">
                  <c:v>1.5961601917909816</c:v>
                </c:pt>
                <c:pt idx="16">
                  <c:v>1.4036673040124485</c:v>
                </c:pt>
                <c:pt idx="17">
                  <c:v>1.3244780695405463</c:v>
                </c:pt>
                <c:pt idx="18">
                  <c:v>1.3333606189633151</c:v>
                </c:pt>
                <c:pt idx="19">
                  <c:v>1.3826638104942759</c:v>
                </c:pt>
                <c:pt idx="20">
                  <c:v>0.86252211000428347</c:v>
                </c:pt>
                <c:pt idx="21">
                  <c:v>0.87728901623181033</c:v>
                </c:pt>
                <c:pt idx="22">
                  <c:v>0.92213671716237322</c:v>
                </c:pt>
                <c:pt idx="23">
                  <c:v>0.82486792566190248</c:v>
                </c:pt>
                <c:pt idx="24">
                  <c:v>0.76938497611745671</c:v>
                </c:pt>
                <c:pt idx="25">
                  <c:v>0.7797634475588433</c:v>
                </c:pt>
                <c:pt idx="26">
                  <c:v>0.74800883134183693</c:v>
                </c:pt>
                <c:pt idx="27">
                  <c:v>0.72212832663956061</c:v>
                </c:pt>
                <c:pt idx="28">
                  <c:v>0.72012362020600407</c:v>
                </c:pt>
                <c:pt idx="29">
                  <c:v>0.72176076297428993</c:v>
                </c:pt>
                <c:pt idx="30">
                  <c:v>0.69725875876728005</c:v>
                </c:pt>
                <c:pt idx="31">
                  <c:v>0.59664069711099754</c:v>
                </c:pt>
                <c:pt idx="32">
                  <c:v>0.58359328081403916</c:v>
                </c:pt>
                <c:pt idx="33">
                  <c:v>0.57033515022009018</c:v>
                </c:pt>
              </c:numCache>
            </c:numRef>
          </c:val>
          <c:smooth val="0"/>
          <c:extLst>
            <c:ext xmlns:c16="http://schemas.microsoft.com/office/drawing/2014/chart" uri="{C3380CC4-5D6E-409C-BE32-E72D297353CC}">
              <c16:uniqueId val="{00000006-4215-401D-83C2-6A589236FE03}"/>
            </c:ext>
          </c:extLst>
        </c:ser>
        <c:ser>
          <c:idx val="16"/>
          <c:order val="8"/>
          <c:tx>
            <c:strRef>
              <c:f>Process!$A$36</c:f>
              <c:strCache>
                <c:ptCount val="1"/>
                <c:pt idx="0">
                  <c:v>Agriculture (CO2e)</c:v>
                </c:pt>
              </c:strCache>
            </c:strRef>
          </c:tx>
          <c:spPr>
            <a:ln w="28575" cap="rnd">
              <a:solidFill>
                <a:schemeClr val="accent3">
                  <a:lumMod val="50000"/>
                </a:schemeClr>
              </a:solidFill>
              <a:round/>
            </a:ln>
            <a:effectLst/>
          </c:spPr>
          <c:marker>
            <c:symbol val="circle"/>
            <c:size val="5"/>
            <c:spPr>
              <a:solidFill>
                <a:schemeClr val="accent3">
                  <a:lumMod val="50000"/>
                </a:schemeClr>
              </a:solidFill>
              <a:ln w="9525">
                <a:solidFill>
                  <a:schemeClr val="accent3">
                    <a:lumMod val="50000"/>
                  </a:schemeClr>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Process!$B$36:$AI$36</c:f>
              <c:numCache>
                <c:formatCode>#,##0.0</c:formatCode>
                <c:ptCount val="34"/>
                <c:pt idx="0">
                  <c:v>0.44610076900597256</c:v>
                </c:pt>
                <c:pt idx="1">
                  <c:v>0.41834925407595686</c:v>
                </c:pt>
                <c:pt idx="2">
                  <c:v>0.42277010500253726</c:v>
                </c:pt>
                <c:pt idx="3">
                  <c:v>0.40732429612640608</c:v>
                </c:pt>
                <c:pt idx="4">
                  <c:v>0.41231470757133476</c:v>
                </c:pt>
                <c:pt idx="5">
                  <c:v>0.40372219462937547</c:v>
                </c:pt>
                <c:pt idx="6">
                  <c:v>0.38410068733773461</c:v>
                </c:pt>
                <c:pt idx="7">
                  <c:v>0.38079571833854936</c:v>
                </c:pt>
                <c:pt idx="8">
                  <c:v>0.38437874218640539</c:v>
                </c:pt>
                <c:pt idx="9">
                  <c:v>0.3899641903290752</c:v>
                </c:pt>
                <c:pt idx="10">
                  <c:v>0.37735447220233193</c:v>
                </c:pt>
                <c:pt idx="11">
                  <c:v>0.35183977292669505</c:v>
                </c:pt>
                <c:pt idx="12">
                  <c:v>0.37328267111605179</c:v>
                </c:pt>
                <c:pt idx="13">
                  <c:v>0.34778308322797141</c:v>
                </c:pt>
                <c:pt idx="14">
                  <c:v>0.33661801945979974</c:v>
                </c:pt>
                <c:pt idx="15">
                  <c:v>0.34057483200373267</c:v>
                </c:pt>
                <c:pt idx="16">
                  <c:v>0.33688832372342137</c:v>
                </c:pt>
                <c:pt idx="17">
                  <c:v>0.31719891632985381</c:v>
                </c:pt>
                <c:pt idx="18">
                  <c:v>0.32570403195908576</c:v>
                </c:pt>
                <c:pt idx="19">
                  <c:v>0.31430210711857087</c:v>
                </c:pt>
                <c:pt idx="20">
                  <c:v>0.33202719256989854</c:v>
                </c:pt>
                <c:pt idx="21">
                  <c:v>0.30451135790296568</c:v>
                </c:pt>
                <c:pt idx="22">
                  <c:v>0.29639379430190099</c:v>
                </c:pt>
                <c:pt idx="23">
                  <c:v>0.29356274504761209</c:v>
                </c:pt>
                <c:pt idx="24">
                  <c:v>0.28090950389183594</c:v>
                </c:pt>
                <c:pt idx="25">
                  <c:v>0.29021465216236209</c:v>
                </c:pt>
                <c:pt idx="26">
                  <c:v>0.26691641776924918</c:v>
                </c:pt>
                <c:pt idx="27">
                  <c:v>0.28552541325288594</c:v>
                </c:pt>
                <c:pt idx="28">
                  <c:v>0.27311310707332914</c:v>
                </c:pt>
                <c:pt idx="29">
                  <c:v>0.26430146871069754</c:v>
                </c:pt>
                <c:pt idx="30">
                  <c:v>0.25337117381936636</c:v>
                </c:pt>
                <c:pt idx="31">
                  <c:v>0.2710732936775046</c:v>
                </c:pt>
                <c:pt idx="32">
                  <c:v>0.25704231685851231</c:v>
                </c:pt>
                <c:pt idx="33">
                  <c:v>0.25654006769458504</c:v>
                </c:pt>
              </c:numCache>
            </c:numRef>
          </c:val>
          <c:smooth val="0"/>
          <c:extLst>
            <c:ext xmlns:c16="http://schemas.microsoft.com/office/drawing/2014/chart" uri="{C3380CC4-5D6E-409C-BE32-E72D297353CC}">
              <c16:uniqueId val="{00000005-4215-401D-83C2-6A589236FE03}"/>
            </c:ext>
          </c:extLst>
        </c:ser>
        <c:dLbls>
          <c:showLegendKey val="0"/>
          <c:showVal val="0"/>
          <c:showCatName val="0"/>
          <c:showSerName val="0"/>
          <c:showPercent val="0"/>
          <c:showBubbleSize val="0"/>
        </c:dLbls>
        <c:marker val="1"/>
        <c:smooth val="0"/>
        <c:axId val="267672959"/>
        <c:axId val="267673439"/>
      </c:lineChart>
      <c:catAx>
        <c:axId val="26767295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crossAx val="267673439"/>
        <c:crosses val="autoZero"/>
        <c:auto val="1"/>
        <c:lblAlgn val="ctr"/>
        <c:lblOffset val="100"/>
        <c:tickLblSkip val="5"/>
        <c:noMultiLvlLbl val="0"/>
      </c:catAx>
      <c:valAx>
        <c:axId val="2676734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r>
                  <a:rPr lang="en-US" sz="1200">
                    <a:latin typeface="Aptos" panose="020B0004020202020204" pitchFamily="34" charset="0"/>
                  </a:rPr>
                  <a:t>Million Metric Tons of CO2 equivalent</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crossAx val="267672959"/>
        <c:crosses val="autoZero"/>
        <c:crossBetween val="midCat"/>
      </c:valAx>
      <c:spPr>
        <a:noFill/>
        <a:ln>
          <a:noFill/>
        </a:ln>
        <a:effectLst/>
      </c:spPr>
    </c:plotArea>
    <c:legend>
      <c:legendPos val="r"/>
      <c:layout>
        <c:manualLayout>
          <c:xMode val="edge"/>
          <c:yMode val="edge"/>
          <c:x val="0.75352307112679229"/>
          <c:y val="1.2441615010889594E-2"/>
          <c:w val="0.23925453946604552"/>
          <c:h val="0.96521011894789743"/>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Massachusetts GHG Emissions from Non-Fuel Combustion</a:t>
            </a:r>
          </a:p>
          <a:p>
            <a:pPr>
              <a:defRPr>
                <a:solidFill>
                  <a:sysClr val="windowText" lastClr="000000"/>
                </a:solidFill>
              </a:defRPr>
            </a:pPr>
            <a:r>
              <a:rPr lang="en-US">
                <a:solidFill>
                  <a:sysClr val="windowText" lastClr="000000"/>
                </a:solidFill>
              </a:rPr>
              <a:t> (by Sector)</a:t>
            </a:r>
          </a:p>
        </c:rich>
      </c:tx>
      <c:layout>
        <c:manualLayout>
          <c:xMode val="edge"/>
          <c:yMode val="edge"/>
          <c:x val="0.17663859244485194"/>
          <c:y val="1.910828025477706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619910456367431"/>
          <c:y val="0.14678343949044587"/>
          <c:w val="0.6327069264529489"/>
          <c:h val="0.67565750539144387"/>
        </c:manualLayout>
      </c:layout>
      <c:lineChart>
        <c:grouping val="standard"/>
        <c:varyColors val="0"/>
        <c:ser>
          <c:idx val="3"/>
          <c:order val="0"/>
          <c:tx>
            <c:strRef>
              <c:f>Process!$A$32</c:f>
              <c:strCache>
                <c:ptCount val="1"/>
                <c:pt idx="0">
                  <c:v>Industrial Processes (CO2e)</c:v>
                </c:pt>
              </c:strCache>
            </c:strRef>
          </c:tx>
          <c:spPr>
            <a:ln w="28575" cap="rnd">
              <a:solidFill>
                <a:schemeClr val="accent2">
                  <a:lumMod val="50000"/>
                </a:schemeClr>
              </a:solidFill>
              <a:round/>
            </a:ln>
            <a:effectLst/>
          </c:spPr>
          <c:marker>
            <c:symbol val="triangle"/>
            <c:size val="7"/>
            <c:spPr>
              <a:solidFill>
                <a:schemeClr val="accent2">
                  <a:lumMod val="20000"/>
                  <a:lumOff val="80000"/>
                </a:schemeClr>
              </a:solidFill>
              <a:ln w="9525">
                <a:solidFill>
                  <a:schemeClr val="accent2">
                    <a:lumMod val="50000"/>
                  </a:schemeClr>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Process!$B$32:$AI$32</c:f>
              <c:numCache>
                <c:formatCode>#,##0.0</c:formatCode>
                <c:ptCount val="34"/>
                <c:pt idx="0">
                  <c:v>0.65625199051509786</c:v>
                </c:pt>
                <c:pt idx="1">
                  <c:v>0.71515416896556006</c:v>
                </c:pt>
                <c:pt idx="2">
                  <c:v>0.73849101987423305</c:v>
                </c:pt>
                <c:pt idx="3">
                  <c:v>0.84634390373530799</c:v>
                </c:pt>
                <c:pt idx="4">
                  <c:v>0.99268777160783084</c:v>
                </c:pt>
                <c:pt idx="5">
                  <c:v>1.2942356697070025</c:v>
                </c:pt>
                <c:pt idx="6">
                  <c:v>1.5173940091650766</c:v>
                </c:pt>
                <c:pt idx="7">
                  <c:v>1.7296705098776286</c:v>
                </c:pt>
                <c:pt idx="8">
                  <c:v>2.0517836695231537</c:v>
                </c:pt>
                <c:pt idx="9">
                  <c:v>2.1722864635428154</c:v>
                </c:pt>
                <c:pt idx="10">
                  <c:v>2.2344480754691962</c:v>
                </c:pt>
                <c:pt idx="11">
                  <c:v>2.2873664104114422</c:v>
                </c:pt>
                <c:pt idx="12">
                  <c:v>2.3543108214792743</c:v>
                </c:pt>
                <c:pt idx="13">
                  <c:v>2.4553345934789768</c:v>
                </c:pt>
                <c:pt idx="14">
                  <c:v>2.3943985038673308</c:v>
                </c:pt>
                <c:pt idx="15">
                  <c:v>2.491187372700066</c:v>
                </c:pt>
                <c:pt idx="16">
                  <c:v>2.6398819487247986</c:v>
                </c:pt>
                <c:pt idx="17">
                  <c:v>2.7783370634740137</c:v>
                </c:pt>
                <c:pt idx="18">
                  <c:v>2.927455558375383</c:v>
                </c:pt>
                <c:pt idx="19">
                  <c:v>3.375736296088339</c:v>
                </c:pt>
                <c:pt idx="20">
                  <c:v>2.8556574039997655</c:v>
                </c:pt>
                <c:pt idx="21">
                  <c:v>2.8359689544329019</c:v>
                </c:pt>
                <c:pt idx="22">
                  <c:v>3.1262089958054671</c:v>
                </c:pt>
                <c:pt idx="23">
                  <c:v>3.8058037367623898</c:v>
                </c:pt>
                <c:pt idx="24">
                  <c:v>4.2054910787649353</c:v>
                </c:pt>
                <c:pt idx="25">
                  <c:v>3.7540424332673563</c:v>
                </c:pt>
                <c:pt idx="26">
                  <c:v>3.8048005415260682</c:v>
                </c:pt>
                <c:pt idx="27">
                  <c:v>3.3089432868880282</c:v>
                </c:pt>
                <c:pt idx="28">
                  <c:v>3.8135695724326135</c:v>
                </c:pt>
                <c:pt idx="29">
                  <c:v>3.6460572396013302</c:v>
                </c:pt>
                <c:pt idx="30">
                  <c:v>4.0321955751119818</c:v>
                </c:pt>
                <c:pt idx="31">
                  <c:v>3.9978101361882903</c:v>
                </c:pt>
                <c:pt idx="32">
                  <c:v>3.4348267758324091</c:v>
                </c:pt>
                <c:pt idx="33">
                  <c:v>3.5821232543038848</c:v>
                </c:pt>
              </c:numCache>
            </c:numRef>
          </c:val>
          <c:smooth val="0"/>
          <c:extLst>
            <c:ext xmlns:c16="http://schemas.microsoft.com/office/drawing/2014/chart" uri="{C3380CC4-5D6E-409C-BE32-E72D297353CC}">
              <c16:uniqueId val="{00000001-1E22-4A25-89DE-C9C38BE66C5B}"/>
            </c:ext>
          </c:extLst>
        </c:ser>
        <c:ser>
          <c:idx val="0"/>
          <c:order val="1"/>
          <c:tx>
            <c:strRef>
              <c:f>Process!$A$29</c:f>
              <c:strCache>
                <c:ptCount val="1"/>
                <c:pt idx="0">
                  <c:v>Natural Gas Systems (CO2e)</c:v>
                </c:pt>
              </c:strCache>
            </c:strRef>
          </c:tx>
          <c:spPr>
            <a:ln w="28575" cap="rnd">
              <a:solidFill>
                <a:schemeClr val="bg1">
                  <a:lumMod val="50000"/>
                </a:schemeClr>
              </a:solidFill>
              <a:round/>
            </a:ln>
            <a:effectLst/>
          </c:spPr>
          <c:marker>
            <c:symbol val="square"/>
            <c:size val="7"/>
            <c:spPr>
              <a:solidFill>
                <a:schemeClr val="bg1">
                  <a:lumMod val="85000"/>
                </a:schemeClr>
              </a:solidFill>
              <a:ln w="9525">
                <a:solidFill>
                  <a:schemeClr val="bg1">
                    <a:lumMod val="50000"/>
                  </a:schemeClr>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Process!$B$29:$AI$29</c:f>
              <c:numCache>
                <c:formatCode>#,##0.0</c:formatCode>
                <c:ptCount val="34"/>
                <c:pt idx="0">
                  <c:v>1.8677651258656023</c:v>
                </c:pt>
                <c:pt idx="1">
                  <c:v>1.852887425897749</c:v>
                </c:pt>
                <c:pt idx="2">
                  <c:v>1.8397743556365584</c:v>
                </c:pt>
                <c:pt idx="3">
                  <c:v>1.7613444610359528</c:v>
                </c:pt>
                <c:pt idx="4">
                  <c:v>1.7049153610944481</c:v>
                </c:pt>
                <c:pt idx="5">
                  <c:v>1.6709702656070302</c:v>
                </c:pt>
                <c:pt idx="6">
                  <c:v>1.5924548496297186</c:v>
                </c:pt>
                <c:pt idx="7">
                  <c:v>1.5411686000890501</c:v>
                </c:pt>
                <c:pt idx="8">
                  <c:v>1.4818949902988792</c:v>
                </c:pt>
                <c:pt idx="9">
                  <c:v>1.4228973383008028</c:v>
                </c:pt>
                <c:pt idx="10">
                  <c:v>1.3849041465119019</c:v>
                </c:pt>
                <c:pt idx="11">
                  <c:v>1.3148628860365357</c:v>
                </c:pt>
                <c:pt idx="12">
                  <c:v>1.2775637306450169</c:v>
                </c:pt>
                <c:pt idx="13">
                  <c:v>1.2248834953868954</c:v>
                </c:pt>
                <c:pt idx="14">
                  <c:v>1.2096454508131458</c:v>
                </c:pt>
                <c:pt idx="15">
                  <c:v>1.116769011294539</c:v>
                </c:pt>
                <c:pt idx="16">
                  <c:v>1.0773854569526293</c:v>
                </c:pt>
                <c:pt idx="17">
                  <c:v>1.0341021055848829</c:v>
                </c:pt>
                <c:pt idx="18">
                  <c:v>1.0261355902109481</c:v>
                </c:pt>
                <c:pt idx="19">
                  <c:v>0.97574211006229161</c:v>
                </c:pt>
                <c:pt idx="20">
                  <c:v>0.98651781200941091</c:v>
                </c:pt>
                <c:pt idx="21">
                  <c:v>0.79998790658513375</c:v>
                </c:pt>
                <c:pt idx="22">
                  <c:v>0.79980448829054251</c:v>
                </c:pt>
                <c:pt idx="23">
                  <c:v>0.78487067159526314</c:v>
                </c:pt>
                <c:pt idx="24">
                  <c:v>0.75976893464181838</c:v>
                </c:pt>
                <c:pt idx="25">
                  <c:v>0.79756121017191395</c:v>
                </c:pt>
                <c:pt idx="26">
                  <c:v>0.77716355555855188</c:v>
                </c:pt>
                <c:pt idx="27">
                  <c:v>0.73524508776400288</c:v>
                </c:pt>
                <c:pt idx="28">
                  <c:v>0.72053532011706112</c:v>
                </c:pt>
                <c:pt idx="29">
                  <c:v>0.71879595083025949</c:v>
                </c:pt>
                <c:pt idx="30">
                  <c:v>0.74193958504154822</c:v>
                </c:pt>
                <c:pt idx="31">
                  <c:v>0.71349693568858774</c:v>
                </c:pt>
                <c:pt idx="32">
                  <c:v>0.73924386892764427</c:v>
                </c:pt>
                <c:pt idx="33">
                  <c:v>0.70636312077249752</c:v>
                </c:pt>
              </c:numCache>
            </c:numRef>
          </c:val>
          <c:smooth val="0"/>
          <c:extLst>
            <c:ext xmlns:c16="http://schemas.microsoft.com/office/drawing/2014/chart" uri="{C3380CC4-5D6E-409C-BE32-E72D297353CC}">
              <c16:uniqueId val="{00000000-1E22-4A25-89DE-C9C38BE66C5B}"/>
            </c:ext>
          </c:extLst>
        </c:ser>
        <c:ser>
          <c:idx val="8"/>
          <c:order val="2"/>
          <c:tx>
            <c:strRef>
              <c:f>Process!$A$37</c:f>
              <c:strCache>
                <c:ptCount val="1"/>
                <c:pt idx="0">
                  <c:v>Waste (CO2e)</c:v>
                </c:pt>
              </c:strCache>
            </c:strRef>
          </c:tx>
          <c:spPr>
            <a:ln w="28575" cap="rnd">
              <a:solidFill>
                <a:schemeClr val="accent6">
                  <a:lumMod val="50000"/>
                </a:schemeClr>
              </a:solidFill>
              <a:round/>
            </a:ln>
            <a:effectLst/>
          </c:spPr>
          <c:marker>
            <c:symbol val="circle"/>
            <c:size val="7"/>
            <c:spPr>
              <a:solidFill>
                <a:schemeClr val="accent6">
                  <a:lumMod val="20000"/>
                  <a:lumOff val="80000"/>
                </a:schemeClr>
              </a:solidFill>
              <a:ln w="9525">
                <a:solidFill>
                  <a:schemeClr val="accent6">
                    <a:lumMod val="50000"/>
                  </a:schemeClr>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Process!$B$37:$AI$37</c:f>
              <c:numCache>
                <c:formatCode>#,##0.0</c:formatCode>
                <c:ptCount val="34"/>
                <c:pt idx="0">
                  <c:v>2.921734225476742</c:v>
                </c:pt>
                <c:pt idx="1">
                  <c:v>2.9840678785493369</c:v>
                </c:pt>
                <c:pt idx="2">
                  <c:v>2.8838876328600254</c:v>
                </c:pt>
                <c:pt idx="3">
                  <c:v>2.767988379213437</c:v>
                </c:pt>
                <c:pt idx="4">
                  <c:v>2.7563272831925185</c:v>
                </c:pt>
                <c:pt idx="5">
                  <c:v>2.7698744134030142</c:v>
                </c:pt>
                <c:pt idx="6">
                  <c:v>2.3907342903677469</c:v>
                </c:pt>
                <c:pt idx="7">
                  <c:v>1.9258553661170486</c:v>
                </c:pt>
                <c:pt idx="8">
                  <c:v>1.8470510349176412</c:v>
                </c:pt>
                <c:pt idx="9">
                  <c:v>1.8601259693695325</c:v>
                </c:pt>
                <c:pt idx="10">
                  <c:v>1.2371687987727551</c:v>
                </c:pt>
                <c:pt idx="11">
                  <c:v>0.89743217109974072</c:v>
                </c:pt>
                <c:pt idx="12">
                  <c:v>1.27497069222323</c:v>
                </c:pt>
                <c:pt idx="13">
                  <c:v>1.7601777880702896</c:v>
                </c:pt>
                <c:pt idx="14">
                  <c:v>1.5733288085225232</c:v>
                </c:pt>
                <c:pt idx="15">
                  <c:v>1.5961601917909816</c:v>
                </c:pt>
                <c:pt idx="16">
                  <c:v>1.4036673040124485</c:v>
                </c:pt>
                <c:pt idx="17">
                  <c:v>1.3244780695405463</c:v>
                </c:pt>
                <c:pt idx="18">
                  <c:v>1.3333606189633151</c:v>
                </c:pt>
                <c:pt idx="19">
                  <c:v>1.3826638104942759</c:v>
                </c:pt>
                <c:pt idx="20">
                  <c:v>0.86252211000428347</c:v>
                </c:pt>
                <c:pt idx="21">
                  <c:v>0.87728901623181033</c:v>
                </c:pt>
                <c:pt idx="22">
                  <c:v>0.92213671716237322</c:v>
                </c:pt>
                <c:pt idx="23">
                  <c:v>0.82486792566190248</c:v>
                </c:pt>
                <c:pt idx="24">
                  <c:v>0.76938497611745671</c:v>
                </c:pt>
                <c:pt idx="25">
                  <c:v>0.7797634475588433</c:v>
                </c:pt>
                <c:pt idx="26">
                  <c:v>0.74800883134183693</c:v>
                </c:pt>
                <c:pt idx="27">
                  <c:v>0.72212832663956061</c:v>
                </c:pt>
                <c:pt idx="28">
                  <c:v>0.72012362020600407</c:v>
                </c:pt>
                <c:pt idx="29">
                  <c:v>0.72176076297428993</c:v>
                </c:pt>
                <c:pt idx="30">
                  <c:v>0.69725875876728005</c:v>
                </c:pt>
                <c:pt idx="31">
                  <c:v>0.59664069711099754</c:v>
                </c:pt>
                <c:pt idx="32">
                  <c:v>0.58359328081403916</c:v>
                </c:pt>
                <c:pt idx="33">
                  <c:v>0.57033515022009018</c:v>
                </c:pt>
              </c:numCache>
            </c:numRef>
          </c:val>
          <c:smooth val="0"/>
          <c:extLst>
            <c:ext xmlns:c16="http://schemas.microsoft.com/office/drawing/2014/chart" uri="{C3380CC4-5D6E-409C-BE32-E72D297353CC}">
              <c16:uniqueId val="{00000003-1E22-4A25-89DE-C9C38BE66C5B}"/>
            </c:ext>
          </c:extLst>
        </c:ser>
        <c:ser>
          <c:idx val="7"/>
          <c:order val="3"/>
          <c:tx>
            <c:strRef>
              <c:f>Process!$A$36</c:f>
              <c:strCache>
                <c:ptCount val="1"/>
                <c:pt idx="0">
                  <c:v>Agriculture (CO2e)</c:v>
                </c:pt>
              </c:strCache>
            </c:strRef>
          </c:tx>
          <c:spPr>
            <a:ln w="28575" cap="rnd">
              <a:solidFill>
                <a:schemeClr val="accent3">
                  <a:lumMod val="50000"/>
                </a:schemeClr>
              </a:solidFill>
              <a:round/>
            </a:ln>
            <a:effectLst/>
          </c:spPr>
          <c:marker>
            <c:symbol val="triangle"/>
            <c:size val="7"/>
            <c:spPr>
              <a:solidFill>
                <a:schemeClr val="accent3">
                  <a:lumMod val="40000"/>
                  <a:lumOff val="60000"/>
                </a:schemeClr>
              </a:solidFill>
              <a:ln w="9525">
                <a:solidFill>
                  <a:schemeClr val="accent3">
                    <a:lumMod val="50000"/>
                  </a:schemeClr>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Process!$B$36:$AI$36</c:f>
              <c:numCache>
                <c:formatCode>#,##0.0</c:formatCode>
                <c:ptCount val="34"/>
                <c:pt idx="0">
                  <c:v>0.44610076900597256</c:v>
                </c:pt>
                <c:pt idx="1">
                  <c:v>0.41834925407595686</c:v>
                </c:pt>
                <c:pt idx="2">
                  <c:v>0.42277010500253726</c:v>
                </c:pt>
                <c:pt idx="3">
                  <c:v>0.40732429612640608</c:v>
                </c:pt>
                <c:pt idx="4">
                  <c:v>0.41231470757133476</c:v>
                </c:pt>
                <c:pt idx="5">
                  <c:v>0.40372219462937547</c:v>
                </c:pt>
                <c:pt idx="6">
                  <c:v>0.38410068733773461</c:v>
                </c:pt>
                <c:pt idx="7">
                  <c:v>0.38079571833854936</c:v>
                </c:pt>
                <c:pt idx="8">
                  <c:v>0.38437874218640539</c:v>
                </c:pt>
                <c:pt idx="9">
                  <c:v>0.3899641903290752</c:v>
                </c:pt>
                <c:pt idx="10">
                  <c:v>0.37735447220233193</c:v>
                </c:pt>
                <c:pt idx="11">
                  <c:v>0.35183977292669505</c:v>
                </c:pt>
                <c:pt idx="12">
                  <c:v>0.37328267111605179</c:v>
                </c:pt>
                <c:pt idx="13">
                  <c:v>0.34778308322797141</c:v>
                </c:pt>
                <c:pt idx="14">
                  <c:v>0.33661801945979974</c:v>
                </c:pt>
                <c:pt idx="15">
                  <c:v>0.34057483200373267</c:v>
                </c:pt>
                <c:pt idx="16">
                  <c:v>0.33688832372342137</c:v>
                </c:pt>
                <c:pt idx="17">
                  <c:v>0.31719891632985381</c:v>
                </c:pt>
                <c:pt idx="18">
                  <c:v>0.32570403195908576</c:v>
                </c:pt>
                <c:pt idx="19">
                  <c:v>0.31430210711857087</c:v>
                </c:pt>
                <c:pt idx="20">
                  <c:v>0.33202719256989854</c:v>
                </c:pt>
                <c:pt idx="21">
                  <c:v>0.30451135790296568</c:v>
                </c:pt>
                <c:pt idx="22">
                  <c:v>0.29639379430190099</c:v>
                </c:pt>
                <c:pt idx="23">
                  <c:v>0.29356274504761209</c:v>
                </c:pt>
                <c:pt idx="24">
                  <c:v>0.28090950389183594</c:v>
                </c:pt>
                <c:pt idx="25">
                  <c:v>0.29021465216236209</c:v>
                </c:pt>
                <c:pt idx="26">
                  <c:v>0.26691641776924918</c:v>
                </c:pt>
                <c:pt idx="27">
                  <c:v>0.28552541325288594</c:v>
                </c:pt>
                <c:pt idx="28">
                  <c:v>0.27311310707332914</c:v>
                </c:pt>
                <c:pt idx="29">
                  <c:v>0.26430146871069754</c:v>
                </c:pt>
                <c:pt idx="30">
                  <c:v>0.25337117381936636</c:v>
                </c:pt>
                <c:pt idx="31">
                  <c:v>0.2710732936775046</c:v>
                </c:pt>
                <c:pt idx="32">
                  <c:v>0.25704231685851231</c:v>
                </c:pt>
                <c:pt idx="33">
                  <c:v>0.25654006769458504</c:v>
                </c:pt>
              </c:numCache>
            </c:numRef>
          </c:val>
          <c:smooth val="0"/>
          <c:extLst>
            <c:ext xmlns:c16="http://schemas.microsoft.com/office/drawing/2014/chart" uri="{C3380CC4-5D6E-409C-BE32-E72D297353CC}">
              <c16:uniqueId val="{00000002-1E22-4A25-89DE-C9C38BE66C5B}"/>
            </c:ext>
          </c:extLst>
        </c:ser>
        <c:dLbls>
          <c:showLegendKey val="0"/>
          <c:showVal val="0"/>
          <c:showCatName val="0"/>
          <c:showSerName val="0"/>
          <c:showPercent val="0"/>
          <c:showBubbleSize val="0"/>
        </c:dLbls>
        <c:marker val="1"/>
        <c:smooth val="0"/>
        <c:axId val="1834972031"/>
        <c:axId val="1834972511"/>
      </c:lineChart>
      <c:catAx>
        <c:axId val="183497203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crossAx val="1834972511"/>
        <c:crosses val="autoZero"/>
        <c:auto val="1"/>
        <c:lblAlgn val="ctr"/>
        <c:lblOffset val="100"/>
        <c:tickLblSkip val="5"/>
        <c:noMultiLvlLbl val="0"/>
      </c:catAx>
      <c:valAx>
        <c:axId val="18349725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r>
                  <a:rPr lang="en-US" sz="1200">
                    <a:solidFill>
                      <a:sysClr val="windowText" lastClr="000000"/>
                    </a:solidFill>
                    <a:latin typeface="Aptos" panose="020B0004020202020204" pitchFamily="34" charset="0"/>
                  </a:rPr>
                  <a:t>Million Metric Tons of CO2 equivalent</a:t>
                </a:r>
              </a:p>
            </c:rich>
          </c:tx>
          <c:layout>
            <c:manualLayout>
              <c:xMode val="edge"/>
              <c:yMode val="edge"/>
              <c:x val="1.7675101536677663E-2"/>
              <c:y val="0.22973168162896834"/>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crossAx val="1834972031"/>
        <c:crosses val="autoZero"/>
        <c:crossBetween val="midCat"/>
      </c:valAx>
      <c:spPr>
        <a:noFill/>
        <a:ln>
          <a:noFill/>
        </a:ln>
        <a:effectLst/>
      </c:spPr>
    </c:plotArea>
    <c:legend>
      <c:legendPos val="r"/>
      <c:layout>
        <c:manualLayout>
          <c:xMode val="edge"/>
          <c:yMode val="edge"/>
          <c:x val="0.7776822965058664"/>
          <c:y val="0.19806821065349978"/>
          <c:w val="0.21271383526574927"/>
          <c:h val="0.6035046893023722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ptos" panose="020B0004020202020204" pitchFamily="34" charset="0"/>
                <a:ea typeface="+mn-ea"/>
                <a:cs typeface="+mn-cs"/>
              </a:defRPr>
            </a:pPr>
            <a:r>
              <a:rPr lang="en-US">
                <a:solidFill>
                  <a:sysClr val="windowText" lastClr="000000"/>
                </a:solidFill>
                <a:latin typeface="Aptos" panose="020B0004020202020204" pitchFamily="34" charset="0"/>
              </a:rPr>
              <a:t>Massachusetts GHG Emissions from Non-Fuel Combustion</a:t>
            </a:r>
          </a:p>
          <a:p>
            <a:pPr>
              <a:defRPr>
                <a:solidFill>
                  <a:sysClr val="windowText" lastClr="000000"/>
                </a:solidFill>
                <a:latin typeface="Aptos" panose="020B0004020202020204" pitchFamily="34" charset="0"/>
              </a:defRPr>
            </a:pPr>
            <a:r>
              <a:rPr lang="en-US">
                <a:solidFill>
                  <a:sysClr val="windowText" lastClr="000000"/>
                </a:solidFill>
                <a:latin typeface="Aptos" panose="020B0004020202020204" pitchFamily="34" charset="0"/>
              </a:rPr>
              <a:t> (by Subsector)</a:t>
            </a:r>
          </a:p>
        </c:rich>
      </c:tx>
      <c:layout>
        <c:manualLayout>
          <c:xMode val="edge"/>
          <c:yMode val="edge"/>
          <c:x val="0.20339559320178927"/>
          <c:y val="3.5366931918656055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9.5196599286137079E-2"/>
          <c:y val="0.13129203539823009"/>
          <c:w val="0.64603346905099279"/>
          <c:h val="0.72550902376141035"/>
        </c:manualLayout>
      </c:layout>
      <c:lineChart>
        <c:grouping val="standard"/>
        <c:varyColors val="0"/>
        <c:ser>
          <c:idx val="6"/>
          <c:order val="0"/>
          <c:tx>
            <c:strRef>
              <c:f>Process!$A$35</c:f>
              <c:strCache>
                <c:ptCount val="1"/>
                <c:pt idx="0">
                  <c:v>Industrial Processes (HFCs, PFCs, NF3, SF6)</c:v>
                </c:pt>
              </c:strCache>
            </c:strRef>
          </c:tx>
          <c:spPr>
            <a:ln w="28575" cap="rnd">
              <a:solidFill>
                <a:schemeClr val="accent1">
                  <a:lumMod val="60000"/>
                </a:schemeClr>
              </a:solidFill>
              <a:round/>
            </a:ln>
            <a:effectLst/>
          </c:spPr>
          <c:marker>
            <c:symbol val="square"/>
            <c:size val="5"/>
            <c:spPr>
              <a:solidFill>
                <a:schemeClr val="accent1">
                  <a:lumMod val="60000"/>
                </a:schemeClr>
              </a:solidFill>
              <a:ln w="9525">
                <a:solidFill>
                  <a:schemeClr val="accent1">
                    <a:lumMod val="60000"/>
                  </a:schemeClr>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Process!$B$35:$AI$35</c:f>
              <c:numCache>
                <c:formatCode>#,##0.0</c:formatCode>
                <c:ptCount val="34"/>
                <c:pt idx="0">
                  <c:v>0.48138328615922965</c:v>
                </c:pt>
                <c:pt idx="1">
                  <c:v>0.24081167932090697</c:v>
                </c:pt>
                <c:pt idx="2">
                  <c:v>0.25761854776739163</c:v>
                </c:pt>
                <c:pt idx="3">
                  <c:v>0.33509362899405531</c:v>
                </c:pt>
                <c:pt idx="4">
                  <c:v>0.46867397127764965</c:v>
                </c:pt>
                <c:pt idx="5">
                  <c:v>0.75640210091777871</c:v>
                </c:pt>
                <c:pt idx="6">
                  <c:v>0.96938206474521538</c:v>
                </c:pt>
                <c:pt idx="7">
                  <c:v>1.1643900472507427</c:v>
                </c:pt>
                <c:pt idx="8">
                  <c:v>1.3214584254442836</c:v>
                </c:pt>
                <c:pt idx="9">
                  <c:v>1.4682569336579341</c:v>
                </c:pt>
                <c:pt idx="10">
                  <c:v>1.5572411752264856</c:v>
                </c:pt>
                <c:pt idx="11">
                  <c:v>1.6296344206355287</c:v>
                </c:pt>
                <c:pt idx="12">
                  <c:v>1.7117072892816281</c:v>
                </c:pt>
                <c:pt idx="13">
                  <c:v>1.7819233073035901</c:v>
                </c:pt>
                <c:pt idx="14">
                  <c:v>1.8338913121298344</c:v>
                </c:pt>
                <c:pt idx="15">
                  <c:v>1.9388747149130063</c:v>
                </c:pt>
                <c:pt idx="16">
                  <c:v>2.0497218899822922</c:v>
                </c:pt>
                <c:pt idx="17">
                  <c:v>2.1643771169528523</c:v>
                </c:pt>
                <c:pt idx="18">
                  <c:v>2.3505064150846593</c:v>
                </c:pt>
                <c:pt idx="19">
                  <c:v>2.8498186701855484</c:v>
                </c:pt>
                <c:pt idx="20">
                  <c:v>2.435466765398965</c:v>
                </c:pt>
                <c:pt idx="21">
                  <c:v>2.4614264417496914</c:v>
                </c:pt>
                <c:pt idx="22">
                  <c:v>2.7783244164096677</c:v>
                </c:pt>
                <c:pt idx="23">
                  <c:v>3.4375670597915522</c:v>
                </c:pt>
                <c:pt idx="24">
                  <c:v>3.8533647275333771</c:v>
                </c:pt>
                <c:pt idx="25">
                  <c:v>3.3599607194648078</c:v>
                </c:pt>
                <c:pt idx="26">
                  <c:v>3.4292406932546937</c:v>
                </c:pt>
                <c:pt idx="27">
                  <c:v>2.9226904040272279</c:v>
                </c:pt>
                <c:pt idx="28">
                  <c:v>3.4116359632133095</c:v>
                </c:pt>
                <c:pt idx="29">
                  <c:v>3.2813511702185632</c:v>
                </c:pt>
                <c:pt idx="30">
                  <c:v>3.6593351527694415</c:v>
                </c:pt>
                <c:pt idx="31">
                  <c:v>3.6159355158767887</c:v>
                </c:pt>
                <c:pt idx="32">
                  <c:v>3.0642051009885543</c:v>
                </c:pt>
                <c:pt idx="33">
                  <c:v>3.2664308140058642</c:v>
                </c:pt>
              </c:numCache>
            </c:numRef>
          </c:val>
          <c:smooth val="0"/>
          <c:extLst>
            <c:ext xmlns:c16="http://schemas.microsoft.com/office/drawing/2014/chart" uri="{C3380CC4-5D6E-409C-BE32-E72D297353CC}">
              <c16:uniqueId val="{00000004-DCBA-4448-967E-35DD0AA1F8BD}"/>
            </c:ext>
          </c:extLst>
        </c:ser>
        <c:ser>
          <c:idx val="1"/>
          <c:order val="1"/>
          <c:tx>
            <c:strRef>
              <c:f>Process!$A$30</c:f>
              <c:strCache>
                <c:ptCount val="1"/>
                <c:pt idx="0">
                  <c:v>Natural Gas Distribution and Post-Meter</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Process!$B$30:$AI$30</c:f>
              <c:numCache>
                <c:formatCode>#,##0.0</c:formatCode>
                <c:ptCount val="34"/>
                <c:pt idx="0">
                  <c:v>1.6981171446349697</c:v>
                </c:pt>
                <c:pt idx="1">
                  <c:v>1.6781368503696887</c:v>
                </c:pt>
                <c:pt idx="2">
                  <c:v>1.6650160146858353</c:v>
                </c:pt>
                <c:pt idx="3">
                  <c:v>1.5886060588676603</c:v>
                </c:pt>
                <c:pt idx="4">
                  <c:v>1.5341390258270902</c:v>
                </c:pt>
                <c:pt idx="5">
                  <c:v>1.5022669886244333</c:v>
                </c:pt>
                <c:pt idx="6">
                  <c:v>1.425467376127973</c:v>
                </c:pt>
                <c:pt idx="7">
                  <c:v>1.3761942204657138</c:v>
                </c:pt>
                <c:pt idx="8">
                  <c:v>1.3188501590234014</c:v>
                </c:pt>
                <c:pt idx="9">
                  <c:v>1.261641548877162</c:v>
                </c:pt>
                <c:pt idx="10">
                  <c:v>1.2234268228376644</c:v>
                </c:pt>
                <c:pt idx="11">
                  <c:v>1.1548456256403652</c:v>
                </c:pt>
                <c:pt idx="12">
                  <c:v>1.1192932542656782</c:v>
                </c:pt>
                <c:pt idx="13">
                  <c:v>1.0689397263294127</c:v>
                </c:pt>
                <c:pt idx="14">
                  <c:v>1.0549659757958125</c:v>
                </c:pt>
                <c:pt idx="15">
                  <c:v>0.96388581295203757</c:v>
                </c:pt>
                <c:pt idx="16">
                  <c:v>0.92709111626173912</c:v>
                </c:pt>
                <c:pt idx="17">
                  <c:v>0.88512738029058702</c:v>
                </c:pt>
                <c:pt idx="18">
                  <c:v>0.83374515920712233</c:v>
                </c:pt>
                <c:pt idx="19">
                  <c:v>0.78517646934640628</c:v>
                </c:pt>
                <c:pt idx="20">
                  <c:v>0.75292583432142168</c:v>
                </c:pt>
                <c:pt idx="21">
                  <c:v>0.69892539643020735</c:v>
                </c:pt>
                <c:pt idx="22">
                  <c:v>0.69397194514018645</c:v>
                </c:pt>
                <c:pt idx="23">
                  <c:v>0.67896910883578931</c:v>
                </c:pt>
                <c:pt idx="24">
                  <c:v>0.65553191641877318</c:v>
                </c:pt>
                <c:pt idx="25">
                  <c:v>0.65849530228214248</c:v>
                </c:pt>
                <c:pt idx="26">
                  <c:v>0.65450594465976542</c:v>
                </c:pt>
                <c:pt idx="27">
                  <c:v>0.66705800983925934</c:v>
                </c:pt>
                <c:pt idx="28">
                  <c:v>0.65440896196676102</c:v>
                </c:pt>
                <c:pt idx="29">
                  <c:v>0.64095108202000439</c:v>
                </c:pt>
                <c:pt idx="30">
                  <c:v>0.66932288513178717</c:v>
                </c:pt>
                <c:pt idx="31">
                  <c:v>0.62669498750766606</c:v>
                </c:pt>
                <c:pt idx="32">
                  <c:v>0.64121538579268966</c:v>
                </c:pt>
                <c:pt idx="33">
                  <c:v>0.60731598850412949</c:v>
                </c:pt>
              </c:numCache>
            </c:numRef>
          </c:val>
          <c:smooth val="0"/>
          <c:extLst>
            <c:ext xmlns:c16="http://schemas.microsoft.com/office/drawing/2014/chart" uri="{C3380CC4-5D6E-409C-BE32-E72D297353CC}">
              <c16:uniqueId val="{00000000-DCBA-4448-967E-35DD0AA1F8BD}"/>
            </c:ext>
          </c:extLst>
        </c:ser>
        <c:ser>
          <c:idx val="9"/>
          <c:order val="2"/>
          <c:tx>
            <c:strRef>
              <c:f>Process!$A$38</c:f>
              <c:strCache>
                <c:ptCount val="1"/>
                <c:pt idx="0">
                  <c:v>Wastewater</c:v>
                </c:pt>
              </c:strCache>
            </c:strRef>
          </c:tx>
          <c:spPr>
            <a:ln w="28575" cap="rnd">
              <a:solidFill>
                <a:schemeClr val="accent5">
                  <a:lumMod val="60000"/>
                  <a:lumOff val="4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Process!$B$38:$AI$38</c:f>
              <c:numCache>
                <c:formatCode>#,##0.0</c:formatCode>
                <c:ptCount val="34"/>
                <c:pt idx="0">
                  <c:v>0.66155072341355781</c:v>
                </c:pt>
                <c:pt idx="1">
                  <c:v>0.65707841186996552</c:v>
                </c:pt>
                <c:pt idx="2">
                  <c:v>0.65766842318722007</c:v>
                </c:pt>
                <c:pt idx="3">
                  <c:v>0.65942952202924987</c:v>
                </c:pt>
                <c:pt idx="4">
                  <c:v>0.66385344284366721</c:v>
                </c:pt>
                <c:pt idx="5">
                  <c:v>0.66622194875907326</c:v>
                </c:pt>
                <c:pt idx="6">
                  <c:v>0.66976695598814828</c:v>
                </c:pt>
                <c:pt idx="7">
                  <c:v>0.67190213042499158</c:v>
                </c:pt>
                <c:pt idx="8">
                  <c:v>0.67641582868090677</c:v>
                </c:pt>
                <c:pt idx="9">
                  <c:v>0.6822340349333238</c:v>
                </c:pt>
                <c:pt idx="10">
                  <c:v>0.43254572282981785</c:v>
                </c:pt>
                <c:pt idx="11">
                  <c:v>0.43768390160435044</c:v>
                </c:pt>
                <c:pt idx="12">
                  <c:v>0.43607053465248102</c:v>
                </c:pt>
                <c:pt idx="13">
                  <c:v>0.43663973406238332</c:v>
                </c:pt>
                <c:pt idx="14">
                  <c:v>0.43763293803551007</c:v>
                </c:pt>
                <c:pt idx="15">
                  <c:v>0.45065229360985726</c:v>
                </c:pt>
                <c:pt idx="16">
                  <c:v>0.44222613424197665</c:v>
                </c:pt>
                <c:pt idx="17">
                  <c:v>0.44486635638169436</c:v>
                </c:pt>
                <c:pt idx="18">
                  <c:v>0.44359825127579944</c:v>
                </c:pt>
                <c:pt idx="19">
                  <c:v>0.44784896851627637</c:v>
                </c:pt>
                <c:pt idx="20">
                  <c:v>0.41068131000428343</c:v>
                </c:pt>
                <c:pt idx="21">
                  <c:v>0.41591659242228651</c:v>
                </c:pt>
                <c:pt idx="22">
                  <c:v>0.4142318385909447</c:v>
                </c:pt>
                <c:pt idx="23">
                  <c:v>0.41646259310190248</c:v>
                </c:pt>
                <c:pt idx="24">
                  <c:v>0.41620177611745679</c:v>
                </c:pt>
                <c:pt idx="25">
                  <c:v>0.41870254755884334</c:v>
                </c:pt>
                <c:pt idx="26">
                  <c:v>0.42125403134183698</c:v>
                </c:pt>
                <c:pt idx="27">
                  <c:v>0.4117589266395606</c:v>
                </c:pt>
                <c:pt idx="28">
                  <c:v>0.41556862020600405</c:v>
                </c:pt>
                <c:pt idx="29">
                  <c:v>0.41749476297429</c:v>
                </c:pt>
                <c:pt idx="30">
                  <c:v>0.42486655876728002</c:v>
                </c:pt>
                <c:pt idx="31">
                  <c:v>0.41937799711099755</c:v>
                </c:pt>
                <c:pt idx="32">
                  <c:v>0.41927248081403917</c:v>
                </c:pt>
                <c:pt idx="33">
                  <c:v>0.42034765022009024</c:v>
                </c:pt>
              </c:numCache>
            </c:numRef>
          </c:val>
          <c:smooth val="0"/>
          <c:extLst>
            <c:ext xmlns:c16="http://schemas.microsoft.com/office/drawing/2014/chart" uri="{C3380CC4-5D6E-409C-BE32-E72D297353CC}">
              <c16:uniqueId val="{00000006-DCBA-4448-967E-35DD0AA1F8BD}"/>
            </c:ext>
          </c:extLst>
        </c:ser>
        <c:ser>
          <c:idx val="7"/>
          <c:order val="3"/>
          <c:tx>
            <c:strRef>
              <c:f>Process!$A$36</c:f>
              <c:strCache>
                <c:ptCount val="1"/>
                <c:pt idx="0">
                  <c:v>Agriculture (CO2e)</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Process!$B$36:$AI$36</c:f>
              <c:numCache>
                <c:formatCode>#,##0.0</c:formatCode>
                <c:ptCount val="34"/>
                <c:pt idx="0">
                  <c:v>0.44610076900597256</c:v>
                </c:pt>
                <c:pt idx="1">
                  <c:v>0.41834925407595686</c:v>
                </c:pt>
                <c:pt idx="2">
                  <c:v>0.42277010500253726</c:v>
                </c:pt>
                <c:pt idx="3">
                  <c:v>0.40732429612640608</c:v>
                </c:pt>
                <c:pt idx="4">
                  <c:v>0.41231470757133476</c:v>
                </c:pt>
                <c:pt idx="5">
                  <c:v>0.40372219462937547</c:v>
                </c:pt>
                <c:pt idx="6">
                  <c:v>0.38410068733773461</c:v>
                </c:pt>
                <c:pt idx="7">
                  <c:v>0.38079571833854936</c:v>
                </c:pt>
                <c:pt idx="8">
                  <c:v>0.38437874218640539</c:v>
                </c:pt>
                <c:pt idx="9">
                  <c:v>0.3899641903290752</c:v>
                </c:pt>
                <c:pt idx="10">
                  <c:v>0.37735447220233193</c:v>
                </c:pt>
                <c:pt idx="11">
                  <c:v>0.35183977292669505</c:v>
                </c:pt>
                <c:pt idx="12">
                  <c:v>0.37328267111605179</c:v>
                </c:pt>
                <c:pt idx="13">
                  <c:v>0.34778308322797141</c:v>
                </c:pt>
                <c:pt idx="14">
                  <c:v>0.33661801945979974</c:v>
                </c:pt>
                <c:pt idx="15">
                  <c:v>0.34057483200373267</c:v>
                </c:pt>
                <c:pt idx="16">
                  <c:v>0.33688832372342137</c:v>
                </c:pt>
                <c:pt idx="17">
                  <c:v>0.31719891632985381</c:v>
                </c:pt>
                <c:pt idx="18">
                  <c:v>0.32570403195908576</c:v>
                </c:pt>
                <c:pt idx="19">
                  <c:v>0.31430210711857087</c:v>
                </c:pt>
                <c:pt idx="20">
                  <c:v>0.33202719256989854</c:v>
                </c:pt>
                <c:pt idx="21">
                  <c:v>0.30451135790296568</c:v>
                </c:pt>
                <c:pt idx="22">
                  <c:v>0.29639379430190099</c:v>
                </c:pt>
                <c:pt idx="23">
                  <c:v>0.29356274504761209</c:v>
                </c:pt>
                <c:pt idx="24">
                  <c:v>0.28090950389183594</c:v>
                </c:pt>
                <c:pt idx="25">
                  <c:v>0.29021465216236209</c:v>
                </c:pt>
                <c:pt idx="26">
                  <c:v>0.26691641776924918</c:v>
                </c:pt>
                <c:pt idx="27">
                  <c:v>0.28552541325288594</c:v>
                </c:pt>
                <c:pt idx="28">
                  <c:v>0.27311310707332914</c:v>
                </c:pt>
                <c:pt idx="29">
                  <c:v>0.26430146871069754</c:v>
                </c:pt>
                <c:pt idx="30">
                  <c:v>0.25337117381936636</c:v>
                </c:pt>
                <c:pt idx="31">
                  <c:v>0.2710732936775046</c:v>
                </c:pt>
                <c:pt idx="32">
                  <c:v>0.25704231685851231</c:v>
                </c:pt>
                <c:pt idx="33">
                  <c:v>0.25654006769458504</c:v>
                </c:pt>
              </c:numCache>
            </c:numRef>
          </c:val>
          <c:smooth val="0"/>
          <c:extLst>
            <c:ext xmlns:c16="http://schemas.microsoft.com/office/drawing/2014/chart" uri="{C3380CC4-5D6E-409C-BE32-E72D297353CC}">
              <c16:uniqueId val="{00000005-DCBA-4448-967E-35DD0AA1F8BD}"/>
            </c:ext>
          </c:extLst>
        </c:ser>
        <c:ser>
          <c:idx val="4"/>
          <c:order val="4"/>
          <c:tx>
            <c:strRef>
              <c:f>Process!$A$33</c:f>
              <c:strCache>
                <c:ptCount val="1"/>
                <c:pt idx="0">
                  <c:v>Industrial Processes (CO2)</c:v>
                </c:pt>
              </c:strCache>
            </c:strRef>
          </c:tx>
          <c:spPr>
            <a:ln w="28575" cap="rnd">
              <a:solidFill>
                <a:schemeClr val="accent2">
                  <a:lumMod val="60000"/>
                  <a:lumOff val="40000"/>
                </a:schemeClr>
              </a:solidFill>
              <a:round/>
            </a:ln>
            <a:effectLst/>
          </c:spPr>
          <c:marker>
            <c:symbol val="circle"/>
            <c:size val="5"/>
            <c:spPr>
              <a:solidFill>
                <a:schemeClr val="accent2">
                  <a:lumMod val="50000"/>
                </a:schemeClr>
              </a:solidFill>
              <a:ln w="9525">
                <a:solidFill>
                  <a:schemeClr val="accent2">
                    <a:lumMod val="40000"/>
                    <a:lumOff val="60000"/>
                  </a:schemeClr>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Process!$B$33:$AI$33</c:f>
              <c:numCache>
                <c:formatCode>#,##0.0</c:formatCode>
                <c:ptCount val="34"/>
                <c:pt idx="0">
                  <c:v>0.17486870435586824</c:v>
                </c:pt>
                <c:pt idx="1">
                  <c:v>0.3878304234603735</c:v>
                </c:pt>
                <c:pt idx="2">
                  <c:v>0.40023247605520762</c:v>
                </c:pt>
                <c:pt idx="3">
                  <c:v>0.42023687605212945</c:v>
                </c:pt>
                <c:pt idx="4">
                  <c:v>0.4334889497962397</c:v>
                </c:pt>
                <c:pt idx="5">
                  <c:v>0.44746344781835184</c:v>
                </c:pt>
                <c:pt idx="6">
                  <c:v>0.45802929926775171</c:v>
                </c:pt>
                <c:pt idx="7">
                  <c:v>0.46976739201575396</c:v>
                </c:pt>
                <c:pt idx="8">
                  <c:v>0.63538096874096284</c:v>
                </c:pt>
                <c:pt idx="9">
                  <c:v>0.6092394751695932</c:v>
                </c:pt>
                <c:pt idx="10">
                  <c:v>0.58249075085347612</c:v>
                </c:pt>
                <c:pt idx="11">
                  <c:v>0.56396567361901784</c:v>
                </c:pt>
                <c:pt idx="12">
                  <c:v>0.55865880789417932</c:v>
                </c:pt>
                <c:pt idx="13">
                  <c:v>0.58970609253057016</c:v>
                </c:pt>
                <c:pt idx="14">
                  <c:v>0.47735351808103949</c:v>
                </c:pt>
                <c:pt idx="15">
                  <c:v>0.46962030387739312</c:v>
                </c:pt>
                <c:pt idx="16">
                  <c:v>0.50740598296630346</c:v>
                </c:pt>
                <c:pt idx="17">
                  <c:v>0.53083734118677972</c:v>
                </c:pt>
                <c:pt idx="18">
                  <c:v>0.49442586019728985</c:v>
                </c:pt>
                <c:pt idx="19">
                  <c:v>0.44421175763995507</c:v>
                </c:pt>
                <c:pt idx="20">
                  <c:v>0.33821302954767513</c:v>
                </c:pt>
                <c:pt idx="21">
                  <c:v>0.29017066105155959</c:v>
                </c:pt>
                <c:pt idx="22">
                  <c:v>0.26524846563584481</c:v>
                </c:pt>
                <c:pt idx="23">
                  <c:v>0.28619765710258016</c:v>
                </c:pt>
                <c:pt idx="24">
                  <c:v>0.26883302058368164</c:v>
                </c:pt>
                <c:pt idx="25">
                  <c:v>0.31256086558279017</c:v>
                </c:pt>
                <c:pt idx="26">
                  <c:v>0.29477802562555011</c:v>
                </c:pt>
                <c:pt idx="27">
                  <c:v>0.30546786913245677</c:v>
                </c:pt>
                <c:pt idx="28">
                  <c:v>0.32145180707168591</c:v>
                </c:pt>
                <c:pt idx="29">
                  <c:v>0.28466873577995927</c:v>
                </c:pt>
                <c:pt idx="30">
                  <c:v>0.29307563163437833</c:v>
                </c:pt>
                <c:pt idx="31">
                  <c:v>0.30171295462001463</c:v>
                </c:pt>
                <c:pt idx="32">
                  <c:v>0.29028017707405729</c:v>
                </c:pt>
                <c:pt idx="33">
                  <c:v>0.23556022439996074</c:v>
                </c:pt>
              </c:numCache>
            </c:numRef>
          </c:val>
          <c:smooth val="0"/>
          <c:extLst>
            <c:ext xmlns:c16="http://schemas.microsoft.com/office/drawing/2014/chart" uri="{C3380CC4-5D6E-409C-BE32-E72D297353CC}">
              <c16:uniqueId val="{00000002-DCBA-4448-967E-35DD0AA1F8BD}"/>
            </c:ext>
          </c:extLst>
        </c:ser>
        <c:ser>
          <c:idx val="10"/>
          <c:order val="5"/>
          <c:tx>
            <c:strRef>
              <c:f>Process!$A$39</c:f>
              <c:strCache>
                <c:ptCount val="1"/>
                <c:pt idx="0">
                  <c:v>Municipal Solid Waste (Landfills Only)</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Process!$B$39:$AI$39</c:f>
              <c:numCache>
                <c:formatCode>#,##0.0</c:formatCode>
                <c:ptCount val="34"/>
                <c:pt idx="0">
                  <c:v>2.2601835020631844</c:v>
                </c:pt>
                <c:pt idx="1">
                  <c:v>2.3269894666793713</c:v>
                </c:pt>
                <c:pt idx="2">
                  <c:v>2.2262192096728053</c:v>
                </c:pt>
                <c:pt idx="3">
                  <c:v>2.1085588571841871</c:v>
                </c:pt>
                <c:pt idx="4">
                  <c:v>2.0924738403488514</c:v>
                </c:pt>
                <c:pt idx="5">
                  <c:v>2.103652464643941</c:v>
                </c:pt>
                <c:pt idx="6">
                  <c:v>1.7209673343795986</c:v>
                </c:pt>
                <c:pt idx="7">
                  <c:v>1.2539532356920571</c:v>
                </c:pt>
                <c:pt idx="8">
                  <c:v>1.1706352062367344</c:v>
                </c:pt>
                <c:pt idx="9">
                  <c:v>1.1778919344362087</c:v>
                </c:pt>
                <c:pt idx="10">
                  <c:v>0.80462307594293714</c:v>
                </c:pt>
                <c:pt idx="11">
                  <c:v>0.45974826949539027</c:v>
                </c:pt>
                <c:pt idx="12">
                  <c:v>0.83890015757074898</c:v>
                </c:pt>
                <c:pt idx="13">
                  <c:v>1.3235380540079063</c:v>
                </c:pt>
                <c:pt idx="14">
                  <c:v>1.135695870487013</c:v>
                </c:pt>
                <c:pt idx="15">
                  <c:v>1.1455078981811242</c:v>
                </c:pt>
                <c:pt idx="16">
                  <c:v>0.961441169770472</c:v>
                </c:pt>
                <c:pt idx="17">
                  <c:v>0.87961171315885189</c:v>
                </c:pt>
                <c:pt idx="18">
                  <c:v>0.88976236768751571</c:v>
                </c:pt>
                <c:pt idx="19">
                  <c:v>0.93481484197799958</c:v>
                </c:pt>
                <c:pt idx="20">
                  <c:v>0.45184080000000004</c:v>
                </c:pt>
                <c:pt idx="21">
                  <c:v>0.46137242380952381</c:v>
                </c:pt>
                <c:pt idx="22">
                  <c:v>0.50790487857142852</c:v>
                </c:pt>
                <c:pt idx="23">
                  <c:v>0.40840533256</c:v>
                </c:pt>
                <c:pt idx="24">
                  <c:v>0.35318319999999997</c:v>
                </c:pt>
                <c:pt idx="25">
                  <c:v>0.36106090000000002</c:v>
                </c:pt>
                <c:pt idx="26">
                  <c:v>0.32675479999999996</c:v>
                </c:pt>
                <c:pt idx="27">
                  <c:v>0.31036940000000002</c:v>
                </c:pt>
                <c:pt idx="28">
                  <c:v>0.30455500000000002</c:v>
                </c:pt>
                <c:pt idx="29">
                  <c:v>0.30426599999999998</c:v>
                </c:pt>
                <c:pt idx="30">
                  <c:v>0.27239220000000003</c:v>
                </c:pt>
                <c:pt idx="31">
                  <c:v>0.1772627</c:v>
                </c:pt>
                <c:pt idx="32">
                  <c:v>0.16432079999999999</c:v>
                </c:pt>
                <c:pt idx="33">
                  <c:v>0.1499875</c:v>
                </c:pt>
              </c:numCache>
            </c:numRef>
          </c:val>
          <c:smooth val="0"/>
          <c:extLst>
            <c:ext xmlns:c16="http://schemas.microsoft.com/office/drawing/2014/chart" uri="{C3380CC4-5D6E-409C-BE32-E72D297353CC}">
              <c16:uniqueId val="{00000007-DCBA-4448-967E-35DD0AA1F8BD}"/>
            </c:ext>
          </c:extLst>
        </c:ser>
        <c:ser>
          <c:idx val="2"/>
          <c:order val="6"/>
          <c:tx>
            <c:strRef>
              <c:f>Process!$A$31</c:f>
              <c:strCache>
                <c:ptCount val="1"/>
                <c:pt idx="0">
                  <c:v>Natural Gas Transmission and Storage</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Process!$B$31:$AI$31</c:f>
              <c:numCache>
                <c:formatCode>#,##0.0</c:formatCode>
                <c:ptCount val="34"/>
                <c:pt idx="0">
                  <c:v>0.16964798123063266</c:v>
                </c:pt>
                <c:pt idx="1">
                  <c:v>0.17475057552806023</c:v>
                </c:pt>
                <c:pt idx="2">
                  <c:v>0.17475834095072315</c:v>
                </c:pt>
                <c:pt idx="3">
                  <c:v>0.17273840216829248</c:v>
                </c:pt>
                <c:pt idx="4">
                  <c:v>0.17077633526735789</c:v>
                </c:pt>
                <c:pt idx="5">
                  <c:v>0.16870327698259682</c:v>
                </c:pt>
                <c:pt idx="6">
                  <c:v>0.16698747350174553</c:v>
                </c:pt>
                <c:pt idx="7">
                  <c:v>0.16497437962333633</c:v>
                </c:pt>
                <c:pt idx="8">
                  <c:v>0.16304483127547775</c:v>
                </c:pt>
                <c:pt idx="9">
                  <c:v>0.16125578942364072</c:v>
                </c:pt>
                <c:pt idx="10">
                  <c:v>0.16147732367423742</c:v>
                </c:pt>
                <c:pt idx="11">
                  <c:v>0.1600172603961704</c:v>
                </c:pt>
                <c:pt idx="12">
                  <c:v>0.15827047637933872</c:v>
                </c:pt>
                <c:pt idx="13">
                  <c:v>0.15594376905748275</c:v>
                </c:pt>
                <c:pt idx="14">
                  <c:v>0.15467947501733323</c:v>
                </c:pt>
                <c:pt idx="15">
                  <c:v>0.15288319834250139</c:v>
                </c:pt>
                <c:pt idx="16">
                  <c:v>0.15029434069089012</c:v>
                </c:pt>
                <c:pt idx="17">
                  <c:v>0.14897472529429581</c:v>
                </c:pt>
                <c:pt idx="18">
                  <c:v>0.1923904310038258</c:v>
                </c:pt>
                <c:pt idx="19">
                  <c:v>0.19056564071588536</c:v>
                </c:pt>
                <c:pt idx="20">
                  <c:v>0.23359197768798926</c:v>
                </c:pt>
                <c:pt idx="21">
                  <c:v>0.10106251015492639</c:v>
                </c:pt>
                <c:pt idx="22">
                  <c:v>0.10583254315035609</c:v>
                </c:pt>
                <c:pt idx="23">
                  <c:v>0.10590156275947388</c:v>
                </c:pt>
                <c:pt idx="24">
                  <c:v>0.10423701822304517</c:v>
                </c:pt>
                <c:pt idx="25">
                  <c:v>0.13906590788977144</c:v>
                </c:pt>
                <c:pt idx="26">
                  <c:v>0.12265761089878646</c:v>
                </c:pt>
                <c:pt idx="27">
                  <c:v>6.8187077924743517E-2</c:v>
                </c:pt>
                <c:pt idx="28">
                  <c:v>6.612635815030013E-2</c:v>
                </c:pt>
                <c:pt idx="29">
                  <c:v>7.7844868810255041E-2</c:v>
                </c:pt>
                <c:pt idx="30">
                  <c:v>7.2616699909761065E-2</c:v>
                </c:pt>
                <c:pt idx="31">
                  <c:v>8.6801948180921656E-2</c:v>
                </c:pt>
                <c:pt idx="32">
                  <c:v>9.802848313495463E-2</c:v>
                </c:pt>
                <c:pt idx="33">
                  <c:v>9.9047132268368018E-2</c:v>
                </c:pt>
              </c:numCache>
            </c:numRef>
          </c:val>
          <c:smooth val="0"/>
          <c:extLst>
            <c:ext xmlns:c16="http://schemas.microsoft.com/office/drawing/2014/chart" uri="{C3380CC4-5D6E-409C-BE32-E72D297353CC}">
              <c16:uniqueId val="{00000001-DCBA-4448-967E-35DD0AA1F8BD}"/>
            </c:ext>
          </c:extLst>
        </c:ser>
        <c:ser>
          <c:idx val="5"/>
          <c:order val="7"/>
          <c:tx>
            <c:strRef>
              <c:f>Process!$A$34</c:f>
              <c:strCache>
                <c:ptCount val="1"/>
                <c:pt idx="0">
                  <c:v>Industrial Processes (N2O)</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Process!$B$34:$AI$34</c:f>
              <c:numCache>
                <c:formatCode>#,##0.0</c:formatCode>
                <c:ptCount val="34"/>
                <c:pt idx="0">
                  <c:v>0</c:v>
                </c:pt>
                <c:pt idx="1">
                  <c:v>8.6512066184279562E-2</c:v>
                </c:pt>
                <c:pt idx="2">
                  <c:v>8.0639996051633855E-2</c:v>
                </c:pt>
                <c:pt idx="3">
                  <c:v>9.1013398689123212E-2</c:v>
                </c:pt>
                <c:pt idx="4">
                  <c:v>9.0524850533941589E-2</c:v>
                </c:pt>
                <c:pt idx="5">
                  <c:v>9.0370120970871923E-2</c:v>
                </c:pt>
                <c:pt idx="6">
                  <c:v>8.9982645152109672E-2</c:v>
                </c:pt>
                <c:pt idx="7">
                  <c:v>9.5513070611131914E-2</c:v>
                </c:pt>
                <c:pt idx="8">
                  <c:v>9.4944275337907461E-2</c:v>
                </c:pt>
                <c:pt idx="9">
                  <c:v>9.4790054715288036E-2</c:v>
                </c:pt>
                <c:pt idx="10">
                  <c:v>9.4716149389234658E-2</c:v>
                </c:pt>
                <c:pt idx="11">
                  <c:v>9.3766316156895874E-2</c:v>
                </c:pt>
                <c:pt idx="12">
                  <c:v>8.3944724303467E-2</c:v>
                </c:pt>
                <c:pt idx="13">
                  <c:v>8.3705193644816558E-2</c:v>
                </c:pt>
                <c:pt idx="14">
                  <c:v>8.3153673656456942E-2</c:v>
                </c:pt>
                <c:pt idx="15">
                  <c:v>8.2692353909666463E-2</c:v>
                </c:pt>
                <c:pt idx="16">
                  <c:v>8.2754075776202779E-2</c:v>
                </c:pt>
                <c:pt idx="17">
                  <c:v>8.3122605334381233E-2</c:v>
                </c:pt>
                <c:pt idx="18">
                  <c:v>8.2523283093433791E-2</c:v>
                </c:pt>
                <c:pt idx="19">
                  <c:v>8.1705868262835546E-2</c:v>
                </c:pt>
                <c:pt idx="20">
                  <c:v>8.1977609053125122E-2</c:v>
                </c:pt>
                <c:pt idx="21">
                  <c:v>8.4371851631650813E-2</c:v>
                </c:pt>
                <c:pt idx="22">
                  <c:v>8.2636113759954777E-2</c:v>
                </c:pt>
                <c:pt idx="23">
                  <c:v>8.2039019868257304E-2</c:v>
                </c:pt>
                <c:pt idx="24">
                  <c:v>8.3293330647875793E-2</c:v>
                </c:pt>
                <c:pt idx="25">
                  <c:v>8.1520848219758579E-2</c:v>
                </c:pt>
                <c:pt idx="26">
                  <c:v>8.07818226458238E-2</c:v>
                </c:pt>
                <c:pt idx="27">
                  <c:v>8.0785013728343638E-2</c:v>
                </c:pt>
                <c:pt idx="28">
                  <c:v>8.0481802147618048E-2</c:v>
                </c:pt>
                <c:pt idx="29">
                  <c:v>8.0037333602807889E-2</c:v>
                </c:pt>
                <c:pt idx="30">
                  <c:v>7.9784790708161635E-2</c:v>
                </c:pt>
                <c:pt idx="31">
                  <c:v>8.0161665691486653E-2</c:v>
                </c:pt>
                <c:pt idx="32">
                  <c:v>8.0341497769797612E-2</c:v>
                </c:pt>
                <c:pt idx="33">
                  <c:v>8.0132215898059592E-2</c:v>
                </c:pt>
              </c:numCache>
            </c:numRef>
          </c:val>
          <c:smooth val="0"/>
          <c:extLst>
            <c:ext xmlns:c16="http://schemas.microsoft.com/office/drawing/2014/chart" uri="{C3380CC4-5D6E-409C-BE32-E72D297353CC}">
              <c16:uniqueId val="{00000003-DCBA-4448-967E-35DD0AA1F8BD}"/>
            </c:ext>
          </c:extLst>
        </c:ser>
        <c:dLbls>
          <c:showLegendKey val="0"/>
          <c:showVal val="0"/>
          <c:showCatName val="0"/>
          <c:showSerName val="0"/>
          <c:showPercent val="0"/>
          <c:showBubbleSize val="0"/>
        </c:dLbls>
        <c:marker val="1"/>
        <c:smooth val="0"/>
        <c:axId val="289629695"/>
        <c:axId val="289630655"/>
      </c:lineChart>
      <c:catAx>
        <c:axId val="28962969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crossAx val="289630655"/>
        <c:crosses val="autoZero"/>
        <c:auto val="1"/>
        <c:lblAlgn val="ctr"/>
        <c:lblOffset val="100"/>
        <c:tickLblSkip val="5"/>
        <c:noMultiLvlLbl val="0"/>
      </c:catAx>
      <c:valAx>
        <c:axId val="2896306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r>
                  <a:rPr lang="en-US" sz="1200">
                    <a:solidFill>
                      <a:sysClr val="windowText" lastClr="000000"/>
                    </a:solidFill>
                    <a:latin typeface="Aptos" panose="020B0004020202020204" pitchFamily="34" charset="0"/>
                  </a:rPr>
                  <a:t>Million Metric Tons of CO2 equivalent</a:t>
                </a:r>
              </a:p>
            </c:rich>
          </c:tx>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crossAx val="289629695"/>
        <c:crosses val="autoZero"/>
        <c:crossBetween val="midCat"/>
      </c:valAx>
      <c:spPr>
        <a:noFill/>
        <a:ln>
          <a:noFill/>
        </a:ln>
        <a:effectLst/>
      </c:spPr>
    </c:plotArea>
    <c:legend>
      <c:legendPos val="r"/>
      <c:layout>
        <c:manualLayout>
          <c:xMode val="edge"/>
          <c:yMode val="edge"/>
          <c:x val="0.74613986691299128"/>
          <c:y val="6.652916173088981E-2"/>
          <c:w val="0.24292619231252127"/>
          <c:h val="0.86018033586509646"/>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b="1"/>
              <a:t>Percent Change from 1990</a:t>
            </a:r>
          </a:p>
        </c:rich>
      </c:tx>
      <c:overlay val="0"/>
    </c:title>
    <c:autoTitleDeleted val="0"/>
    <c:plotArea>
      <c:layout/>
      <c:barChart>
        <c:barDir val="col"/>
        <c:grouping val="clustered"/>
        <c:varyColors val="0"/>
        <c:ser>
          <c:idx val="0"/>
          <c:order val="0"/>
          <c:tx>
            <c:strRef>
              <c:f>Summary!$A$59</c:f>
              <c:strCache>
                <c:ptCount val="1"/>
                <c:pt idx="0">
                  <c:v>Percent Change from 1990</c:v>
                </c:pt>
              </c:strCache>
            </c:strRef>
          </c:tx>
          <c:spPr>
            <a:pattFill prst="dkHorz">
              <a:fgClr>
                <a:schemeClr val="accent1">
                  <a:lumMod val="60000"/>
                  <a:lumOff val="40000"/>
                </a:schemeClr>
              </a:fgClr>
              <a:bgClr>
                <a:schemeClr val="bg1"/>
              </a:bgClr>
            </a:pattFill>
            <a:ln>
              <a:solidFill>
                <a:schemeClr val="accent1">
                  <a:lumMod val="50000"/>
                </a:schemeClr>
              </a:solidFill>
            </a:ln>
          </c:spPr>
          <c:invertIfNegative val="0"/>
          <c:dPt>
            <c:idx val="23"/>
            <c:invertIfNegative val="0"/>
            <c:bubble3D val="0"/>
            <c:extLst>
              <c:ext xmlns:c16="http://schemas.microsoft.com/office/drawing/2014/chart" uri="{C3380CC4-5D6E-409C-BE32-E72D297353CC}">
                <c16:uniqueId val="{00000001-1545-496D-8631-2613B4AF69B2}"/>
              </c:ext>
            </c:extLst>
          </c:dPt>
          <c:dPt>
            <c:idx val="24"/>
            <c:invertIfNegative val="0"/>
            <c:bubble3D val="0"/>
            <c:extLst>
              <c:ext xmlns:c16="http://schemas.microsoft.com/office/drawing/2014/chart" uri="{C3380CC4-5D6E-409C-BE32-E72D297353CC}">
                <c16:uniqueId val="{00000002-1545-496D-8631-2613B4AF69B2}"/>
              </c:ext>
            </c:extLst>
          </c:dPt>
          <c:dPt>
            <c:idx val="25"/>
            <c:invertIfNegative val="0"/>
            <c:bubble3D val="0"/>
            <c:extLst>
              <c:ext xmlns:c16="http://schemas.microsoft.com/office/drawing/2014/chart" uri="{C3380CC4-5D6E-409C-BE32-E72D297353CC}">
                <c16:uniqueId val="{00000003-1545-496D-8631-2613B4AF69B2}"/>
              </c:ext>
            </c:extLst>
          </c:dPt>
          <c:cat>
            <c:strRef>
              <c:f>Summary!$B$48:$AI$48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Summary!$B$59:$AI$59</c:f>
              <c:numCache>
                <c:formatCode>#,##0.0</c:formatCode>
                <c:ptCount val="34"/>
                <c:pt idx="0" formatCode="0.0">
                  <c:v>0</c:v>
                </c:pt>
                <c:pt idx="1">
                  <c:v>-2.4632764369555247</c:v>
                </c:pt>
                <c:pt idx="2">
                  <c:v>-0.43278827594299685</c:v>
                </c:pt>
                <c:pt idx="3">
                  <c:v>-2.7793791416275866</c:v>
                </c:pt>
                <c:pt idx="4">
                  <c:v>-2.514572344578184</c:v>
                </c:pt>
                <c:pt idx="5">
                  <c:v>-4.7321885965183554</c:v>
                </c:pt>
                <c:pt idx="6">
                  <c:v>-4.4340003972005491</c:v>
                </c:pt>
                <c:pt idx="7">
                  <c:v>0.31567617461382724</c:v>
                </c:pt>
                <c:pt idx="8">
                  <c:v>-1.6077686597410832</c:v>
                </c:pt>
                <c:pt idx="9">
                  <c:v>-2.7553036301753622</c:v>
                </c:pt>
                <c:pt idx="10">
                  <c:v>-0.71555972199455198</c:v>
                </c:pt>
                <c:pt idx="11">
                  <c:v>-1.7465885976358493</c:v>
                </c:pt>
                <c:pt idx="12">
                  <c:v>0.51670321977761091</c:v>
                </c:pt>
                <c:pt idx="13">
                  <c:v>2.729389808698329</c:v>
                </c:pt>
                <c:pt idx="14">
                  <c:v>0.32805027422261901</c:v>
                </c:pt>
                <c:pt idx="15">
                  <c:v>2.1119279507574902</c:v>
                </c:pt>
                <c:pt idx="16">
                  <c:v>-7.2174595187939161</c:v>
                </c:pt>
                <c:pt idx="17">
                  <c:v>-4.177773257030168</c:v>
                </c:pt>
                <c:pt idx="18">
                  <c:v>-7.1463946299159318</c:v>
                </c:pt>
                <c:pt idx="19">
                  <c:v>-12.674876727989798</c:v>
                </c:pt>
                <c:pt idx="20">
                  <c:v>-11.556005278745886</c:v>
                </c:pt>
                <c:pt idx="21">
                  <c:v>-17.413573248759434</c:v>
                </c:pt>
                <c:pt idx="22">
                  <c:v>-24.061376719709614</c:v>
                </c:pt>
                <c:pt idx="23">
                  <c:v>-19.059250657964412</c:v>
                </c:pt>
                <c:pt idx="24">
                  <c:v>-20.614713613845453</c:v>
                </c:pt>
                <c:pt idx="25">
                  <c:v>-19.35875456373283</c:v>
                </c:pt>
                <c:pt idx="26">
                  <c:v>-23.307199493366355</c:v>
                </c:pt>
                <c:pt idx="27">
                  <c:v>-24.223279310332927</c:v>
                </c:pt>
                <c:pt idx="28">
                  <c:v>-22.981301991527644</c:v>
                </c:pt>
                <c:pt idx="29">
                  <c:v>-24.316453333668093</c:v>
                </c:pt>
                <c:pt idx="30">
                  <c:v>-31.023116629660322</c:v>
                </c:pt>
                <c:pt idx="31">
                  <c:v>-27.856530220768022</c:v>
                </c:pt>
                <c:pt idx="32">
                  <c:v>-26.861692989302071</c:v>
                </c:pt>
                <c:pt idx="33">
                  <c:v>-29.961001927959245</c:v>
                </c:pt>
              </c:numCache>
            </c:numRef>
          </c:val>
          <c:extLst>
            <c:ext xmlns:c16="http://schemas.microsoft.com/office/drawing/2014/chart" uri="{C3380CC4-5D6E-409C-BE32-E72D297353CC}">
              <c16:uniqueId val="{00000004-1545-496D-8631-2613B4AF69B2}"/>
            </c:ext>
          </c:extLst>
        </c:ser>
        <c:dLbls>
          <c:showLegendKey val="0"/>
          <c:showVal val="0"/>
          <c:showCatName val="0"/>
          <c:showSerName val="0"/>
          <c:showPercent val="0"/>
          <c:showBubbleSize val="0"/>
        </c:dLbls>
        <c:gapWidth val="150"/>
        <c:axId val="48672768"/>
        <c:axId val="48674304"/>
      </c:barChart>
      <c:catAx>
        <c:axId val="48672768"/>
        <c:scaling>
          <c:orientation val="minMax"/>
        </c:scaling>
        <c:delete val="0"/>
        <c:axPos val="b"/>
        <c:numFmt formatCode="General" sourceLinked="1"/>
        <c:majorTickMark val="out"/>
        <c:minorTickMark val="none"/>
        <c:tickLblPos val="high"/>
        <c:txPr>
          <a:bodyPr rot="-5400000" vert="horz"/>
          <a:lstStyle/>
          <a:p>
            <a:pPr>
              <a:defRPr/>
            </a:pPr>
            <a:endParaRPr lang="en-US"/>
          </a:p>
        </c:txPr>
        <c:crossAx val="48674304"/>
        <c:crosses val="autoZero"/>
        <c:auto val="1"/>
        <c:lblAlgn val="ctr"/>
        <c:lblOffset val="100"/>
        <c:noMultiLvlLbl val="0"/>
      </c:catAx>
      <c:valAx>
        <c:axId val="48674304"/>
        <c:scaling>
          <c:orientation val="minMax"/>
        </c:scaling>
        <c:delete val="0"/>
        <c:axPos val="l"/>
        <c:majorGridlines/>
        <c:numFmt formatCode="0" sourceLinked="0"/>
        <c:majorTickMark val="out"/>
        <c:minorTickMark val="none"/>
        <c:tickLblPos val="nextTo"/>
        <c:txPr>
          <a:bodyPr rot="0" vert="horz"/>
          <a:lstStyle/>
          <a:p>
            <a:pPr>
              <a:defRPr/>
            </a:pPr>
            <a:endParaRPr lang="en-US"/>
          </a:p>
        </c:txPr>
        <c:crossAx val="48672768"/>
        <c:crosses val="autoZero"/>
        <c:crossBetween val="between"/>
      </c:valAx>
    </c:plotArea>
    <c:plotVisOnly val="1"/>
    <c:dispBlanksAs val="gap"/>
    <c:showDLblsOverMax val="0"/>
  </c:chart>
  <c:txPr>
    <a:bodyPr/>
    <a:lstStyle/>
    <a:p>
      <a:pPr>
        <a:defRPr sz="1100" b="0" i="0" u="none" strike="noStrike" baseline="0">
          <a:solidFill>
            <a:srgbClr val="000000"/>
          </a:solidFill>
          <a:latin typeface="Aptos" panose="020B0004020202020204" pitchFamily="34" charset="0"/>
          <a:ea typeface="Calibri"/>
          <a:cs typeface="Calibri"/>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b="1"/>
              <a:t>Percent Change from previous year</a:t>
            </a:r>
          </a:p>
        </c:rich>
      </c:tx>
      <c:overlay val="0"/>
    </c:title>
    <c:autoTitleDeleted val="0"/>
    <c:plotArea>
      <c:layout/>
      <c:barChart>
        <c:barDir val="col"/>
        <c:grouping val="clustered"/>
        <c:varyColors val="0"/>
        <c:ser>
          <c:idx val="0"/>
          <c:order val="0"/>
          <c:tx>
            <c:strRef>
              <c:f>Summary!$A$58</c:f>
              <c:strCache>
                <c:ptCount val="1"/>
                <c:pt idx="0">
                  <c:v>Percent Change from previous year</c:v>
                </c:pt>
              </c:strCache>
            </c:strRef>
          </c:tx>
          <c:spPr>
            <a:pattFill prst="dkHorz">
              <a:fgClr>
                <a:schemeClr val="accent1">
                  <a:lumMod val="60000"/>
                  <a:lumOff val="40000"/>
                </a:schemeClr>
              </a:fgClr>
              <a:bgClr>
                <a:schemeClr val="bg1"/>
              </a:bgClr>
            </a:pattFill>
            <a:ln>
              <a:solidFill>
                <a:schemeClr val="accent1">
                  <a:lumMod val="50000"/>
                </a:schemeClr>
              </a:solidFill>
            </a:ln>
          </c:spPr>
          <c:invertIfNegative val="0"/>
          <c:dPt>
            <c:idx val="23"/>
            <c:invertIfNegative val="0"/>
            <c:bubble3D val="0"/>
            <c:extLst>
              <c:ext xmlns:c16="http://schemas.microsoft.com/office/drawing/2014/chart" uri="{C3380CC4-5D6E-409C-BE32-E72D297353CC}">
                <c16:uniqueId val="{00000001-5852-4D1E-A68A-F9494116638B}"/>
              </c:ext>
            </c:extLst>
          </c:dPt>
          <c:dPt>
            <c:idx val="24"/>
            <c:invertIfNegative val="0"/>
            <c:bubble3D val="0"/>
            <c:extLst>
              <c:ext xmlns:c16="http://schemas.microsoft.com/office/drawing/2014/chart" uri="{C3380CC4-5D6E-409C-BE32-E72D297353CC}">
                <c16:uniqueId val="{00000002-5852-4D1E-A68A-F9494116638B}"/>
              </c:ext>
            </c:extLst>
          </c:dPt>
          <c:dPt>
            <c:idx val="25"/>
            <c:invertIfNegative val="0"/>
            <c:bubble3D val="0"/>
            <c:extLst>
              <c:ext xmlns:c16="http://schemas.microsoft.com/office/drawing/2014/chart" uri="{C3380CC4-5D6E-409C-BE32-E72D297353CC}">
                <c16:uniqueId val="{00000003-5852-4D1E-A68A-F9494116638B}"/>
              </c:ext>
            </c:extLst>
          </c:dPt>
          <c:cat>
            <c:strRef>
              <c:f>Summary!$B$48:$AI$48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Summary!$B$58:$AI$58</c:f>
              <c:numCache>
                <c:formatCode>#,##0.0</c:formatCode>
                <c:ptCount val="34"/>
                <c:pt idx="0" formatCode="0.0">
                  <c:v>0</c:v>
                </c:pt>
                <c:pt idx="1">
                  <c:v>-2.4632764369555247</c:v>
                </c:pt>
                <c:pt idx="2">
                  <c:v>2.0817678581340573</c:v>
                </c:pt>
                <c:pt idx="3">
                  <c:v>-2.3567907798683621</c:v>
                </c:pt>
                <c:pt idx="4">
                  <c:v>0.27237719190785015</c:v>
                </c:pt>
                <c:pt idx="5">
                  <c:v>-2.274818201319988</c:v>
                </c:pt>
                <c:pt idx="6">
                  <c:v>0.31299994712266255</c:v>
                </c:pt>
                <c:pt idx="7">
                  <c:v>4.9700485439962279</c:v>
                </c:pt>
                <c:pt idx="8">
                  <c:v>-1.9173920843706327</c:v>
                </c:pt>
                <c:pt idx="9">
                  <c:v>-1.1662861536963192</c:v>
                </c:pt>
                <c:pt idx="10">
                  <c:v>2.0975374332226977</c:v>
                </c:pt>
                <c:pt idx="11">
                  <c:v>-1.038459674803363</c:v>
                </c:pt>
                <c:pt idx="12">
                  <c:v>2.3035249210278579</c:v>
                </c:pt>
                <c:pt idx="13">
                  <c:v>2.2013123371970522</c:v>
                </c:pt>
                <c:pt idx="14">
                  <c:v>-2.3375389836807585</c:v>
                </c:pt>
                <c:pt idx="15">
                  <c:v>1.7780447957067622</c:v>
                </c:pt>
                <c:pt idx="16">
                  <c:v>-9.1364325958573716</c:v>
                </c:pt>
                <c:pt idx="17">
                  <c:v>3.2761403664943316</c:v>
                </c:pt>
                <c:pt idx="18">
                  <c:v>-3.0980509155236859</c:v>
                </c:pt>
                <c:pt idx="19">
                  <c:v>-5.9539767745572618</c:v>
                </c:pt>
                <c:pt idx="20">
                  <c:v>1.281270964552462</c:v>
                </c:pt>
                <c:pt idx="21">
                  <c:v>-6.6229120343044769</c:v>
                </c:pt>
                <c:pt idx="22">
                  <c:v>-8.04951095774382</c:v>
                </c:pt>
                <c:pt idx="23">
                  <c:v>6.5870644550432615</c:v>
                </c:pt>
                <c:pt idx="24">
                  <c:v>-1.9217303626731308</c:v>
                </c:pt>
                <c:pt idx="25">
                  <c:v>1.5821055856663975</c:v>
                </c:pt>
                <c:pt idx="26">
                  <c:v>-4.8963094608379976</c:v>
                </c:pt>
                <c:pt idx="27">
                  <c:v>-1.1944795481647787</c:v>
                </c:pt>
                <c:pt idx="28">
                  <c:v>1.6389958650911041</c:v>
                </c:pt>
                <c:pt idx="29">
                  <c:v>-1.7335418238225344</c:v>
                </c:pt>
                <c:pt idx="30">
                  <c:v>-8.8614548226182706</c:v>
                </c:pt>
                <c:pt idx="31">
                  <c:v>4.590793689373811</c:v>
                </c:pt>
                <c:pt idx="32">
                  <c:v>1.3789705908383354</c:v>
                </c:pt>
                <c:pt idx="33">
                  <c:v>-4.2376000557462277</c:v>
                </c:pt>
              </c:numCache>
            </c:numRef>
          </c:val>
          <c:extLst>
            <c:ext xmlns:c16="http://schemas.microsoft.com/office/drawing/2014/chart" uri="{C3380CC4-5D6E-409C-BE32-E72D297353CC}">
              <c16:uniqueId val="{00000004-5852-4D1E-A68A-F9494116638B}"/>
            </c:ext>
          </c:extLst>
        </c:ser>
        <c:dLbls>
          <c:showLegendKey val="0"/>
          <c:showVal val="0"/>
          <c:showCatName val="0"/>
          <c:showSerName val="0"/>
          <c:showPercent val="0"/>
          <c:showBubbleSize val="0"/>
        </c:dLbls>
        <c:gapWidth val="150"/>
        <c:axId val="48644096"/>
        <c:axId val="48645632"/>
      </c:barChart>
      <c:catAx>
        <c:axId val="48644096"/>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48645632"/>
        <c:crosses val="autoZero"/>
        <c:auto val="1"/>
        <c:lblAlgn val="ctr"/>
        <c:lblOffset val="100"/>
        <c:noMultiLvlLbl val="0"/>
      </c:catAx>
      <c:valAx>
        <c:axId val="48645632"/>
        <c:scaling>
          <c:orientation val="minMax"/>
        </c:scaling>
        <c:delete val="0"/>
        <c:axPos val="l"/>
        <c:majorGridlines/>
        <c:numFmt formatCode="0" sourceLinked="0"/>
        <c:majorTickMark val="out"/>
        <c:minorTickMark val="none"/>
        <c:tickLblPos val="nextTo"/>
        <c:txPr>
          <a:bodyPr rot="0" vert="horz"/>
          <a:lstStyle/>
          <a:p>
            <a:pPr>
              <a:defRPr/>
            </a:pPr>
            <a:endParaRPr lang="en-US"/>
          </a:p>
        </c:txPr>
        <c:crossAx val="48644096"/>
        <c:crosses val="autoZero"/>
        <c:crossBetween val="between"/>
      </c:valAx>
    </c:plotArea>
    <c:plotVisOnly val="1"/>
    <c:dispBlanksAs val="gap"/>
    <c:showDLblsOverMax val="0"/>
  </c:chart>
  <c:txPr>
    <a:bodyPr/>
    <a:lstStyle/>
    <a:p>
      <a:pPr>
        <a:defRPr sz="1100" b="0" i="0" u="none" strike="noStrike" baseline="0">
          <a:solidFill>
            <a:srgbClr val="000000"/>
          </a:solidFill>
          <a:latin typeface="Aptos" panose="020B0004020202020204" pitchFamily="34" charset="0"/>
          <a:ea typeface="Calibri"/>
          <a:cs typeface="Calibri"/>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n-US" sz="1600" b="1" i="0" u="none" strike="noStrike" baseline="0">
                <a:solidFill>
                  <a:srgbClr val="000000"/>
                </a:solidFill>
                <a:latin typeface="Aptos" panose="020B0004020202020204" pitchFamily="34" charset="0"/>
              </a:rPr>
              <a:t>Percent of </a:t>
            </a:r>
            <a:r>
              <a:rPr lang="en-US" sz="1600" b="1" i="0" u="none" strike="noStrike" baseline="0">
                <a:solidFill>
                  <a:sysClr val="windowText" lastClr="000000"/>
                </a:solidFill>
                <a:latin typeface="Aptos" panose="020B0004020202020204" pitchFamily="34" charset="0"/>
              </a:rPr>
              <a:t>2023 65.3 MMTCO</a:t>
            </a:r>
            <a:r>
              <a:rPr lang="en-US" sz="1600" b="1" i="0" u="none" strike="noStrike" baseline="-25000">
                <a:solidFill>
                  <a:sysClr val="windowText" lastClr="000000"/>
                </a:solidFill>
                <a:latin typeface="Aptos" panose="020B0004020202020204" pitchFamily="34" charset="0"/>
              </a:rPr>
              <a:t>2</a:t>
            </a:r>
            <a:r>
              <a:rPr lang="en-US" sz="1600" b="1" i="0" u="none" strike="noStrike" baseline="0">
                <a:solidFill>
                  <a:sysClr val="windowText" lastClr="000000"/>
                </a:solidFill>
                <a:latin typeface="Aptos" panose="020B0004020202020204" pitchFamily="34" charset="0"/>
              </a:rPr>
              <a:t>e</a:t>
            </a:r>
            <a:br>
              <a:rPr lang="en-US" sz="1600" b="1" i="0" u="none" strike="noStrike" baseline="0">
                <a:solidFill>
                  <a:srgbClr val="000000"/>
                </a:solidFill>
                <a:latin typeface="Aptos" panose="020B0004020202020204" pitchFamily="34" charset="0"/>
              </a:rPr>
            </a:br>
            <a:r>
              <a:rPr lang="en-US" sz="1600" b="1" i="0" u="none" strike="noStrike" baseline="0">
                <a:solidFill>
                  <a:srgbClr val="000000"/>
                </a:solidFill>
                <a:latin typeface="Aptos" panose="020B0004020202020204" pitchFamily="34" charset="0"/>
              </a:rPr>
              <a:t>GHG Emissions by Sector</a:t>
            </a:r>
          </a:p>
        </c:rich>
      </c:tx>
      <c:layout>
        <c:manualLayout>
          <c:xMode val="edge"/>
          <c:yMode val="edge"/>
          <c:x val="3.3736014786231193E-2"/>
          <c:y val="2.1447705856252209E-2"/>
        </c:manualLayout>
      </c:layout>
      <c:overlay val="0"/>
      <c:spPr>
        <a:noFill/>
      </c:spPr>
    </c:title>
    <c:autoTitleDeleted val="0"/>
    <c:plotArea>
      <c:layout>
        <c:manualLayout>
          <c:layoutTarget val="inner"/>
          <c:xMode val="edge"/>
          <c:yMode val="edge"/>
          <c:x val="9.6443119480194225E-2"/>
          <c:y val="0.29197861233079053"/>
          <c:w val="0.46485431746521388"/>
          <c:h val="0.64609804014019201"/>
        </c:manualLayout>
      </c:layout>
      <c:pieChart>
        <c:varyColors val="1"/>
        <c:ser>
          <c:idx val="0"/>
          <c:order val="0"/>
          <c:tx>
            <c:strRef>
              <c:f>Summary!$AN$20</c:f>
              <c:strCache>
                <c:ptCount val="1"/>
                <c:pt idx="0">
                  <c:v>Percent of Total GHG Emissions by Sector (2023)</c:v>
                </c:pt>
              </c:strCache>
            </c:strRef>
          </c:tx>
          <c:dPt>
            <c:idx val="0"/>
            <c:bubble3D val="0"/>
            <c:spPr>
              <a:pattFill prst="pct90">
                <a:fgClr>
                  <a:schemeClr val="tx2">
                    <a:lumMod val="75000"/>
                  </a:schemeClr>
                </a:fgClr>
                <a:bgClr>
                  <a:schemeClr val="bg1"/>
                </a:bgClr>
              </a:pattFill>
            </c:spPr>
            <c:extLst>
              <c:ext xmlns:c16="http://schemas.microsoft.com/office/drawing/2014/chart" uri="{C3380CC4-5D6E-409C-BE32-E72D297353CC}">
                <c16:uniqueId val="{00000001-582A-470D-BEFF-F3CAA7926262}"/>
              </c:ext>
            </c:extLst>
          </c:dPt>
          <c:dPt>
            <c:idx val="1"/>
            <c:bubble3D val="0"/>
            <c:spPr>
              <a:solidFill>
                <a:srgbClr val="FF99FF"/>
              </a:solidFill>
            </c:spPr>
            <c:extLst>
              <c:ext xmlns:c16="http://schemas.microsoft.com/office/drawing/2014/chart" uri="{C3380CC4-5D6E-409C-BE32-E72D297353CC}">
                <c16:uniqueId val="{00000003-582A-470D-BEFF-F3CAA7926262}"/>
              </c:ext>
            </c:extLst>
          </c:dPt>
          <c:dPt>
            <c:idx val="2"/>
            <c:bubble3D val="0"/>
            <c:spPr>
              <a:pattFill prst="lgCheck">
                <a:fgClr>
                  <a:schemeClr val="accent4">
                    <a:lumMod val="40000"/>
                    <a:lumOff val="60000"/>
                  </a:schemeClr>
                </a:fgClr>
                <a:bgClr>
                  <a:schemeClr val="bg1"/>
                </a:bgClr>
              </a:pattFill>
            </c:spPr>
            <c:extLst>
              <c:ext xmlns:c16="http://schemas.microsoft.com/office/drawing/2014/chart" uri="{C3380CC4-5D6E-409C-BE32-E72D297353CC}">
                <c16:uniqueId val="{00000005-582A-470D-BEFF-F3CAA7926262}"/>
              </c:ext>
            </c:extLst>
          </c:dPt>
          <c:dPt>
            <c:idx val="3"/>
            <c:bubble3D val="0"/>
            <c:extLst>
              <c:ext xmlns:c16="http://schemas.microsoft.com/office/drawing/2014/chart" uri="{C3380CC4-5D6E-409C-BE32-E72D297353CC}">
                <c16:uniqueId val="{00000006-582A-470D-BEFF-F3CAA7926262}"/>
              </c:ext>
            </c:extLst>
          </c:dPt>
          <c:dPt>
            <c:idx val="4"/>
            <c:bubble3D val="0"/>
            <c:spPr>
              <a:pattFill prst="wdUpDiag">
                <a:fgClr>
                  <a:schemeClr val="accent5">
                    <a:lumMod val="75000"/>
                  </a:schemeClr>
                </a:fgClr>
                <a:bgClr>
                  <a:schemeClr val="bg1"/>
                </a:bgClr>
              </a:pattFill>
            </c:spPr>
            <c:extLst>
              <c:ext xmlns:c16="http://schemas.microsoft.com/office/drawing/2014/chart" uri="{C3380CC4-5D6E-409C-BE32-E72D297353CC}">
                <c16:uniqueId val="{00000008-582A-470D-BEFF-F3CAA7926262}"/>
              </c:ext>
            </c:extLst>
          </c:dPt>
          <c:dPt>
            <c:idx val="5"/>
            <c:bubble3D val="0"/>
            <c:spPr>
              <a:solidFill>
                <a:schemeClr val="accent2">
                  <a:lumMod val="75000"/>
                </a:schemeClr>
              </a:solidFill>
            </c:spPr>
            <c:extLst>
              <c:ext xmlns:c16="http://schemas.microsoft.com/office/drawing/2014/chart" uri="{C3380CC4-5D6E-409C-BE32-E72D297353CC}">
                <c16:uniqueId val="{0000000A-582A-470D-BEFF-F3CAA7926262}"/>
              </c:ext>
            </c:extLst>
          </c:dPt>
          <c:dPt>
            <c:idx val="6"/>
            <c:bubble3D val="0"/>
            <c:extLst>
              <c:ext xmlns:c16="http://schemas.microsoft.com/office/drawing/2014/chart" uri="{C3380CC4-5D6E-409C-BE32-E72D297353CC}">
                <c16:uniqueId val="{0000000B-582A-470D-BEFF-F3CAA7926262}"/>
              </c:ext>
            </c:extLst>
          </c:dPt>
          <c:dPt>
            <c:idx val="7"/>
            <c:bubble3D val="0"/>
            <c:extLst>
              <c:ext xmlns:c16="http://schemas.microsoft.com/office/drawing/2014/chart" uri="{C3380CC4-5D6E-409C-BE32-E72D297353CC}">
                <c16:uniqueId val="{0000000C-582A-470D-BEFF-F3CAA7926262}"/>
              </c:ext>
            </c:extLst>
          </c:dPt>
          <c:dPt>
            <c:idx val="8"/>
            <c:bubble3D val="0"/>
            <c:extLst>
              <c:ext xmlns:c16="http://schemas.microsoft.com/office/drawing/2014/chart" uri="{C3380CC4-5D6E-409C-BE32-E72D297353CC}">
                <c16:uniqueId val="{0000000D-582A-470D-BEFF-F3CAA7926262}"/>
              </c:ext>
            </c:extLst>
          </c:dPt>
          <c:dLbls>
            <c:dLbl>
              <c:idx val="0"/>
              <c:layout>
                <c:manualLayout>
                  <c:x val="-4.1872550022156403E-2"/>
                  <c:y val="-8.16027874564459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2A-470D-BEFF-F3CAA7926262}"/>
                </c:ext>
              </c:extLst>
            </c:dLbl>
            <c:dLbl>
              <c:idx val="3"/>
              <c:layout>
                <c:manualLayout>
                  <c:x val="-0.10437804545954935"/>
                  <c:y val="4.0075767228125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82A-470D-BEFF-F3CAA7926262}"/>
                </c:ext>
              </c:extLst>
            </c:dLbl>
            <c:dLbl>
              <c:idx val="4"/>
              <c:layout>
                <c:manualLayout>
                  <c:x val="-0.13348606258654755"/>
                  <c:y val="-1.57609425035462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82A-470D-BEFF-F3CAA7926262}"/>
                </c:ext>
              </c:extLst>
            </c:dLbl>
            <c:dLbl>
              <c:idx val="5"/>
              <c:layout>
                <c:manualLayout>
                  <c:x val="-7.288870348160123E-2"/>
                  <c:y val="-2.82737473349811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82A-470D-BEFF-F3CAA7926262}"/>
                </c:ext>
              </c:extLst>
            </c:dLbl>
            <c:dLbl>
              <c:idx val="6"/>
              <c:layout>
                <c:manualLayout>
                  <c:x val="5.3103271838312628E-2"/>
                  <c:y val="3.56503167022632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82A-470D-BEFF-F3CAA7926262}"/>
                </c:ext>
              </c:extLst>
            </c:dLbl>
            <c:dLbl>
              <c:idx val="8"/>
              <c:layout>
                <c:manualLayout>
                  <c:x val="0.1202769521359499"/>
                  <c:y val="-2.835848957275755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82A-470D-BEFF-F3CAA7926262}"/>
                </c:ext>
              </c:extLst>
            </c:dLbl>
            <c:spPr>
              <a:noFill/>
              <a:ln>
                <a:noFill/>
              </a:ln>
              <a:effectLst/>
            </c:spPr>
            <c:txPr>
              <a:bodyPr/>
              <a:lstStyle/>
              <a:p>
                <a:pPr>
                  <a:defRPr sz="1400" b="1" i="0" u="none" strike="noStrike" baseline="0">
                    <a:solidFill>
                      <a:srgbClr val="000000"/>
                    </a:solidFill>
                    <a:latin typeface="Aptos" panose="020B0004020202020204" pitchFamily="34" charset="0"/>
                    <a:ea typeface="Calibri"/>
                    <a:cs typeface="Calibri"/>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Summary!$A$50:$A$56</c:f>
              <c:strCache>
                <c:ptCount val="7"/>
                <c:pt idx="0">
                  <c:v>Building Consumption</c:v>
                </c:pt>
                <c:pt idx="1">
                  <c:v>Electricity Consumption</c:v>
                </c:pt>
                <c:pt idx="2">
                  <c:v>Mobile Combustion</c:v>
                </c:pt>
                <c:pt idx="3">
                  <c:v>Natural Gas Systems</c:v>
                </c:pt>
                <c:pt idx="4">
                  <c:v>Industrial Processes</c:v>
                </c:pt>
                <c:pt idx="5">
                  <c:v>Agriculture &amp; Land Use</c:v>
                </c:pt>
                <c:pt idx="6">
                  <c:v>Waste</c:v>
                </c:pt>
              </c:strCache>
            </c:strRef>
          </c:cat>
          <c:val>
            <c:numRef>
              <c:f>Summary!$AO$22:$AO$28</c:f>
              <c:numCache>
                <c:formatCode>0.0%</c:formatCode>
                <c:ptCount val="7"/>
                <c:pt idx="0">
                  <c:v>0.34499971599028617</c:v>
                </c:pt>
                <c:pt idx="1">
                  <c:v>0.17286979438185446</c:v>
                </c:pt>
                <c:pt idx="2">
                  <c:v>0.40360153229006335</c:v>
                </c:pt>
                <c:pt idx="3">
                  <c:v>1.0843800260794763E-2</c:v>
                </c:pt>
                <c:pt idx="4">
                  <c:v>5.4991303958138137E-2</c:v>
                </c:pt>
                <c:pt idx="5">
                  <c:v>3.9382991143825869E-3</c:v>
                </c:pt>
                <c:pt idx="6">
                  <c:v>8.7555540044805709E-3</c:v>
                </c:pt>
              </c:numCache>
            </c:numRef>
          </c:val>
          <c:extLst>
            <c:ext xmlns:c16="http://schemas.microsoft.com/office/drawing/2014/chart" uri="{C3380CC4-5D6E-409C-BE32-E72D297353CC}">
              <c16:uniqueId val="{0000000E-582A-470D-BEFF-F3CAA792626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6776520484608304"/>
          <c:y val="6.1111917603065065E-2"/>
          <c:w val="0.31556807054747293"/>
          <c:h val="0.90421815709442366"/>
        </c:manualLayout>
      </c:layout>
      <c:overlay val="0"/>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i="0" u="none" strike="noStrike" baseline="0">
                <a:solidFill>
                  <a:srgbClr val="000000"/>
                </a:solidFill>
                <a:latin typeface="Calibri"/>
                <a:ea typeface="Calibri"/>
                <a:cs typeface="Calibri"/>
              </a:defRPr>
            </a:pPr>
            <a:r>
              <a:rPr lang="en-US" sz="1600" b="1" i="0" u="none" strike="noStrike" baseline="0">
                <a:solidFill>
                  <a:srgbClr val="000000"/>
                </a:solidFill>
                <a:latin typeface="Aptos" panose="020B0004020202020204" pitchFamily="34" charset="0"/>
              </a:rPr>
              <a:t>Percent of 1990 93.0 MMTCO</a:t>
            </a:r>
            <a:r>
              <a:rPr lang="en-US" sz="1600" b="1" i="0" u="none" strike="noStrike" baseline="-25000">
                <a:solidFill>
                  <a:srgbClr val="000000"/>
                </a:solidFill>
                <a:latin typeface="Aptos" panose="020B0004020202020204" pitchFamily="34" charset="0"/>
              </a:rPr>
              <a:t>2</a:t>
            </a:r>
            <a:r>
              <a:rPr lang="en-US" sz="1600" b="1" i="0" u="none" strike="noStrike" baseline="0">
                <a:solidFill>
                  <a:srgbClr val="000000"/>
                </a:solidFill>
                <a:latin typeface="Aptos" panose="020B0004020202020204" pitchFamily="34" charset="0"/>
              </a:rPr>
              <a:t>e</a:t>
            </a:r>
            <a:br>
              <a:rPr lang="en-US" sz="1600" b="1" i="0" u="none" strike="noStrike" baseline="0">
                <a:solidFill>
                  <a:srgbClr val="000000"/>
                </a:solidFill>
                <a:latin typeface="Aptos" panose="020B0004020202020204" pitchFamily="34" charset="0"/>
              </a:rPr>
            </a:br>
            <a:r>
              <a:rPr lang="en-US" sz="1600" b="1" i="0" u="none" strike="noStrike" baseline="0">
                <a:solidFill>
                  <a:srgbClr val="000000"/>
                </a:solidFill>
                <a:latin typeface="Aptos" panose="020B0004020202020204" pitchFamily="34" charset="0"/>
              </a:rPr>
              <a:t> GHG Emissions by Sector</a:t>
            </a:r>
          </a:p>
        </c:rich>
      </c:tx>
      <c:layout>
        <c:manualLayout>
          <c:xMode val="edge"/>
          <c:yMode val="edge"/>
          <c:x val="3.3736014786231193E-2"/>
          <c:y val="2.1447736860190525E-2"/>
        </c:manualLayout>
      </c:layout>
      <c:overlay val="0"/>
    </c:title>
    <c:autoTitleDeleted val="0"/>
    <c:plotArea>
      <c:layout/>
      <c:pieChart>
        <c:varyColors val="1"/>
        <c:ser>
          <c:idx val="0"/>
          <c:order val="0"/>
          <c:tx>
            <c:strRef>
              <c:f>Summary!$AN$32</c:f>
              <c:strCache>
                <c:ptCount val="1"/>
                <c:pt idx="0">
                  <c:v>Percent of Total GHG Emissions by Sector (1990)</c:v>
                </c:pt>
              </c:strCache>
            </c:strRef>
          </c:tx>
          <c:dPt>
            <c:idx val="0"/>
            <c:bubble3D val="0"/>
            <c:spPr>
              <a:pattFill prst="pct90">
                <a:fgClr>
                  <a:schemeClr val="tx2">
                    <a:lumMod val="75000"/>
                  </a:schemeClr>
                </a:fgClr>
                <a:bgClr>
                  <a:schemeClr val="bg1"/>
                </a:bgClr>
              </a:pattFill>
            </c:spPr>
            <c:extLst>
              <c:ext xmlns:c16="http://schemas.microsoft.com/office/drawing/2014/chart" uri="{C3380CC4-5D6E-409C-BE32-E72D297353CC}">
                <c16:uniqueId val="{00000001-8C83-48B5-B80F-74D4793AC24F}"/>
              </c:ext>
            </c:extLst>
          </c:dPt>
          <c:dPt>
            <c:idx val="1"/>
            <c:bubble3D val="0"/>
            <c:spPr>
              <a:solidFill>
                <a:srgbClr val="FF99FF"/>
              </a:solidFill>
            </c:spPr>
            <c:extLst>
              <c:ext xmlns:c16="http://schemas.microsoft.com/office/drawing/2014/chart" uri="{C3380CC4-5D6E-409C-BE32-E72D297353CC}">
                <c16:uniqueId val="{00000003-8C83-48B5-B80F-74D4793AC24F}"/>
              </c:ext>
            </c:extLst>
          </c:dPt>
          <c:dPt>
            <c:idx val="2"/>
            <c:bubble3D val="0"/>
            <c:spPr>
              <a:pattFill prst="plaid">
                <a:fgClr>
                  <a:schemeClr val="accent4">
                    <a:lumMod val="40000"/>
                    <a:lumOff val="60000"/>
                  </a:schemeClr>
                </a:fgClr>
                <a:bgClr>
                  <a:schemeClr val="bg1"/>
                </a:bgClr>
              </a:pattFill>
            </c:spPr>
            <c:extLst>
              <c:ext xmlns:c16="http://schemas.microsoft.com/office/drawing/2014/chart" uri="{C3380CC4-5D6E-409C-BE32-E72D297353CC}">
                <c16:uniqueId val="{00000005-8C83-48B5-B80F-74D4793AC24F}"/>
              </c:ext>
            </c:extLst>
          </c:dPt>
          <c:dPt>
            <c:idx val="3"/>
            <c:bubble3D val="0"/>
            <c:extLst>
              <c:ext xmlns:c16="http://schemas.microsoft.com/office/drawing/2014/chart" uri="{C3380CC4-5D6E-409C-BE32-E72D297353CC}">
                <c16:uniqueId val="{00000006-8C83-48B5-B80F-74D4793AC24F}"/>
              </c:ext>
            </c:extLst>
          </c:dPt>
          <c:dPt>
            <c:idx val="4"/>
            <c:bubble3D val="0"/>
            <c:spPr>
              <a:pattFill prst="wdUpDiag">
                <a:fgClr>
                  <a:schemeClr val="accent5">
                    <a:lumMod val="75000"/>
                  </a:schemeClr>
                </a:fgClr>
                <a:bgClr>
                  <a:schemeClr val="bg1"/>
                </a:bgClr>
              </a:pattFill>
            </c:spPr>
            <c:extLst>
              <c:ext xmlns:c16="http://schemas.microsoft.com/office/drawing/2014/chart" uri="{C3380CC4-5D6E-409C-BE32-E72D297353CC}">
                <c16:uniqueId val="{00000008-8C83-48B5-B80F-74D4793AC24F}"/>
              </c:ext>
            </c:extLst>
          </c:dPt>
          <c:dPt>
            <c:idx val="5"/>
            <c:bubble3D val="0"/>
            <c:spPr>
              <a:solidFill>
                <a:schemeClr val="accent2">
                  <a:lumMod val="50000"/>
                </a:schemeClr>
              </a:solidFill>
            </c:spPr>
            <c:extLst>
              <c:ext xmlns:c16="http://schemas.microsoft.com/office/drawing/2014/chart" uri="{C3380CC4-5D6E-409C-BE32-E72D297353CC}">
                <c16:uniqueId val="{0000000A-8C83-48B5-B80F-74D4793AC24F}"/>
              </c:ext>
            </c:extLst>
          </c:dPt>
          <c:dPt>
            <c:idx val="6"/>
            <c:bubble3D val="0"/>
            <c:extLst>
              <c:ext xmlns:c16="http://schemas.microsoft.com/office/drawing/2014/chart" uri="{C3380CC4-5D6E-409C-BE32-E72D297353CC}">
                <c16:uniqueId val="{0000000B-8C83-48B5-B80F-74D4793AC24F}"/>
              </c:ext>
            </c:extLst>
          </c:dPt>
          <c:dPt>
            <c:idx val="7"/>
            <c:bubble3D val="0"/>
            <c:extLst>
              <c:ext xmlns:c16="http://schemas.microsoft.com/office/drawing/2014/chart" uri="{C3380CC4-5D6E-409C-BE32-E72D297353CC}">
                <c16:uniqueId val="{0000000C-8C83-48B5-B80F-74D4793AC24F}"/>
              </c:ext>
            </c:extLst>
          </c:dPt>
          <c:dPt>
            <c:idx val="8"/>
            <c:bubble3D val="0"/>
            <c:extLst>
              <c:ext xmlns:c16="http://schemas.microsoft.com/office/drawing/2014/chart" uri="{C3380CC4-5D6E-409C-BE32-E72D297353CC}">
                <c16:uniqueId val="{0000000D-8C83-48B5-B80F-74D4793AC24F}"/>
              </c:ext>
            </c:extLst>
          </c:dPt>
          <c:dLbls>
            <c:dLbl>
              <c:idx val="0"/>
              <c:layout>
                <c:manualLayout>
                  <c:x val="-6.6155804448083361E-2"/>
                  <c:y val="-6.33675548681157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83-48B5-B80F-74D4793AC24F}"/>
                </c:ext>
              </c:extLst>
            </c:dLbl>
            <c:dLbl>
              <c:idx val="6"/>
              <c:layout>
                <c:manualLayout>
                  <c:x val="0.148158963573262"/>
                  <c:y val="-1.35430146440608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C83-48B5-B80F-74D4793AC24F}"/>
                </c:ext>
              </c:extLst>
            </c:dLbl>
            <c:dLbl>
              <c:idx val="8"/>
              <c:layout>
                <c:manualLayout>
                  <c:x val="0.15993232634000221"/>
                  <c:y val="-6.1149737898361593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C83-48B5-B80F-74D4793AC24F}"/>
                </c:ext>
              </c:extLst>
            </c:dLbl>
            <c:spPr>
              <a:noFill/>
              <a:ln>
                <a:noFill/>
              </a:ln>
              <a:effectLst/>
            </c:spPr>
            <c:txPr>
              <a:bodyPr/>
              <a:lstStyle/>
              <a:p>
                <a:pPr>
                  <a:defRPr sz="1400" b="1" i="0" u="none" strike="noStrike" baseline="0">
                    <a:solidFill>
                      <a:srgbClr val="000000"/>
                    </a:solidFill>
                    <a:latin typeface="Aptos" panose="020B0004020202020204" pitchFamily="34" charset="0"/>
                    <a:ea typeface="Calibri"/>
                    <a:cs typeface="Calibri"/>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Summary!$A$50:$A$56</c:f>
              <c:strCache>
                <c:ptCount val="7"/>
                <c:pt idx="0">
                  <c:v>Building Consumption</c:v>
                </c:pt>
                <c:pt idx="1">
                  <c:v>Electricity Consumption</c:v>
                </c:pt>
                <c:pt idx="2">
                  <c:v>Mobile Combustion</c:v>
                </c:pt>
                <c:pt idx="3">
                  <c:v>Natural Gas Systems</c:v>
                </c:pt>
                <c:pt idx="4">
                  <c:v>Industrial Processes</c:v>
                </c:pt>
                <c:pt idx="5">
                  <c:v>Agriculture &amp; Land Use</c:v>
                </c:pt>
                <c:pt idx="6">
                  <c:v>Waste</c:v>
                </c:pt>
              </c:strCache>
            </c:strRef>
          </c:cat>
          <c:val>
            <c:numRef>
              <c:f>Summary!$AO$34:$AO$40</c:f>
              <c:numCache>
                <c:formatCode>0.0%</c:formatCode>
                <c:ptCount val="7"/>
                <c:pt idx="0">
                  <c:v>0.31577885999214939</c:v>
                </c:pt>
                <c:pt idx="1">
                  <c:v>0.30280536341435854</c:v>
                </c:pt>
                <c:pt idx="2">
                  <c:v>0.31806597562279965</c:v>
                </c:pt>
                <c:pt idx="3">
                  <c:v>2.0082403080929814E-2</c:v>
                </c:pt>
                <c:pt idx="4">
                  <c:v>7.0560890198005793E-3</c:v>
                </c:pt>
                <c:pt idx="5">
                  <c:v>4.7965214329284698E-3</c:v>
                </c:pt>
                <c:pt idx="6">
                  <c:v>3.1414787437033603E-2</c:v>
                </c:pt>
              </c:numCache>
            </c:numRef>
          </c:val>
          <c:extLst>
            <c:ext xmlns:c16="http://schemas.microsoft.com/office/drawing/2014/chart" uri="{C3380CC4-5D6E-409C-BE32-E72D297353CC}">
              <c16:uniqueId val="{0000000E-8C83-48B5-B80F-74D4793AC24F}"/>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6776520484608304"/>
          <c:y val="3.4330450919494312E-2"/>
          <c:w val="0.31556807054747293"/>
          <c:h val="0.92796860703377693"/>
        </c:manualLayout>
      </c:layout>
      <c:overlay val="0"/>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i="0" u="none" strike="noStrike" baseline="0">
                <a:solidFill>
                  <a:srgbClr val="000000"/>
                </a:solidFill>
                <a:latin typeface="Calibri"/>
                <a:ea typeface="Calibri"/>
                <a:cs typeface="Calibri"/>
              </a:defRPr>
            </a:pPr>
            <a:r>
              <a:rPr lang="en-US" sz="1600" b="1" i="0" u="none" strike="noStrike" baseline="0">
                <a:solidFill>
                  <a:srgbClr val="000000"/>
                </a:solidFill>
                <a:latin typeface="Aptos" panose="020B0004020202020204" pitchFamily="34" charset="0"/>
              </a:rPr>
              <a:t>Percent of </a:t>
            </a:r>
            <a:r>
              <a:rPr lang="en-US" sz="1600" b="1" i="0" u="none" strike="noStrike" baseline="0">
                <a:solidFill>
                  <a:sysClr val="windowText" lastClr="000000"/>
                </a:solidFill>
                <a:latin typeface="Aptos" panose="020B0004020202020204" pitchFamily="34" charset="0"/>
              </a:rPr>
              <a:t>2023 65.3 </a:t>
            </a:r>
            <a:r>
              <a:rPr lang="en-US" sz="1600" b="1" i="0" u="none" strike="noStrike" baseline="0">
                <a:solidFill>
                  <a:srgbClr val="000000"/>
                </a:solidFill>
                <a:latin typeface="Aptos" panose="020B0004020202020204" pitchFamily="34" charset="0"/>
              </a:rPr>
              <a:t>MMTCO</a:t>
            </a:r>
            <a:r>
              <a:rPr lang="en-US" sz="1600" b="1" i="0" u="none" strike="noStrike" baseline="-25000">
                <a:solidFill>
                  <a:srgbClr val="000000"/>
                </a:solidFill>
                <a:latin typeface="Aptos" panose="020B0004020202020204" pitchFamily="34" charset="0"/>
              </a:rPr>
              <a:t>2</a:t>
            </a:r>
            <a:r>
              <a:rPr lang="en-US" sz="1600" b="1" i="0" u="none" strike="noStrike" baseline="0">
                <a:solidFill>
                  <a:srgbClr val="000000"/>
                </a:solidFill>
                <a:latin typeface="Aptos" panose="020B0004020202020204" pitchFamily="34" charset="0"/>
              </a:rPr>
              <a:t>e </a:t>
            </a:r>
          </a:p>
          <a:p>
            <a:pPr>
              <a:defRPr sz="1600" b="0" i="0" u="none" strike="noStrike" baseline="0">
                <a:solidFill>
                  <a:srgbClr val="000000"/>
                </a:solidFill>
                <a:latin typeface="Calibri"/>
                <a:ea typeface="Calibri"/>
                <a:cs typeface="Calibri"/>
              </a:defRPr>
            </a:pPr>
            <a:r>
              <a:rPr lang="en-US" sz="1600" b="1" i="0" u="none" strike="noStrike" baseline="0">
                <a:solidFill>
                  <a:srgbClr val="000000"/>
                </a:solidFill>
                <a:latin typeface="Aptos" panose="020B0004020202020204" pitchFamily="34" charset="0"/>
              </a:rPr>
              <a:t>GHG Emissions by Alternate Sector</a:t>
            </a:r>
          </a:p>
        </c:rich>
      </c:tx>
      <c:layout>
        <c:manualLayout>
          <c:xMode val="edge"/>
          <c:yMode val="edge"/>
          <c:x val="5.7079275192825768E-3"/>
          <c:y val="1.4493638122224341E-2"/>
        </c:manualLayout>
      </c:layout>
      <c:overlay val="0"/>
      <c:spPr>
        <a:noFill/>
      </c:spPr>
    </c:title>
    <c:autoTitleDeleted val="0"/>
    <c:plotArea>
      <c:layout>
        <c:manualLayout>
          <c:layoutTarget val="inner"/>
          <c:xMode val="edge"/>
          <c:yMode val="edge"/>
          <c:x val="0.15201238204003126"/>
          <c:y val="0.32529768556828553"/>
          <c:w val="0.38823185269780208"/>
          <c:h val="0.66121394630654917"/>
        </c:manualLayout>
      </c:layout>
      <c:pieChart>
        <c:varyColors val="1"/>
        <c:ser>
          <c:idx val="0"/>
          <c:order val="0"/>
          <c:tx>
            <c:strRef>
              <c:f>Summary!$AR$20</c:f>
              <c:strCache>
                <c:ptCount val="1"/>
                <c:pt idx="0">
                  <c:v>Percent of Total GHG Emissions by Alternate Sector (2023)</c:v>
                </c:pt>
              </c:strCache>
            </c:strRef>
          </c:tx>
          <c:dPt>
            <c:idx val="0"/>
            <c:bubble3D val="0"/>
            <c:spPr>
              <a:solidFill>
                <a:srgbClr val="FF99FF"/>
              </a:solidFill>
            </c:spPr>
            <c:extLst>
              <c:ext xmlns:c16="http://schemas.microsoft.com/office/drawing/2014/chart" uri="{C3380CC4-5D6E-409C-BE32-E72D297353CC}">
                <c16:uniqueId val="{00000001-E0EF-498E-AC12-5B0AA7E98F5A}"/>
              </c:ext>
            </c:extLst>
          </c:dPt>
          <c:dPt>
            <c:idx val="1"/>
            <c:bubble3D val="0"/>
            <c:spPr>
              <a:pattFill prst="lgCheck">
                <a:fgClr>
                  <a:schemeClr val="accent4">
                    <a:lumMod val="40000"/>
                    <a:lumOff val="60000"/>
                  </a:schemeClr>
                </a:fgClr>
                <a:bgClr>
                  <a:schemeClr val="bg1"/>
                </a:bgClr>
              </a:pattFill>
            </c:spPr>
            <c:extLst>
              <c:ext xmlns:c16="http://schemas.microsoft.com/office/drawing/2014/chart" uri="{C3380CC4-5D6E-409C-BE32-E72D297353CC}">
                <c16:uniqueId val="{00000003-E0EF-498E-AC12-5B0AA7E98F5A}"/>
              </c:ext>
            </c:extLst>
          </c:dPt>
          <c:dPt>
            <c:idx val="2"/>
            <c:bubble3D val="0"/>
            <c:spPr>
              <a:solidFill>
                <a:schemeClr val="accent3">
                  <a:lumMod val="50000"/>
                </a:schemeClr>
              </a:solidFill>
            </c:spPr>
            <c:extLst>
              <c:ext xmlns:c16="http://schemas.microsoft.com/office/drawing/2014/chart" uri="{C3380CC4-5D6E-409C-BE32-E72D297353CC}">
                <c16:uniqueId val="{00000005-E0EF-498E-AC12-5B0AA7E98F5A}"/>
              </c:ext>
            </c:extLst>
          </c:dPt>
          <c:dPt>
            <c:idx val="3"/>
            <c:bubble3D val="0"/>
            <c:spPr>
              <a:solidFill>
                <a:schemeClr val="accent6">
                  <a:lumMod val="60000"/>
                  <a:lumOff val="40000"/>
                </a:schemeClr>
              </a:solidFill>
            </c:spPr>
            <c:extLst>
              <c:ext xmlns:c16="http://schemas.microsoft.com/office/drawing/2014/chart" uri="{C3380CC4-5D6E-409C-BE32-E72D297353CC}">
                <c16:uniqueId val="{00000007-E0EF-498E-AC12-5B0AA7E98F5A}"/>
              </c:ext>
            </c:extLst>
          </c:dPt>
          <c:dPt>
            <c:idx val="4"/>
            <c:bubble3D val="0"/>
            <c:spPr>
              <a:pattFill prst="wdUpDiag">
                <a:fgClr>
                  <a:schemeClr val="accent5">
                    <a:lumMod val="75000"/>
                  </a:schemeClr>
                </a:fgClr>
                <a:bgClr>
                  <a:schemeClr val="bg1"/>
                </a:bgClr>
              </a:pattFill>
            </c:spPr>
            <c:extLst>
              <c:ext xmlns:c16="http://schemas.microsoft.com/office/drawing/2014/chart" uri="{C3380CC4-5D6E-409C-BE32-E72D297353CC}">
                <c16:uniqueId val="{00000009-E0EF-498E-AC12-5B0AA7E98F5A}"/>
              </c:ext>
            </c:extLst>
          </c:dPt>
          <c:dPt>
            <c:idx val="5"/>
            <c:bubble3D val="0"/>
            <c:spPr>
              <a:solidFill>
                <a:schemeClr val="accent4">
                  <a:lumMod val="75000"/>
                </a:schemeClr>
              </a:solidFill>
            </c:spPr>
            <c:extLst>
              <c:ext xmlns:c16="http://schemas.microsoft.com/office/drawing/2014/chart" uri="{C3380CC4-5D6E-409C-BE32-E72D297353CC}">
                <c16:uniqueId val="{0000000B-E0EF-498E-AC12-5B0AA7E98F5A}"/>
              </c:ext>
            </c:extLst>
          </c:dPt>
          <c:dPt>
            <c:idx val="6"/>
            <c:bubble3D val="0"/>
            <c:spPr>
              <a:pattFill prst="narHorz">
                <a:fgClr>
                  <a:schemeClr val="accent1">
                    <a:lumMod val="40000"/>
                    <a:lumOff val="60000"/>
                  </a:schemeClr>
                </a:fgClr>
                <a:bgClr>
                  <a:schemeClr val="bg1"/>
                </a:bgClr>
              </a:pattFill>
            </c:spPr>
            <c:extLst>
              <c:ext xmlns:c16="http://schemas.microsoft.com/office/drawing/2014/chart" uri="{C3380CC4-5D6E-409C-BE32-E72D297353CC}">
                <c16:uniqueId val="{0000000D-E0EF-498E-AC12-5B0AA7E98F5A}"/>
              </c:ext>
            </c:extLst>
          </c:dPt>
          <c:dPt>
            <c:idx val="7"/>
            <c:bubble3D val="0"/>
            <c:spPr>
              <a:solidFill>
                <a:schemeClr val="accent2">
                  <a:lumMod val="75000"/>
                </a:schemeClr>
              </a:solidFill>
            </c:spPr>
            <c:extLst>
              <c:ext xmlns:c16="http://schemas.microsoft.com/office/drawing/2014/chart" uri="{C3380CC4-5D6E-409C-BE32-E72D297353CC}">
                <c16:uniqueId val="{0000000F-E0EF-498E-AC12-5B0AA7E98F5A}"/>
              </c:ext>
            </c:extLst>
          </c:dPt>
          <c:dPt>
            <c:idx val="8"/>
            <c:bubble3D val="0"/>
            <c:spPr>
              <a:pattFill prst="dkUpDiag">
                <a:fgClr>
                  <a:schemeClr val="accent3">
                    <a:lumMod val="40000"/>
                    <a:lumOff val="60000"/>
                  </a:schemeClr>
                </a:fgClr>
                <a:bgClr>
                  <a:schemeClr val="bg1"/>
                </a:bgClr>
              </a:pattFill>
            </c:spPr>
            <c:extLst>
              <c:ext xmlns:c16="http://schemas.microsoft.com/office/drawing/2014/chart" uri="{C3380CC4-5D6E-409C-BE32-E72D297353CC}">
                <c16:uniqueId val="{00000011-E0EF-498E-AC12-5B0AA7E98F5A}"/>
              </c:ext>
            </c:extLst>
          </c:dPt>
          <c:dLbls>
            <c:dLbl>
              <c:idx val="2"/>
              <c:layout>
                <c:manualLayout>
                  <c:x val="-2.0679068754409308E-2"/>
                  <c:y val="-6.0409775767648423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EF-498E-AC12-5B0AA7E98F5A}"/>
                </c:ext>
              </c:extLst>
            </c:dLbl>
            <c:dLbl>
              <c:idx val="8"/>
              <c:layout>
                <c:manualLayout>
                  <c:x val="0.15648724730019434"/>
                  <c:y val="2.4262888049069706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0EF-498E-AC12-5B0AA7E98F5A}"/>
                </c:ext>
              </c:extLst>
            </c:dLbl>
            <c:spPr>
              <a:noFill/>
              <a:ln>
                <a:noFill/>
              </a:ln>
              <a:effectLst/>
            </c:spPr>
            <c:txPr>
              <a:bodyPr wrap="square" lIns="38100" tIns="19050" rIns="38100" bIns="19050" anchor="ctr">
                <a:spAutoFit/>
              </a:bodyPr>
              <a:lstStyle/>
              <a:p>
                <a:pPr>
                  <a:defRPr sz="1400" b="1">
                    <a:latin typeface="Aptos" panose="020B0004020202020204" pitchFamily="34" charset="0"/>
                  </a:defRPr>
                </a:pPr>
                <a:endParaRPr lang="en-US"/>
              </a:p>
            </c:tx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Summary!$AT$22:$AT$30</c:f>
              <c:strCache>
                <c:ptCount val="9"/>
                <c:pt idx="0">
                  <c:v>Electric Power</c:v>
                </c:pt>
                <c:pt idx="1">
                  <c:v>Transportation</c:v>
                </c:pt>
                <c:pt idx="2">
                  <c:v>Commercial &amp; Industrial Heating and Cooling</c:v>
                </c:pt>
                <c:pt idx="3">
                  <c:v>Residential Heating and Cooling</c:v>
                </c:pt>
                <c:pt idx="4">
                  <c:v>Industrial Processes</c:v>
                </c:pt>
                <c:pt idx="5">
                  <c:v>Natural Gas Distribution and Service</c:v>
                </c:pt>
                <c:pt idx="6">
                  <c:v>Natural Gas Transmission and Storage</c:v>
                </c:pt>
                <c:pt idx="7">
                  <c:v>Agriculture &amp; Land Use</c:v>
                </c:pt>
                <c:pt idx="8">
                  <c:v>Waste</c:v>
                </c:pt>
              </c:strCache>
            </c:strRef>
          </c:cat>
          <c:val>
            <c:numRef>
              <c:f>Summary!$AS$22:$AS$30</c:f>
              <c:numCache>
                <c:formatCode>0.0%</c:formatCode>
                <c:ptCount val="9"/>
                <c:pt idx="0">
                  <c:v>0.17286979438185446</c:v>
                </c:pt>
                <c:pt idx="1">
                  <c:v>0.40360153229006335</c:v>
                </c:pt>
                <c:pt idx="2">
                  <c:v>0.16309753525302007</c:v>
                </c:pt>
                <c:pt idx="3">
                  <c:v>0.18190218073726608</c:v>
                </c:pt>
                <c:pt idx="4">
                  <c:v>5.4991303958138137E-2</c:v>
                </c:pt>
                <c:pt idx="5">
                  <c:v>9.3232688412777081E-3</c:v>
                </c:pt>
                <c:pt idx="6">
                  <c:v>1.5205314195170549E-3</c:v>
                </c:pt>
                <c:pt idx="7">
                  <c:v>3.9382991143825869E-3</c:v>
                </c:pt>
                <c:pt idx="8">
                  <c:v>8.7555540044805709E-3</c:v>
                </c:pt>
              </c:numCache>
            </c:numRef>
          </c:val>
          <c:extLst>
            <c:ext xmlns:c16="http://schemas.microsoft.com/office/drawing/2014/chart" uri="{C3380CC4-5D6E-409C-BE32-E72D297353CC}">
              <c16:uniqueId val="{00000012-E0EF-498E-AC12-5B0AA7E98F5A}"/>
            </c:ext>
          </c:extLst>
        </c:ser>
        <c:dLbls>
          <c:dLblPos val="bestFit"/>
          <c:showLegendKey val="0"/>
          <c:showVal val="1"/>
          <c:showCatName val="0"/>
          <c:showSerName val="0"/>
          <c:showPercent val="0"/>
          <c:showBubbleSize val="0"/>
          <c:showLeaderLines val="1"/>
        </c:dLbls>
        <c:firstSliceAng val="0"/>
      </c:pieChart>
      <c:spPr>
        <a:noFill/>
        <a:ln w="25400">
          <a:noFill/>
        </a:ln>
      </c:spPr>
    </c:plotArea>
    <c:legend>
      <c:legendPos val="r"/>
      <c:layout>
        <c:manualLayout>
          <c:xMode val="edge"/>
          <c:yMode val="edge"/>
          <c:x val="0.63527671474141278"/>
          <c:y val="1.3019074956767534E-2"/>
          <c:w val="0.36077925119562321"/>
          <c:h val="0.98698092504323232"/>
        </c:manualLayout>
      </c:layout>
      <c:overlay val="0"/>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i="0" u="none" strike="noStrike" baseline="0">
                <a:solidFill>
                  <a:srgbClr val="000000"/>
                </a:solidFill>
                <a:latin typeface="Calibri"/>
                <a:ea typeface="Calibri"/>
                <a:cs typeface="Calibri"/>
              </a:defRPr>
            </a:pPr>
            <a:r>
              <a:rPr lang="en-US" sz="1600" b="1" i="0" u="none" strike="noStrike" baseline="0">
                <a:solidFill>
                  <a:srgbClr val="000000"/>
                </a:solidFill>
                <a:latin typeface="Aptos" panose="020B0004020202020204" pitchFamily="34" charset="0"/>
              </a:rPr>
              <a:t>Percent of 1990 93.0 MMTCO</a:t>
            </a:r>
            <a:r>
              <a:rPr lang="en-US" sz="1600" b="1" i="0" u="none" strike="noStrike" baseline="-25000">
                <a:solidFill>
                  <a:srgbClr val="000000"/>
                </a:solidFill>
                <a:latin typeface="Aptos" panose="020B0004020202020204" pitchFamily="34" charset="0"/>
              </a:rPr>
              <a:t>2</a:t>
            </a:r>
            <a:r>
              <a:rPr lang="en-US" sz="1600" b="1" i="0" u="none" strike="noStrike" baseline="0">
                <a:solidFill>
                  <a:srgbClr val="000000"/>
                </a:solidFill>
                <a:latin typeface="Aptos" panose="020B0004020202020204" pitchFamily="34" charset="0"/>
              </a:rPr>
              <a:t>e</a:t>
            </a:r>
          </a:p>
          <a:p>
            <a:pPr>
              <a:defRPr sz="1600" b="0" i="0" u="none" strike="noStrike" baseline="0">
                <a:solidFill>
                  <a:srgbClr val="000000"/>
                </a:solidFill>
                <a:latin typeface="Calibri"/>
                <a:ea typeface="Calibri"/>
                <a:cs typeface="Calibri"/>
              </a:defRPr>
            </a:pPr>
            <a:r>
              <a:rPr lang="en-US" sz="1600" b="1" i="0" u="none" strike="noStrike" baseline="0">
                <a:solidFill>
                  <a:srgbClr val="000000"/>
                </a:solidFill>
                <a:latin typeface="Aptos" panose="020B0004020202020204" pitchFamily="34" charset="0"/>
              </a:rPr>
              <a:t> GHG Emissions by Alternate Sector</a:t>
            </a:r>
          </a:p>
        </c:rich>
      </c:tx>
      <c:layout>
        <c:manualLayout>
          <c:xMode val="edge"/>
          <c:yMode val="edge"/>
          <c:x val="1.9986089746518638E-3"/>
          <c:y val="1.4101492599663987E-2"/>
        </c:manualLayout>
      </c:layout>
      <c:overlay val="0"/>
    </c:title>
    <c:autoTitleDeleted val="0"/>
    <c:plotArea>
      <c:layout/>
      <c:pieChart>
        <c:varyColors val="1"/>
        <c:ser>
          <c:idx val="0"/>
          <c:order val="0"/>
          <c:tx>
            <c:strRef>
              <c:f>Summary!$AV$20</c:f>
              <c:strCache>
                <c:ptCount val="1"/>
                <c:pt idx="0">
                  <c:v>Percent of Total GHG Emissions by Alternate Sector (1990)</c:v>
                </c:pt>
              </c:strCache>
            </c:strRef>
          </c:tx>
          <c:dPt>
            <c:idx val="0"/>
            <c:bubble3D val="0"/>
            <c:spPr>
              <a:solidFill>
                <a:srgbClr val="FF99FF"/>
              </a:solidFill>
            </c:spPr>
            <c:extLst>
              <c:ext xmlns:c16="http://schemas.microsoft.com/office/drawing/2014/chart" uri="{C3380CC4-5D6E-409C-BE32-E72D297353CC}">
                <c16:uniqueId val="{00000001-C9BB-4E99-86C4-F052A7A076CF}"/>
              </c:ext>
            </c:extLst>
          </c:dPt>
          <c:dPt>
            <c:idx val="1"/>
            <c:bubble3D val="0"/>
            <c:spPr>
              <a:pattFill prst="lgCheck">
                <a:fgClr>
                  <a:schemeClr val="accent4">
                    <a:lumMod val="40000"/>
                    <a:lumOff val="60000"/>
                  </a:schemeClr>
                </a:fgClr>
                <a:bgClr>
                  <a:schemeClr val="bg1"/>
                </a:bgClr>
              </a:pattFill>
            </c:spPr>
            <c:extLst>
              <c:ext xmlns:c16="http://schemas.microsoft.com/office/drawing/2014/chart" uri="{C3380CC4-5D6E-409C-BE32-E72D297353CC}">
                <c16:uniqueId val="{00000003-C9BB-4E99-86C4-F052A7A076CF}"/>
              </c:ext>
            </c:extLst>
          </c:dPt>
          <c:dPt>
            <c:idx val="2"/>
            <c:bubble3D val="0"/>
            <c:spPr>
              <a:solidFill>
                <a:schemeClr val="accent3">
                  <a:lumMod val="50000"/>
                </a:schemeClr>
              </a:solidFill>
            </c:spPr>
            <c:extLst>
              <c:ext xmlns:c16="http://schemas.microsoft.com/office/drawing/2014/chart" uri="{C3380CC4-5D6E-409C-BE32-E72D297353CC}">
                <c16:uniqueId val="{00000005-C9BB-4E99-86C4-F052A7A076CF}"/>
              </c:ext>
            </c:extLst>
          </c:dPt>
          <c:dPt>
            <c:idx val="3"/>
            <c:bubble3D val="0"/>
            <c:spPr>
              <a:solidFill>
                <a:schemeClr val="accent6">
                  <a:lumMod val="40000"/>
                  <a:lumOff val="60000"/>
                </a:schemeClr>
              </a:solidFill>
            </c:spPr>
            <c:extLst>
              <c:ext xmlns:c16="http://schemas.microsoft.com/office/drawing/2014/chart" uri="{C3380CC4-5D6E-409C-BE32-E72D297353CC}">
                <c16:uniqueId val="{00000007-C9BB-4E99-86C4-F052A7A076CF}"/>
              </c:ext>
            </c:extLst>
          </c:dPt>
          <c:dPt>
            <c:idx val="4"/>
            <c:bubble3D val="0"/>
            <c:spPr>
              <a:pattFill prst="wdUpDiag">
                <a:fgClr>
                  <a:schemeClr val="accent5">
                    <a:lumMod val="75000"/>
                  </a:schemeClr>
                </a:fgClr>
                <a:bgClr>
                  <a:schemeClr val="bg1"/>
                </a:bgClr>
              </a:pattFill>
            </c:spPr>
            <c:extLst>
              <c:ext xmlns:c16="http://schemas.microsoft.com/office/drawing/2014/chart" uri="{C3380CC4-5D6E-409C-BE32-E72D297353CC}">
                <c16:uniqueId val="{00000009-C9BB-4E99-86C4-F052A7A076CF}"/>
              </c:ext>
            </c:extLst>
          </c:dPt>
          <c:dPt>
            <c:idx val="5"/>
            <c:bubble3D val="0"/>
            <c:spPr>
              <a:solidFill>
                <a:schemeClr val="accent4">
                  <a:lumMod val="75000"/>
                </a:schemeClr>
              </a:solidFill>
            </c:spPr>
            <c:extLst>
              <c:ext xmlns:c16="http://schemas.microsoft.com/office/drawing/2014/chart" uri="{C3380CC4-5D6E-409C-BE32-E72D297353CC}">
                <c16:uniqueId val="{0000000B-C9BB-4E99-86C4-F052A7A076CF}"/>
              </c:ext>
            </c:extLst>
          </c:dPt>
          <c:dPt>
            <c:idx val="6"/>
            <c:bubble3D val="0"/>
            <c:spPr>
              <a:pattFill prst="narHorz">
                <a:fgClr>
                  <a:schemeClr val="accent5">
                    <a:lumMod val="60000"/>
                    <a:lumOff val="40000"/>
                  </a:schemeClr>
                </a:fgClr>
                <a:bgClr>
                  <a:schemeClr val="bg1"/>
                </a:bgClr>
              </a:pattFill>
            </c:spPr>
            <c:extLst>
              <c:ext xmlns:c16="http://schemas.microsoft.com/office/drawing/2014/chart" uri="{C3380CC4-5D6E-409C-BE32-E72D297353CC}">
                <c16:uniqueId val="{0000000D-C9BB-4E99-86C4-F052A7A076CF}"/>
              </c:ext>
            </c:extLst>
          </c:dPt>
          <c:dPt>
            <c:idx val="7"/>
            <c:bubble3D val="0"/>
            <c:spPr>
              <a:solidFill>
                <a:schemeClr val="accent2">
                  <a:lumMod val="50000"/>
                </a:schemeClr>
              </a:solidFill>
            </c:spPr>
            <c:extLst>
              <c:ext xmlns:c16="http://schemas.microsoft.com/office/drawing/2014/chart" uri="{C3380CC4-5D6E-409C-BE32-E72D297353CC}">
                <c16:uniqueId val="{0000000F-C9BB-4E99-86C4-F052A7A076CF}"/>
              </c:ext>
            </c:extLst>
          </c:dPt>
          <c:dPt>
            <c:idx val="8"/>
            <c:bubble3D val="0"/>
            <c:spPr>
              <a:pattFill prst="dkUpDiag">
                <a:fgClr>
                  <a:schemeClr val="accent3">
                    <a:lumMod val="40000"/>
                    <a:lumOff val="60000"/>
                  </a:schemeClr>
                </a:fgClr>
                <a:bgClr>
                  <a:schemeClr val="bg1"/>
                </a:bgClr>
              </a:pattFill>
            </c:spPr>
            <c:extLst>
              <c:ext xmlns:c16="http://schemas.microsoft.com/office/drawing/2014/chart" uri="{C3380CC4-5D6E-409C-BE32-E72D297353CC}">
                <c16:uniqueId val="{00000011-C9BB-4E99-86C4-F052A7A076CF}"/>
              </c:ext>
            </c:extLst>
          </c:dPt>
          <c:dLbls>
            <c:dLbl>
              <c:idx val="2"/>
              <c:layout>
                <c:manualLayout>
                  <c:x val="1.7968228399444686E-3"/>
                  <c:y val="8.9509216560253568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BB-4E99-86C4-F052A7A076CF}"/>
                </c:ext>
              </c:extLst>
            </c:dLbl>
            <c:dLbl>
              <c:idx val="8"/>
              <c:layout>
                <c:manualLayout>
                  <c:x val="0.14194411187560549"/>
                  <c:y val="3.9442622455302494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9BB-4E99-86C4-F052A7A076CF}"/>
                </c:ext>
              </c:extLst>
            </c:dLbl>
            <c:spPr>
              <a:noFill/>
              <a:ln>
                <a:noFill/>
              </a:ln>
              <a:effectLst/>
            </c:spPr>
            <c:txPr>
              <a:bodyPr wrap="square" lIns="38100" tIns="19050" rIns="38100" bIns="19050" anchor="ctr">
                <a:spAutoFit/>
              </a:bodyPr>
              <a:lstStyle/>
              <a:p>
                <a:pPr>
                  <a:defRPr sz="1400" b="1">
                    <a:latin typeface="Aptos" panose="020B0004020202020204" pitchFamily="34" charset="0"/>
                  </a:defRPr>
                </a:pPr>
                <a:endParaRPr lang="en-US"/>
              </a:p>
            </c:tx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Summary!$AX$22:$AX$30</c:f>
              <c:strCache>
                <c:ptCount val="9"/>
                <c:pt idx="0">
                  <c:v>Electric Power</c:v>
                </c:pt>
                <c:pt idx="1">
                  <c:v>Transportation</c:v>
                </c:pt>
                <c:pt idx="2">
                  <c:v>Commercial &amp; Industrial Heating and Cooling</c:v>
                </c:pt>
                <c:pt idx="3">
                  <c:v>Residential Heating and Cooling</c:v>
                </c:pt>
                <c:pt idx="4">
                  <c:v>Industrial Processes</c:v>
                </c:pt>
                <c:pt idx="5">
                  <c:v>Natural Gas Distribution and Service</c:v>
                </c:pt>
                <c:pt idx="6">
                  <c:v>Natural Gas Transmission and Storage</c:v>
                </c:pt>
                <c:pt idx="7">
                  <c:v>Agriculture &amp; Land Use</c:v>
                </c:pt>
                <c:pt idx="8">
                  <c:v>Waste</c:v>
                </c:pt>
              </c:strCache>
            </c:strRef>
          </c:cat>
          <c:val>
            <c:numRef>
              <c:f>Summary!$AW$22:$AW$30</c:f>
              <c:numCache>
                <c:formatCode>0.0%</c:formatCode>
                <c:ptCount val="9"/>
                <c:pt idx="0">
                  <c:v>0.3028053634143586</c:v>
                </c:pt>
                <c:pt idx="1">
                  <c:v>0.3180659756227997</c:v>
                </c:pt>
                <c:pt idx="2">
                  <c:v>0.15112491297187566</c:v>
                </c:pt>
                <c:pt idx="3">
                  <c:v>0.16465394702027372</c:v>
                </c:pt>
                <c:pt idx="4">
                  <c:v>7.0560890198005802E-3</c:v>
                </c:pt>
                <c:pt idx="5">
                  <c:v>1.8258330506836402E-2</c:v>
                </c:pt>
                <c:pt idx="6">
                  <c:v>1.8240725740934153E-3</c:v>
                </c:pt>
                <c:pt idx="7">
                  <c:v>4.7965214329284706E-3</c:v>
                </c:pt>
                <c:pt idx="8">
                  <c:v>3.1414787437033603E-2</c:v>
                </c:pt>
              </c:numCache>
            </c:numRef>
          </c:val>
          <c:extLst>
            <c:ext xmlns:c16="http://schemas.microsoft.com/office/drawing/2014/chart" uri="{C3380CC4-5D6E-409C-BE32-E72D297353CC}">
              <c16:uniqueId val="{00000012-C9BB-4E99-86C4-F052A7A076CF}"/>
            </c:ext>
          </c:extLst>
        </c:ser>
        <c:dLbls>
          <c:dLblPos val="bestFit"/>
          <c:showLegendKey val="0"/>
          <c:showVal val="1"/>
          <c:showCatName val="0"/>
          <c:showSerName val="0"/>
          <c:showPercent val="0"/>
          <c:showBubbleSize val="0"/>
          <c:showLeaderLines val="1"/>
        </c:dLbls>
        <c:firstSliceAng val="0"/>
      </c:pieChart>
      <c:spPr>
        <a:noFill/>
        <a:ln w="25400">
          <a:noFill/>
        </a:ln>
      </c:spPr>
    </c:plotArea>
    <c:legend>
      <c:legendPos val="r"/>
      <c:layout>
        <c:manualLayout>
          <c:xMode val="edge"/>
          <c:yMode val="edge"/>
          <c:x val="0.61618564603989301"/>
          <c:y val="4.2409739850280525E-3"/>
          <c:w val="0.36714763652609189"/>
          <c:h val="0.99575896878855841"/>
        </c:manualLayout>
      </c:layout>
      <c:overlay val="0"/>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i="0" u="none" strike="noStrike" baseline="0">
                <a:solidFill>
                  <a:srgbClr val="000000"/>
                </a:solidFill>
                <a:latin typeface="Aptos" panose="020B0004020202020204" pitchFamily="34" charset="0"/>
                <a:ea typeface="Calibri"/>
                <a:cs typeface="Calibri"/>
              </a:defRPr>
            </a:pPr>
            <a:r>
              <a:rPr lang="en-US" sz="1600" b="1" i="0" u="none" strike="noStrike" baseline="0">
                <a:solidFill>
                  <a:srgbClr val="000000"/>
                </a:solidFill>
                <a:latin typeface="Aptos" panose="020B0004020202020204" pitchFamily="34" charset="0"/>
              </a:rPr>
              <a:t>4 Gases</a:t>
            </a:r>
          </a:p>
          <a:p>
            <a:pPr>
              <a:defRPr sz="1600" b="0" i="0" u="none" strike="noStrike" baseline="0">
                <a:solidFill>
                  <a:srgbClr val="000000"/>
                </a:solidFill>
                <a:latin typeface="Aptos" panose="020B0004020202020204" pitchFamily="34" charset="0"/>
                <a:ea typeface="Calibri"/>
                <a:cs typeface="Calibri"/>
              </a:defRPr>
            </a:pPr>
            <a:r>
              <a:rPr lang="en-US" sz="1600" b="1" i="0" u="none" strike="noStrike" baseline="0">
                <a:solidFill>
                  <a:srgbClr val="000000"/>
                </a:solidFill>
                <a:latin typeface="Aptos" panose="020B0004020202020204" pitchFamily="34" charset="0"/>
              </a:rPr>
              <a:t>(MMTCO</a:t>
            </a:r>
            <a:r>
              <a:rPr lang="en-US" sz="1600" b="1" i="0" u="none" strike="noStrike" baseline="-25000">
                <a:solidFill>
                  <a:srgbClr val="000000"/>
                </a:solidFill>
                <a:latin typeface="Aptos" panose="020B0004020202020204" pitchFamily="34" charset="0"/>
              </a:rPr>
              <a:t>2</a:t>
            </a:r>
            <a:r>
              <a:rPr lang="en-US" sz="1600" b="1" i="0" u="none" strike="noStrike" baseline="0">
                <a:solidFill>
                  <a:srgbClr val="000000"/>
                </a:solidFill>
                <a:latin typeface="Aptos" panose="020B0004020202020204" pitchFamily="34" charset="0"/>
              </a:rPr>
              <a:t>e</a:t>
            </a:r>
            <a:r>
              <a:rPr lang="en-US" sz="1600" b="0" i="0" u="none" strike="noStrike" baseline="0">
                <a:solidFill>
                  <a:srgbClr val="000000"/>
                </a:solidFill>
                <a:latin typeface="Aptos" panose="020B0004020202020204" pitchFamily="34" charset="0"/>
              </a:rPr>
              <a:t>)</a:t>
            </a:r>
          </a:p>
        </c:rich>
      </c:tx>
      <c:layout>
        <c:manualLayout>
          <c:xMode val="edge"/>
          <c:yMode val="edge"/>
          <c:x val="0.84198085426285374"/>
          <c:y val="2.0427446569178852E-2"/>
        </c:manualLayout>
      </c:layout>
      <c:overlay val="0"/>
    </c:title>
    <c:autoTitleDeleted val="0"/>
    <c:plotArea>
      <c:layout>
        <c:manualLayout>
          <c:layoutTarget val="inner"/>
          <c:xMode val="edge"/>
          <c:yMode val="edge"/>
          <c:x val="5.2993939597739917E-2"/>
          <c:y val="3.1709786276715411E-2"/>
          <c:w val="0.76678023302201226"/>
          <c:h val="0.74793264478303845"/>
        </c:manualLayout>
      </c:layout>
      <c:lineChart>
        <c:grouping val="standard"/>
        <c:varyColors val="0"/>
        <c:ser>
          <c:idx val="0"/>
          <c:order val="0"/>
          <c:tx>
            <c:strRef>
              <c:f>'Adjustable GWP Summary'!$A$62</c:f>
              <c:strCache>
                <c:ptCount val="1"/>
                <c:pt idx="0">
                  <c:v>CO2 </c:v>
                </c:pt>
              </c:strCache>
            </c:strRef>
          </c:tx>
          <c:spPr>
            <a:ln>
              <a:solidFill>
                <a:schemeClr val="tx2">
                  <a:lumMod val="75000"/>
                </a:schemeClr>
              </a:solidFill>
            </a:ln>
          </c:spPr>
          <c:marker>
            <c:spPr>
              <a:solidFill>
                <a:schemeClr val="tx2">
                  <a:lumMod val="75000"/>
                </a:schemeClr>
              </a:solidFill>
              <a:ln>
                <a:solidFill>
                  <a:srgbClr val="1F497D">
                    <a:lumMod val="75000"/>
                  </a:srgbClr>
                </a:solidFill>
              </a:ln>
            </c:spPr>
          </c:marker>
          <c:cat>
            <c:strRef>
              <c:f>'Adjustable GWP Summary'!$B$61:$AI$61</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'Adjustable GWP Summary'!$B$62:$AI$62</c:f>
              <c:numCache>
                <c:formatCode>#,##0.00</c:formatCode>
                <c:ptCount val="34"/>
                <c:pt idx="0" formatCode="#,##0.0">
                  <c:v>83.895847239273991</c:v>
                </c:pt>
                <c:pt idx="1">
                  <c:v>82.439280973406937</c:v>
                </c:pt>
                <c:pt idx="2">
                  <c:v>84.075436428388443</c:v>
                </c:pt>
                <c:pt idx="3">
                  <c:v>81.359861789517367</c:v>
                </c:pt>
                <c:pt idx="4">
                  <c:v>81.794739723416455</c:v>
                </c:pt>
                <c:pt idx="5">
                  <c:v>79.382444176503583</c:v>
                </c:pt>
                <c:pt idx="6">
                  <c:v>79.693729182225709</c:v>
                </c:pt>
                <c:pt idx="7">
                  <c:v>85.657983627594589</c:v>
                </c:pt>
                <c:pt idx="8">
                  <c:v>83.89332227117734</c:v>
                </c:pt>
                <c:pt idx="9">
                  <c:v>81.498922285744428</c:v>
                </c:pt>
                <c:pt idx="10">
                  <c:v>83.093517920381245</c:v>
                </c:pt>
                <c:pt idx="11">
                  <c:v>82.968576597891371</c:v>
                </c:pt>
                <c:pt idx="12">
                  <c:v>84.067250909326603</c:v>
                </c:pt>
                <c:pt idx="13">
                  <c:v>86.309559866608794</c:v>
                </c:pt>
                <c:pt idx="14">
                  <c:v>84.181657050058135</c:v>
                </c:pt>
                <c:pt idx="15">
                  <c:v>85.37767760850889</c:v>
                </c:pt>
                <c:pt idx="16">
                  <c:v>77.733614529752913</c:v>
                </c:pt>
                <c:pt idx="17">
                  <c:v>81.006231359953773</c:v>
                </c:pt>
                <c:pt idx="18">
                  <c:v>77.616496449332303</c:v>
                </c:pt>
                <c:pt idx="19">
                  <c:v>71.984982000487221</c:v>
                </c:pt>
                <c:pt idx="20">
                  <c:v>74.257060192012901</c:v>
                </c:pt>
                <c:pt idx="21">
                  <c:v>68.650278988048655</c:v>
                </c:pt>
                <c:pt idx="22">
                  <c:v>62.39311414856013</c:v>
                </c:pt>
                <c:pt idx="23">
                  <c:v>66.483443440875277</c:v>
                </c:pt>
                <c:pt idx="24">
                  <c:v>64.458438184126649</c:v>
                </c:pt>
                <c:pt idx="25">
                  <c:v>65.887932043358646</c:v>
                </c:pt>
                <c:pt idx="26">
                  <c:v>62.627936745975894</c:v>
                </c:pt>
                <c:pt idx="27">
                  <c:v>62.977863680660462</c:v>
                </c:pt>
                <c:pt idx="28">
                  <c:v>62.549790172242673</c:v>
                </c:pt>
                <c:pt idx="29">
                  <c:v>61.303518117806661</c:v>
                </c:pt>
                <c:pt idx="30">
                  <c:v>52.285677543838929</c:v>
                </c:pt>
                <c:pt idx="31">
                  <c:v>56.154485899439308</c:v>
                </c:pt>
                <c:pt idx="32">
                  <c:v>58.562695664346876</c:v>
                </c:pt>
                <c:pt idx="33">
                  <c:v>55.643864378345249</c:v>
                </c:pt>
              </c:numCache>
            </c:numRef>
          </c:val>
          <c:smooth val="0"/>
          <c:extLst>
            <c:ext xmlns:c16="http://schemas.microsoft.com/office/drawing/2014/chart" uri="{C3380CC4-5D6E-409C-BE32-E72D297353CC}">
              <c16:uniqueId val="{00000000-8F7C-48E8-A2BB-535EF400D5B9}"/>
            </c:ext>
          </c:extLst>
        </c:ser>
        <c:ser>
          <c:idx val="1"/>
          <c:order val="1"/>
          <c:tx>
            <c:strRef>
              <c:f>'Adjustable GWP Summary'!$A$63</c:f>
              <c:strCache>
                <c:ptCount val="1"/>
                <c:pt idx="0">
                  <c:v>CH4 </c:v>
                </c:pt>
              </c:strCache>
            </c:strRef>
          </c:tx>
          <c:spPr>
            <a:ln>
              <a:solidFill>
                <a:schemeClr val="bg2">
                  <a:lumMod val="25000"/>
                </a:schemeClr>
              </a:solidFill>
            </a:ln>
          </c:spPr>
          <c:marker>
            <c:spPr>
              <a:solidFill>
                <a:schemeClr val="bg2">
                  <a:lumMod val="25000"/>
                </a:schemeClr>
              </a:solidFill>
              <a:ln>
                <a:solidFill>
                  <a:schemeClr val="bg2">
                    <a:lumMod val="25000"/>
                  </a:schemeClr>
                </a:solidFill>
              </a:ln>
            </c:spPr>
          </c:marker>
          <c:cat>
            <c:strRef>
              <c:f>'Adjustable GWP Summary'!$B$61:$AI$61</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'Adjustable GWP Summary'!$B$63:$AI$63</c:f>
              <c:numCache>
                <c:formatCode>#,##0.00</c:formatCode>
                <c:ptCount val="34"/>
                <c:pt idx="0" formatCode="#,##0.0">
                  <c:v>5.1761534036933918</c:v>
                </c:pt>
                <c:pt idx="1">
                  <c:v>5.2588578922422258</c:v>
                </c:pt>
                <c:pt idx="2">
                  <c:v>5.1534549835317298</c:v>
                </c:pt>
                <c:pt idx="3">
                  <c:v>4.9532535948485208</c:v>
                </c:pt>
                <c:pt idx="4">
                  <c:v>4.8651668020091527</c:v>
                </c:pt>
                <c:pt idx="5">
                  <c:v>4.8301700610314438</c:v>
                </c:pt>
                <c:pt idx="6">
                  <c:v>4.3776975735694821</c:v>
                </c:pt>
                <c:pt idx="7">
                  <c:v>3.8160529505157501</c:v>
                </c:pt>
                <c:pt idx="8">
                  <c:v>3.6466250893452283</c:v>
                </c:pt>
                <c:pt idx="9">
                  <c:v>3.579215211556924</c:v>
                </c:pt>
                <c:pt idx="10">
                  <c:v>2.9297856896200645</c:v>
                </c:pt>
                <c:pt idx="11">
                  <c:v>2.4685266409127014</c:v>
                </c:pt>
                <c:pt idx="12">
                  <c:v>2.8111789670930203</c:v>
                </c:pt>
                <c:pt idx="13">
                  <c:v>3.2440338711628542</c:v>
                </c:pt>
                <c:pt idx="14">
                  <c:v>3.0235018803241052</c:v>
                </c:pt>
                <c:pt idx="15">
                  <c:v>2.8651937713096518</c:v>
                </c:pt>
                <c:pt idx="16">
                  <c:v>2.6217170022063203</c:v>
                </c:pt>
                <c:pt idx="17">
                  <c:v>2.4947959286577639</c:v>
                </c:pt>
                <c:pt idx="18">
                  <c:v>2.4929152686757243</c:v>
                </c:pt>
                <c:pt idx="19">
                  <c:v>2.5304234827446681</c:v>
                </c:pt>
                <c:pt idx="20">
                  <c:v>2.0722903809955855</c:v>
                </c:pt>
                <c:pt idx="21">
                  <c:v>1.9028965959186102</c:v>
                </c:pt>
                <c:pt idx="22">
                  <c:v>1.9212919848134289</c:v>
                </c:pt>
                <c:pt idx="23">
                  <c:v>1.833743330050011</c:v>
                </c:pt>
                <c:pt idx="24">
                  <c:v>1.7524939307057326</c:v>
                </c:pt>
                <c:pt idx="25">
                  <c:v>1.780925309598157</c:v>
                </c:pt>
                <c:pt idx="26">
                  <c:v>1.7005934655274793</c:v>
                </c:pt>
                <c:pt idx="27">
                  <c:v>1.6455850091325299</c:v>
                </c:pt>
                <c:pt idx="28">
                  <c:v>1.6270963244136893</c:v>
                </c:pt>
                <c:pt idx="29">
                  <c:v>1.6351694601127658</c:v>
                </c:pt>
                <c:pt idx="30">
                  <c:v>1.616329024558208</c:v>
                </c:pt>
                <c:pt idx="31">
                  <c:v>1.5035796658630463</c:v>
                </c:pt>
                <c:pt idx="32">
                  <c:v>1.5356745303637294</c:v>
                </c:pt>
                <c:pt idx="33">
                  <c:v>1.4687829192079942</c:v>
                </c:pt>
              </c:numCache>
            </c:numRef>
          </c:val>
          <c:smooth val="0"/>
          <c:extLst>
            <c:ext xmlns:c16="http://schemas.microsoft.com/office/drawing/2014/chart" uri="{C3380CC4-5D6E-409C-BE32-E72D297353CC}">
              <c16:uniqueId val="{00000001-8F7C-48E8-A2BB-535EF400D5B9}"/>
            </c:ext>
          </c:extLst>
        </c:ser>
        <c:ser>
          <c:idx val="2"/>
          <c:order val="2"/>
          <c:tx>
            <c:strRef>
              <c:f>'Adjustable GWP Summary'!$A$64</c:f>
              <c:strCache>
                <c:ptCount val="1"/>
                <c:pt idx="0">
                  <c:v>N2O </c:v>
                </c:pt>
              </c:strCache>
            </c:strRef>
          </c:tx>
          <c:spPr>
            <a:ln>
              <a:solidFill>
                <a:srgbClr val="C00000"/>
              </a:solidFill>
            </a:ln>
          </c:spPr>
          <c:marker>
            <c:spPr>
              <a:solidFill>
                <a:srgbClr val="C00000"/>
              </a:solidFill>
              <a:ln>
                <a:solidFill>
                  <a:srgbClr val="C00000"/>
                </a:solidFill>
              </a:ln>
            </c:spPr>
          </c:marker>
          <c:cat>
            <c:strRef>
              <c:f>'Adjustable GWP Summary'!$B$61:$AI$61</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'Adjustable GWP Summary'!$B$64:$AI$64</c:f>
              <c:numCache>
                <c:formatCode>#,##0.00</c:formatCode>
                <c:ptCount val="34"/>
                <c:pt idx="0" formatCode="#,##0.0">
                  <c:v>1.5657831640407653</c:v>
                </c:pt>
                <c:pt idx="1">
                  <c:v>1.6027346978523331</c:v>
                </c:pt>
                <c:pt idx="2">
                  <c:v>1.640814171994045</c:v>
                </c:pt>
                <c:pt idx="3">
                  <c:v>1.6112568347648981</c:v>
                </c:pt>
                <c:pt idx="4">
                  <c:v>1.6771113741448378</c:v>
                </c:pt>
                <c:pt idx="5">
                  <c:v>1.6924285668205585</c:v>
                </c:pt>
                <c:pt idx="6">
                  <c:v>1.7303933918243477</c:v>
                </c:pt>
                <c:pt idx="7">
                  <c:v>1.738043314551704</c:v>
                </c:pt>
                <c:pt idx="8">
                  <c:v>1.7372543976840522</c:v>
                </c:pt>
                <c:pt idx="9">
                  <c:v>1.6754021128680283</c:v>
                </c:pt>
                <c:pt idx="10">
                  <c:v>1.6412344121762148</c:v>
                </c:pt>
                <c:pt idx="11">
                  <c:v>1.5834465866710301</c:v>
                </c:pt>
                <c:pt idx="12">
                  <c:v>1.5274409428169635</c:v>
                </c:pt>
                <c:pt idx="13">
                  <c:v>1.470367504162847</c:v>
                </c:pt>
                <c:pt idx="14">
                  <c:v>1.4094041810437969</c:v>
                </c:pt>
                <c:pt idx="15">
                  <c:v>1.3730452623301386</c:v>
                </c:pt>
                <c:pt idx="16">
                  <c:v>1.3339055661421813</c:v>
                </c:pt>
                <c:pt idx="17">
                  <c:v>1.2274202222486517</c:v>
                </c:pt>
                <c:pt idx="18">
                  <c:v>1.1850958851657787</c:v>
                </c:pt>
                <c:pt idx="19">
                  <c:v>1.1079602299520588</c:v>
                </c:pt>
                <c:pt idx="20">
                  <c:v>1.050077327850883</c:v>
                </c:pt>
                <c:pt idx="21">
                  <c:v>1.0323466863830424</c:v>
                </c:pt>
                <c:pt idx="22">
                  <c:v>0.95488989887944598</c:v>
                </c:pt>
                <c:pt idx="23">
                  <c:v>0.94673619165162648</c:v>
                </c:pt>
                <c:pt idx="24">
                  <c:v>0.91081683750913089</c:v>
                </c:pt>
                <c:pt idx="25">
                  <c:v>0.84360663356800292</c:v>
                </c:pt>
                <c:pt idx="26">
                  <c:v>0.80182939100955486</c:v>
                </c:pt>
                <c:pt idx="27">
                  <c:v>0.78435299149927962</c:v>
                </c:pt>
                <c:pt idx="28">
                  <c:v>0.73810720781031069</c:v>
                </c:pt>
                <c:pt idx="29">
                  <c:v>0.76983335180993517</c:v>
                </c:pt>
                <c:pt idx="30">
                  <c:v>0.70633413157157365</c:v>
                </c:pt>
                <c:pt idx="31">
                  <c:v>0.71120841859766937</c:v>
                </c:pt>
                <c:pt idx="32">
                  <c:v>0.72741605679153498</c:v>
                </c:pt>
                <c:pt idx="33">
                  <c:v>0.71391148986715747</c:v>
                </c:pt>
              </c:numCache>
            </c:numRef>
          </c:val>
          <c:smooth val="0"/>
          <c:extLst>
            <c:ext xmlns:c16="http://schemas.microsoft.com/office/drawing/2014/chart" uri="{C3380CC4-5D6E-409C-BE32-E72D297353CC}">
              <c16:uniqueId val="{00000002-8F7C-48E8-A2BB-535EF400D5B9}"/>
            </c:ext>
          </c:extLst>
        </c:ser>
        <c:ser>
          <c:idx val="4"/>
          <c:order val="3"/>
          <c:tx>
            <c:strRef>
              <c:f>'Adjustable GWP Summary'!$A$65</c:f>
              <c:strCache>
                <c:ptCount val="1"/>
                <c:pt idx="0">
                  <c:v>SF6 (from Electric Power Trans. and Dist. Services)</c:v>
                </c:pt>
              </c:strCache>
            </c:strRef>
          </c:tx>
          <c:spPr>
            <a:ln>
              <a:solidFill>
                <a:schemeClr val="accent4">
                  <a:lumMod val="75000"/>
                </a:schemeClr>
              </a:solidFill>
            </a:ln>
          </c:spPr>
          <c:marker>
            <c:spPr>
              <a:solidFill>
                <a:schemeClr val="accent4">
                  <a:lumMod val="75000"/>
                </a:schemeClr>
              </a:solidFill>
              <a:ln>
                <a:solidFill>
                  <a:srgbClr val="8064A2">
                    <a:lumMod val="75000"/>
                  </a:srgbClr>
                </a:solidFill>
              </a:ln>
            </c:spPr>
          </c:marker>
          <c:cat>
            <c:strRef>
              <c:f>'Adjustable GWP Summary'!$B$61:$AI$61</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'Adjustable GWP Summary'!$B$65:$AI$65</c:f>
              <c:numCache>
                <c:formatCode>#,##0.00</c:formatCode>
                <c:ptCount val="34"/>
                <c:pt idx="0" formatCode="#,##0.0">
                  <c:v>0.38789975619760453</c:v>
                </c:pt>
                <c:pt idx="1">
                  <c:v>0.15040000000000001</c:v>
                </c:pt>
                <c:pt idx="2">
                  <c:v>0.14899000000000001</c:v>
                </c:pt>
                <c:pt idx="3">
                  <c:v>0.14429</c:v>
                </c:pt>
                <c:pt idx="4">
                  <c:v>0.13583000000000001</c:v>
                </c:pt>
                <c:pt idx="5">
                  <c:v>0.12454999999999999</c:v>
                </c:pt>
                <c:pt idx="6">
                  <c:v>0.11421000000000001</c:v>
                </c:pt>
                <c:pt idx="7">
                  <c:v>0.105045</c:v>
                </c:pt>
                <c:pt idx="8">
                  <c:v>8.8830000000000006E-2</c:v>
                </c:pt>
                <c:pt idx="9">
                  <c:v>8.9300000000000004E-2</c:v>
                </c:pt>
                <c:pt idx="10">
                  <c:v>8.5775000000000004E-2</c:v>
                </c:pt>
                <c:pt idx="11">
                  <c:v>8.4599999999999995E-2</c:v>
                </c:pt>
                <c:pt idx="12">
                  <c:v>7.8490000000000004E-2</c:v>
                </c:pt>
                <c:pt idx="13">
                  <c:v>7.6609999999999998E-2</c:v>
                </c:pt>
                <c:pt idx="14">
                  <c:v>7.4730000000000005E-2</c:v>
                </c:pt>
                <c:pt idx="15">
                  <c:v>7.1910000000000002E-2</c:v>
                </c:pt>
                <c:pt idx="16">
                  <c:v>6.6269999999999996E-2</c:v>
                </c:pt>
                <c:pt idx="17">
                  <c:v>6.2509999999999996E-2</c:v>
                </c:pt>
                <c:pt idx="18">
                  <c:v>5.9924999999999999E-2</c:v>
                </c:pt>
                <c:pt idx="19">
                  <c:v>5.5225000000000003E-2</c:v>
                </c:pt>
                <c:pt idx="20">
                  <c:v>4.6530000000000009E-2</c:v>
                </c:pt>
                <c:pt idx="21">
                  <c:v>4.4179999999999997E-2</c:v>
                </c:pt>
                <c:pt idx="22">
                  <c:v>3.8539999999999998E-2</c:v>
                </c:pt>
                <c:pt idx="23">
                  <c:v>3.5720000000000002E-2</c:v>
                </c:pt>
                <c:pt idx="24">
                  <c:v>3.619E-2</c:v>
                </c:pt>
                <c:pt idx="25">
                  <c:v>3.243E-2</c:v>
                </c:pt>
                <c:pt idx="26">
                  <c:v>3.172500000000001E-2</c:v>
                </c:pt>
                <c:pt idx="27">
                  <c:v>3.172500000000001E-2</c:v>
                </c:pt>
                <c:pt idx="28">
                  <c:v>3.243E-2</c:v>
                </c:pt>
                <c:pt idx="29">
                  <c:v>3.4544999999999999E-2</c:v>
                </c:pt>
                <c:pt idx="30">
                  <c:v>3.3605000000000003E-2</c:v>
                </c:pt>
                <c:pt idx="31">
                  <c:v>3.5485000000000003E-2</c:v>
                </c:pt>
                <c:pt idx="32">
                  <c:v>3.4075000000000001E-2</c:v>
                </c:pt>
                <c:pt idx="33">
                  <c:v>3.3840000000000002E-2</c:v>
                </c:pt>
              </c:numCache>
            </c:numRef>
          </c:val>
          <c:smooth val="0"/>
          <c:extLst>
            <c:ext xmlns:c16="http://schemas.microsoft.com/office/drawing/2014/chart" uri="{C3380CC4-5D6E-409C-BE32-E72D297353CC}">
              <c16:uniqueId val="{00000003-8F7C-48E8-A2BB-535EF400D5B9}"/>
            </c:ext>
          </c:extLst>
        </c:ser>
        <c:dLbls>
          <c:showLegendKey val="0"/>
          <c:showVal val="0"/>
          <c:showCatName val="0"/>
          <c:showSerName val="0"/>
          <c:showPercent val="0"/>
          <c:showBubbleSize val="0"/>
        </c:dLbls>
        <c:marker val="1"/>
        <c:smooth val="0"/>
        <c:axId val="47875968"/>
        <c:axId val="47890432"/>
      </c:lineChart>
      <c:catAx>
        <c:axId val="47875968"/>
        <c:scaling>
          <c:orientation val="minMax"/>
        </c:scaling>
        <c:delete val="0"/>
        <c:axPos val="b"/>
        <c:numFmt formatCode="General" sourceLinked="1"/>
        <c:majorTickMark val="out"/>
        <c:minorTickMark val="none"/>
        <c:tickLblPos val="nextTo"/>
        <c:txPr>
          <a:bodyPr rot="-540000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7890432"/>
        <c:crosses val="autoZero"/>
        <c:auto val="1"/>
        <c:lblAlgn val="ctr"/>
        <c:lblOffset val="100"/>
        <c:noMultiLvlLbl val="0"/>
      </c:catAx>
      <c:valAx>
        <c:axId val="47890432"/>
        <c:scaling>
          <c:orientation val="minMax"/>
          <c:max val="90"/>
          <c:min val="0"/>
        </c:scaling>
        <c:delete val="0"/>
        <c:axPos val="l"/>
        <c:majorGridlines/>
        <c:numFmt formatCode="0" sourceLinked="0"/>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7875968"/>
        <c:crosses val="autoZero"/>
        <c:crossBetween val="between"/>
      </c:valAx>
    </c:plotArea>
    <c:legend>
      <c:legendPos val="r"/>
      <c:layout>
        <c:manualLayout>
          <c:xMode val="edge"/>
          <c:yMode val="edge"/>
          <c:x val="0.81644685077951784"/>
          <c:y val="0.21957289429730376"/>
          <c:w val="0.18077363605269245"/>
          <c:h val="0.78014964038586088"/>
        </c:manualLayout>
      </c:layout>
      <c:overlay val="0"/>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 Biogenic CO</a:t>
            </a:r>
            <a:r>
              <a:rPr lang="en-US" baseline="-25000"/>
              <a:t>2</a:t>
            </a:r>
            <a:r>
              <a:rPr lang="en-US"/>
              <a:t> Emissions from Combustion  </a:t>
            </a:r>
          </a:p>
        </c:rich>
      </c:tx>
      <c:layout>
        <c:manualLayout>
          <c:xMode val="edge"/>
          <c:yMode val="edge"/>
          <c:x val="0.11456146106736657"/>
          <c:y val="2.3970597383045304E-2"/>
        </c:manualLayout>
      </c:layout>
      <c:overlay val="0"/>
    </c:title>
    <c:autoTitleDeleted val="0"/>
    <c:plotArea>
      <c:layout>
        <c:manualLayout>
          <c:layoutTarget val="inner"/>
          <c:xMode val="edge"/>
          <c:yMode val="edge"/>
          <c:x val="9.9124126004937044E-2"/>
          <c:y val="0.14735128124713626"/>
          <c:w val="0.62160761154855648"/>
          <c:h val="0.72043193667680616"/>
        </c:manualLayout>
      </c:layout>
      <c:lineChart>
        <c:grouping val="standard"/>
        <c:varyColors val="0"/>
        <c:ser>
          <c:idx val="4"/>
          <c:order val="0"/>
          <c:tx>
            <c:strRef>
              <c:f>'Biogenic Summary'!$A$74</c:f>
              <c:strCache>
                <c:ptCount val="1"/>
                <c:pt idx="0">
                  <c:v>    Electric (Wood, MSW, LFGTE and Imports)</c:v>
                </c:pt>
              </c:strCache>
            </c:strRef>
          </c:tx>
          <c:spPr>
            <a:ln>
              <a:solidFill>
                <a:srgbClr val="FF33CC"/>
              </a:solidFill>
            </a:ln>
          </c:spPr>
          <c:marker>
            <c:symbol val="triangle"/>
            <c:size val="6"/>
            <c:spPr>
              <a:solidFill>
                <a:srgbClr val="FFCCFF"/>
              </a:solidFill>
              <a:ln>
                <a:solidFill>
                  <a:srgbClr val="FF33CC"/>
                </a:solidFill>
              </a:ln>
            </c:spPr>
          </c:marker>
          <c:cat>
            <c:strRef>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Summary'!$B$74:$AI$74</c:f>
              <c:numCache>
                <c:formatCode>#,##0.0</c:formatCode>
                <c:ptCount val="34"/>
                <c:pt idx="0">
                  <c:v>1.4598545940000001</c:v>
                </c:pt>
                <c:pt idx="1">
                  <c:v>1.5266397250000001</c:v>
                </c:pt>
                <c:pt idx="2">
                  <c:v>1.646216248</c:v>
                </c:pt>
                <c:pt idx="3">
                  <c:v>1.7485106620000002</c:v>
                </c:pt>
                <c:pt idx="4">
                  <c:v>1.910060334</c:v>
                </c:pt>
                <c:pt idx="5">
                  <c:v>1.830508829</c:v>
                </c:pt>
                <c:pt idx="6">
                  <c:v>1.89171134225</c:v>
                </c:pt>
                <c:pt idx="7">
                  <c:v>1.9365334247999999</c:v>
                </c:pt>
                <c:pt idx="8">
                  <c:v>1.9236398668599997</c:v>
                </c:pt>
                <c:pt idx="9">
                  <c:v>1.8926339732949997</c:v>
                </c:pt>
                <c:pt idx="10">
                  <c:v>1.8661558132949998</c:v>
                </c:pt>
                <c:pt idx="11">
                  <c:v>2.4160944058295222</c:v>
                </c:pt>
                <c:pt idx="12">
                  <c:v>2.5594017663342474</c:v>
                </c:pt>
                <c:pt idx="13">
                  <c:v>2.1898975667270975</c:v>
                </c:pt>
                <c:pt idx="14">
                  <c:v>2.1342491156242485</c:v>
                </c:pt>
                <c:pt idx="15">
                  <c:v>2.7961652352009967</c:v>
                </c:pt>
                <c:pt idx="16">
                  <c:v>2.4240198388235594</c:v>
                </c:pt>
                <c:pt idx="17">
                  <c:v>3.0844169355471314</c:v>
                </c:pt>
                <c:pt idx="18">
                  <c:v>3.2657280891448561</c:v>
                </c:pt>
                <c:pt idx="19">
                  <c:v>3.1127777982653111</c:v>
                </c:pt>
                <c:pt idx="20">
                  <c:v>3.3256453469697895</c:v>
                </c:pt>
                <c:pt idx="21">
                  <c:v>3.0452483606855165</c:v>
                </c:pt>
                <c:pt idx="22">
                  <c:v>2.9641930025587442</c:v>
                </c:pt>
                <c:pt idx="23">
                  <c:v>3.0398850769147376</c:v>
                </c:pt>
                <c:pt idx="24">
                  <c:v>2.9895505353429255</c:v>
                </c:pt>
                <c:pt idx="25">
                  <c:v>3.2079502160504116</c:v>
                </c:pt>
                <c:pt idx="26">
                  <c:v>2.8992057147162047</c:v>
                </c:pt>
                <c:pt idx="27">
                  <c:v>1.9722075297188426</c:v>
                </c:pt>
                <c:pt idx="28">
                  <c:v>2.1299674967706905</c:v>
                </c:pt>
                <c:pt idx="29">
                  <c:v>2.02613831769062</c:v>
                </c:pt>
                <c:pt idx="30">
                  <c:v>2.0517079667553473</c:v>
                </c:pt>
                <c:pt idx="31">
                  <c:v>1.8870578390119175</c:v>
                </c:pt>
                <c:pt idx="32">
                  <c:v>1.9105986135582551</c:v>
                </c:pt>
                <c:pt idx="33">
                  <c:v>1.9844392405460916</c:v>
                </c:pt>
              </c:numCache>
            </c:numRef>
          </c:val>
          <c:smooth val="0"/>
          <c:extLst>
            <c:ext xmlns:c16="http://schemas.microsoft.com/office/drawing/2014/chart" uri="{C3380CC4-5D6E-409C-BE32-E72D297353CC}">
              <c16:uniqueId val="{00000000-379C-49F2-AA09-A78A8A8D0778}"/>
            </c:ext>
          </c:extLst>
        </c:ser>
        <c:ser>
          <c:idx val="3"/>
          <c:order val="1"/>
          <c:tx>
            <c:strRef>
              <c:f>'Biogenic Summary'!$A$71</c:f>
              <c:strCache>
                <c:ptCount val="1"/>
                <c:pt idx="0">
                  <c:v>     Transportation (Ethanol and Biodiesel)</c:v>
                </c:pt>
              </c:strCache>
            </c:strRef>
          </c:tx>
          <c:marker>
            <c:symbol val="square"/>
            <c:size val="5"/>
            <c:spPr>
              <a:solidFill>
                <a:schemeClr val="accent4">
                  <a:lumMod val="20000"/>
                  <a:lumOff val="80000"/>
                </a:schemeClr>
              </a:solidFill>
            </c:spPr>
          </c:marker>
          <c:cat>
            <c:strRef>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Summary'!$B$71:$AI$71</c:f>
              <c:numCache>
                <c:formatCode>#,##0.0_);\(#,##0.0\)</c:formatCode>
                <c:ptCount val="34"/>
                <c:pt idx="0" formatCode="#,##0.0">
                  <c:v>0</c:v>
                </c:pt>
                <c:pt idx="1">
                  <c:v>0</c:v>
                </c:pt>
                <c:pt idx="2">
                  <c:v>0</c:v>
                </c:pt>
                <c:pt idx="3">
                  <c:v>0</c:v>
                </c:pt>
                <c:pt idx="4">
                  <c:v>0</c:v>
                </c:pt>
                <c:pt idx="5">
                  <c:v>0</c:v>
                </c:pt>
                <c:pt idx="6">
                  <c:v>0</c:v>
                </c:pt>
                <c:pt idx="7">
                  <c:v>0</c:v>
                </c:pt>
                <c:pt idx="8">
                  <c:v>0</c:v>
                </c:pt>
                <c:pt idx="9">
                  <c:v>0</c:v>
                </c:pt>
                <c:pt idx="10">
                  <c:v>0</c:v>
                </c:pt>
                <c:pt idx="11">
                  <c:v>5.1687999999999994E-4</c:v>
                </c:pt>
                <c:pt idx="12">
                  <c:v>5.7399199999999991E-3</c:v>
                </c:pt>
                <c:pt idx="13">
                  <c:v>5.5922399999999992E-3</c:v>
                </c:pt>
                <c:pt idx="14">
                  <c:v>4.8142079999999997E-2</c:v>
                </c:pt>
                <c:pt idx="15">
                  <c:v>0.41633923999999994</c:v>
                </c:pt>
                <c:pt idx="16">
                  <c:v>1.1260932000000001</c:v>
                </c:pt>
                <c:pt idx="17">
                  <c:v>1.4485750799999999</c:v>
                </c:pt>
                <c:pt idx="18">
                  <c:v>1.2084777599999998</c:v>
                </c:pt>
                <c:pt idx="19">
                  <c:v>1.3382363599999998</c:v>
                </c:pt>
                <c:pt idx="20">
                  <c:v>1.6657056799999996</c:v>
                </c:pt>
                <c:pt idx="21">
                  <c:v>1.6355745599999998</c:v>
                </c:pt>
                <c:pt idx="22">
                  <c:v>1.5910489999999999</c:v>
                </c:pt>
                <c:pt idx="23">
                  <c:v>1.6668017599999998</c:v>
                </c:pt>
                <c:pt idx="24">
                  <c:v>1.6304496399999997</c:v>
                </c:pt>
                <c:pt idx="25">
                  <c:v>1.6568304399999996</c:v>
                </c:pt>
                <c:pt idx="26">
                  <c:v>1.6997741599999996</c:v>
                </c:pt>
                <c:pt idx="27">
                  <c:v>1.6654035599999999</c:v>
                </c:pt>
                <c:pt idx="28">
                  <c:v>1.6577468</c:v>
                </c:pt>
                <c:pt idx="29">
                  <c:v>1.6435361199999998</c:v>
                </c:pt>
                <c:pt idx="30">
                  <c:v>1.3300959999999997</c:v>
                </c:pt>
                <c:pt idx="31">
                  <c:v>1.4812364799999997</c:v>
                </c:pt>
                <c:pt idx="32">
                  <c:v>1.4798507199999997</c:v>
                </c:pt>
                <c:pt idx="33">
                  <c:v>1.5148038800000001</c:v>
                </c:pt>
              </c:numCache>
            </c:numRef>
          </c:val>
          <c:smooth val="0"/>
          <c:extLst>
            <c:ext xmlns:c16="http://schemas.microsoft.com/office/drawing/2014/chart" uri="{C3380CC4-5D6E-409C-BE32-E72D297353CC}">
              <c16:uniqueId val="{00000001-379C-49F2-AA09-A78A8A8D0778}"/>
            </c:ext>
          </c:extLst>
        </c:ser>
        <c:ser>
          <c:idx val="0"/>
          <c:order val="2"/>
          <c:tx>
            <c:strRef>
              <c:f>'Biogenic Summary'!$A$60</c:f>
              <c:strCache>
                <c:ptCount val="1"/>
                <c:pt idx="0">
                  <c:v>     Residential (Wood and Biodiesel)</c:v>
                </c:pt>
              </c:strCache>
            </c:strRef>
          </c:tx>
          <c:spPr>
            <a:ln>
              <a:solidFill>
                <a:schemeClr val="accent5">
                  <a:lumMod val="75000"/>
                </a:schemeClr>
              </a:solidFill>
            </a:ln>
          </c:spPr>
          <c:marker>
            <c:symbol val="diamond"/>
            <c:size val="6"/>
            <c:spPr>
              <a:solidFill>
                <a:schemeClr val="accent5">
                  <a:lumMod val="40000"/>
                  <a:lumOff val="60000"/>
                </a:schemeClr>
              </a:solidFill>
              <a:ln>
                <a:solidFill>
                  <a:schemeClr val="accent5">
                    <a:lumMod val="75000"/>
                  </a:schemeClr>
                </a:solidFill>
              </a:ln>
            </c:spPr>
          </c:marker>
          <c:cat>
            <c:strRef>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Summary'!$B$60:$AI$60</c:f>
              <c:numCache>
                <c:formatCode>#,##0.0</c:formatCode>
                <c:ptCount val="34"/>
                <c:pt idx="0">
                  <c:v>1.6956225999999999</c:v>
                </c:pt>
                <c:pt idx="1">
                  <c:v>1.7776038000000001</c:v>
                </c:pt>
                <c:pt idx="2">
                  <c:v>1.8650253999999999</c:v>
                </c:pt>
                <c:pt idx="3">
                  <c:v>1.9297473999999999</c:v>
                </c:pt>
                <c:pt idx="4">
                  <c:v>1.8317264</c:v>
                </c:pt>
                <c:pt idx="5">
                  <c:v>1.8317264</c:v>
                </c:pt>
                <c:pt idx="6">
                  <c:v>1.9021702</c:v>
                </c:pt>
                <c:pt idx="7">
                  <c:v>1.3628201999999998</c:v>
                </c:pt>
                <c:pt idx="8">
                  <c:v>1.2110517999999999</c:v>
                </c:pt>
                <c:pt idx="9">
                  <c:v>1.2429437999999999</c:v>
                </c:pt>
                <c:pt idx="10">
                  <c:v>1.3385259999999999</c:v>
                </c:pt>
                <c:pt idx="11">
                  <c:v>1.0788416799999998</c:v>
                </c:pt>
                <c:pt idx="12">
                  <c:v>1.0954582399999999</c:v>
                </c:pt>
                <c:pt idx="13">
                  <c:v>1.1529037599999998</c:v>
                </c:pt>
                <c:pt idx="14">
                  <c:v>1.1823649200000002</c:v>
                </c:pt>
                <c:pt idx="15">
                  <c:v>0.34008371999999998</c:v>
                </c:pt>
                <c:pt idx="16">
                  <c:v>0.31047555999999993</c:v>
                </c:pt>
                <c:pt idx="17">
                  <c:v>0.34638283999999997</c:v>
                </c:pt>
                <c:pt idx="18">
                  <c:v>0.38302379999999997</c:v>
                </c:pt>
                <c:pt idx="19">
                  <c:v>0.97297387999999996</c:v>
                </c:pt>
                <c:pt idx="20">
                  <c:v>1.03935844</c:v>
                </c:pt>
                <c:pt idx="21">
                  <c:v>1.0391418399999999</c:v>
                </c:pt>
                <c:pt idx="22">
                  <c:v>0.87398403999999985</c:v>
                </c:pt>
                <c:pt idx="23">
                  <c:v>1.1795117999999998</c:v>
                </c:pt>
                <c:pt idx="24">
                  <c:v>1.1638631599999998</c:v>
                </c:pt>
                <c:pt idx="25">
                  <c:v>1.0547287599999999</c:v>
                </c:pt>
                <c:pt idx="26">
                  <c:v>0.89065439999999996</c:v>
                </c:pt>
                <c:pt idx="27">
                  <c:v>0.86714708000000007</c:v>
                </c:pt>
                <c:pt idx="28">
                  <c:v>0.85706191999999992</c:v>
                </c:pt>
                <c:pt idx="29">
                  <c:v>1.0207363599999999</c:v>
                </c:pt>
                <c:pt idx="30">
                  <c:v>0.95573976000000005</c:v>
                </c:pt>
                <c:pt idx="31">
                  <c:v>0.9706554799999999</c:v>
                </c:pt>
                <c:pt idx="32">
                  <c:v>1.2052124799999999</c:v>
                </c:pt>
                <c:pt idx="33">
                  <c:v>1.05022532</c:v>
                </c:pt>
              </c:numCache>
            </c:numRef>
          </c:val>
          <c:smooth val="0"/>
          <c:extLst>
            <c:ext xmlns:c16="http://schemas.microsoft.com/office/drawing/2014/chart" uri="{C3380CC4-5D6E-409C-BE32-E72D297353CC}">
              <c16:uniqueId val="{00000002-379C-49F2-AA09-A78A8A8D0778}"/>
            </c:ext>
          </c:extLst>
        </c:ser>
        <c:ser>
          <c:idx val="2"/>
          <c:order val="3"/>
          <c:tx>
            <c:strRef>
              <c:f>'Biogenic Summary'!$A$67</c:f>
              <c:strCache>
                <c:ptCount val="1"/>
                <c:pt idx="0">
                  <c:v>     Industrial (Wood and Ethanol, MSW)</c:v>
                </c:pt>
              </c:strCache>
            </c:strRef>
          </c:tx>
          <c:spPr>
            <a:ln>
              <a:solidFill>
                <a:schemeClr val="accent2">
                  <a:lumMod val="75000"/>
                </a:schemeClr>
              </a:solidFill>
            </a:ln>
          </c:spPr>
          <c:marker>
            <c:symbol val="x"/>
            <c:size val="5"/>
            <c:spPr>
              <a:solidFill>
                <a:schemeClr val="accent2">
                  <a:lumMod val="20000"/>
                  <a:lumOff val="80000"/>
                </a:schemeClr>
              </a:solidFill>
              <a:ln>
                <a:solidFill>
                  <a:schemeClr val="accent2">
                    <a:lumMod val="75000"/>
                  </a:schemeClr>
                </a:solidFill>
              </a:ln>
            </c:spPr>
          </c:marker>
          <c:dPt>
            <c:idx val="24"/>
            <c:bubble3D val="0"/>
            <c:spPr>
              <a:ln>
                <a:solidFill>
                  <a:srgbClr val="C00000"/>
                </a:solidFill>
              </a:ln>
            </c:spPr>
            <c:extLst>
              <c:ext xmlns:c16="http://schemas.microsoft.com/office/drawing/2014/chart" uri="{C3380CC4-5D6E-409C-BE32-E72D297353CC}">
                <c16:uniqueId val="{00000004-379C-49F2-AA09-A78A8A8D0778}"/>
              </c:ext>
            </c:extLst>
          </c:dPt>
          <c:cat>
            <c:strRef>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Summary'!$B$67:$AI$67</c:f>
              <c:numCache>
                <c:formatCode>#,##0.0</c:formatCode>
                <c:ptCount val="34"/>
                <c:pt idx="0">
                  <c:v>0.68227650103199999</c:v>
                </c:pt>
                <c:pt idx="1">
                  <c:v>0.69405338691999996</c:v>
                </c:pt>
                <c:pt idx="2">
                  <c:v>0.69158107199999996</c:v>
                </c:pt>
                <c:pt idx="3">
                  <c:v>0.66793132639999997</c:v>
                </c:pt>
                <c:pt idx="4">
                  <c:v>0.72294081523999998</c:v>
                </c:pt>
                <c:pt idx="5">
                  <c:v>0.81555899549600008</c:v>
                </c:pt>
                <c:pt idx="6">
                  <c:v>0.81953060299999991</c:v>
                </c:pt>
                <c:pt idx="7">
                  <c:v>0.87065974999999995</c:v>
                </c:pt>
                <c:pt idx="8">
                  <c:v>0.65099919800000006</c:v>
                </c:pt>
                <c:pt idx="9">
                  <c:v>0.63904305999999989</c:v>
                </c:pt>
                <c:pt idx="10">
                  <c:v>0.61064637599999994</c:v>
                </c:pt>
                <c:pt idx="11">
                  <c:v>0.46465139999999999</c:v>
                </c:pt>
                <c:pt idx="12">
                  <c:v>0.30349843999999998</c:v>
                </c:pt>
                <c:pt idx="13">
                  <c:v>0.30868223999999994</c:v>
                </c:pt>
                <c:pt idx="14">
                  <c:v>0.32675119999999996</c:v>
                </c:pt>
                <c:pt idx="15">
                  <c:v>0.33605028000000003</c:v>
                </c:pt>
                <c:pt idx="16">
                  <c:v>0.39946616000000001</c:v>
                </c:pt>
                <c:pt idx="17">
                  <c:v>0.42032837999999995</c:v>
                </c:pt>
                <c:pt idx="18">
                  <c:v>0.40263215999999996</c:v>
                </c:pt>
                <c:pt idx="19">
                  <c:v>0.37123425999999993</c:v>
                </c:pt>
                <c:pt idx="20">
                  <c:v>0.54393298000000001</c:v>
                </c:pt>
                <c:pt idx="21">
                  <c:v>0.72034959999999981</c:v>
                </c:pt>
                <c:pt idx="22">
                  <c:v>0.71491311999999985</c:v>
                </c:pt>
                <c:pt idx="23">
                  <c:v>0.71637317999999983</c:v>
                </c:pt>
                <c:pt idx="24">
                  <c:v>0.68942389999999998</c:v>
                </c:pt>
                <c:pt idx="25">
                  <c:v>0.69121518000000004</c:v>
                </c:pt>
                <c:pt idx="26">
                  <c:v>0.68929881999999998</c:v>
                </c:pt>
                <c:pt idx="27">
                  <c:v>0.32029995999999994</c:v>
                </c:pt>
                <c:pt idx="28">
                  <c:v>0.30491501999999998</c:v>
                </c:pt>
                <c:pt idx="29">
                  <c:v>0.32161964000000004</c:v>
                </c:pt>
                <c:pt idx="30">
                  <c:v>0.31596079999999999</c:v>
                </c:pt>
                <c:pt idx="31">
                  <c:v>0.30179099999999998</c:v>
                </c:pt>
                <c:pt idx="32">
                  <c:v>0.32842458000000002</c:v>
                </c:pt>
                <c:pt idx="33">
                  <c:v>0.32023308</c:v>
                </c:pt>
              </c:numCache>
            </c:numRef>
          </c:val>
          <c:smooth val="0"/>
          <c:extLst>
            <c:ext xmlns:c16="http://schemas.microsoft.com/office/drawing/2014/chart" uri="{C3380CC4-5D6E-409C-BE32-E72D297353CC}">
              <c16:uniqueId val="{00000005-379C-49F2-AA09-A78A8A8D0778}"/>
            </c:ext>
          </c:extLst>
        </c:ser>
        <c:ser>
          <c:idx val="1"/>
          <c:order val="4"/>
          <c:tx>
            <c:strRef>
              <c:f>'Biogenic Summary'!$A$64</c:f>
              <c:strCache>
                <c:ptCount val="1"/>
                <c:pt idx="0">
                  <c:v>     Commercial (Biogas)</c:v>
                </c:pt>
              </c:strCache>
            </c:strRef>
          </c:tx>
          <c:spPr>
            <a:ln>
              <a:solidFill>
                <a:schemeClr val="accent1">
                  <a:lumMod val="50000"/>
                </a:schemeClr>
              </a:solidFill>
            </a:ln>
          </c:spPr>
          <c:marker>
            <c:symbol val="square"/>
            <c:size val="5"/>
            <c:spPr>
              <a:solidFill>
                <a:schemeClr val="accent1">
                  <a:lumMod val="20000"/>
                  <a:lumOff val="80000"/>
                </a:schemeClr>
              </a:solidFill>
              <a:ln>
                <a:solidFill>
                  <a:schemeClr val="accent1">
                    <a:lumMod val="50000"/>
                  </a:schemeClr>
                </a:solidFill>
              </a:ln>
            </c:spPr>
          </c:marker>
          <c:dPt>
            <c:idx val="24"/>
            <c:marker>
              <c:spPr>
                <a:solidFill>
                  <a:schemeClr val="tx2">
                    <a:lumMod val="20000"/>
                    <a:lumOff val="80000"/>
                  </a:schemeClr>
                </a:solidFill>
                <a:ln>
                  <a:solidFill>
                    <a:schemeClr val="accent1">
                      <a:lumMod val="50000"/>
                    </a:schemeClr>
                  </a:solidFill>
                </a:ln>
              </c:spPr>
            </c:marker>
            <c:bubble3D val="0"/>
            <c:extLst>
              <c:ext xmlns:c16="http://schemas.microsoft.com/office/drawing/2014/chart" uri="{C3380CC4-5D6E-409C-BE32-E72D297353CC}">
                <c16:uniqueId val="{00000006-379C-49F2-AA09-A78A8A8D0778}"/>
              </c:ext>
            </c:extLst>
          </c:dPt>
          <c:trendline>
            <c:trendlineType val="linear"/>
            <c:dispRSqr val="0"/>
            <c:dispEq val="0"/>
          </c:trendline>
          <c:cat>
            <c:strRef>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Summary'!$B$63:$AI$63</c:f>
              <c:numCache>
                <c:formatCode>#,##0.0</c:formatCode>
                <c:ptCount val="34"/>
                <c:pt idx="0">
                  <c:v>0.18534880000000001</c:v>
                </c:pt>
                <c:pt idx="1">
                  <c:v>0.1935094</c:v>
                </c:pt>
                <c:pt idx="2">
                  <c:v>0.204015</c:v>
                </c:pt>
                <c:pt idx="3">
                  <c:v>0.25973219999999997</c:v>
                </c:pt>
                <c:pt idx="4">
                  <c:v>0.2487576</c:v>
                </c:pt>
                <c:pt idx="5">
                  <c:v>0.25110259999999995</c:v>
                </c:pt>
                <c:pt idx="6">
                  <c:v>0.260764</c:v>
                </c:pt>
                <c:pt idx="7">
                  <c:v>0.22765259999999998</c:v>
                </c:pt>
                <c:pt idx="8">
                  <c:v>0.19885599999999998</c:v>
                </c:pt>
                <c:pt idx="9">
                  <c:v>0.20917399999999997</c:v>
                </c:pt>
                <c:pt idx="10">
                  <c:v>0.26186996999999995</c:v>
                </c:pt>
                <c:pt idx="11">
                  <c:v>0.22391532</c:v>
                </c:pt>
                <c:pt idx="12">
                  <c:v>0.23949828999999997</c:v>
                </c:pt>
                <c:pt idx="13">
                  <c:v>0.24163945000000001</c:v>
                </c:pt>
                <c:pt idx="14">
                  <c:v>0.28818201999999998</c:v>
                </c:pt>
                <c:pt idx="15">
                  <c:v>0.10227489800035884</c:v>
                </c:pt>
                <c:pt idx="16">
                  <c:v>0.10254864257308312</c:v>
                </c:pt>
                <c:pt idx="17">
                  <c:v>0.10390854789095262</c:v>
                </c:pt>
                <c:pt idx="18">
                  <c:v>0.10713128972068067</c:v>
                </c:pt>
                <c:pt idx="19">
                  <c:v>0.18842451671705163</c:v>
                </c:pt>
                <c:pt idx="20">
                  <c:v>0.18316232256902812</c:v>
                </c:pt>
                <c:pt idx="21">
                  <c:v>0.18420758152010158</c:v>
                </c:pt>
                <c:pt idx="22">
                  <c:v>0.16404201454015915</c:v>
                </c:pt>
                <c:pt idx="23">
                  <c:v>0.18451015529503584</c:v>
                </c:pt>
                <c:pt idx="24">
                  <c:v>0.18492002610651809</c:v>
                </c:pt>
                <c:pt idx="25">
                  <c:v>0.21887774576294372</c:v>
                </c:pt>
                <c:pt idx="26">
                  <c:v>0.20936973854566643</c:v>
                </c:pt>
                <c:pt idx="27">
                  <c:v>0.21398812569229841</c:v>
                </c:pt>
                <c:pt idx="28">
                  <c:v>0.19128214880687142</c:v>
                </c:pt>
                <c:pt idx="29">
                  <c:v>0.2104823806354893</c:v>
                </c:pt>
                <c:pt idx="30">
                  <c:v>0.26173269245814385</c:v>
                </c:pt>
                <c:pt idx="31">
                  <c:v>0.26218548540447728</c:v>
                </c:pt>
                <c:pt idx="32">
                  <c:v>0.26423797179619885</c:v>
                </c:pt>
                <c:pt idx="33">
                  <c:v>0.26467733507141133</c:v>
                </c:pt>
              </c:numCache>
            </c:numRef>
          </c:val>
          <c:smooth val="0"/>
          <c:extLst>
            <c:ext xmlns:c16="http://schemas.microsoft.com/office/drawing/2014/chart" uri="{C3380CC4-5D6E-409C-BE32-E72D297353CC}">
              <c16:uniqueId val="{00000008-379C-49F2-AA09-A78A8A8D0778}"/>
            </c:ext>
          </c:extLst>
        </c:ser>
        <c:ser>
          <c:idx val="5"/>
          <c:order val="5"/>
          <c:tx>
            <c:strRef>
              <c:f>'Biogenic Summary'!$A$79</c:f>
              <c:strCache>
                <c:ptCount val="1"/>
                <c:pt idx="0">
                  <c:v>    Waste (LFG and Digester Gas)</c:v>
                </c:pt>
              </c:strCache>
            </c:strRef>
          </c:tx>
          <c:spPr>
            <a:ln>
              <a:solidFill>
                <a:schemeClr val="bg2">
                  <a:lumMod val="25000"/>
                </a:schemeClr>
              </a:solidFill>
            </a:ln>
          </c:spPr>
          <c:marker>
            <c:symbol val="plus"/>
            <c:size val="5"/>
            <c:spPr>
              <a:solidFill>
                <a:schemeClr val="bg2">
                  <a:lumMod val="75000"/>
                </a:schemeClr>
              </a:solidFill>
              <a:ln>
                <a:solidFill>
                  <a:srgbClr val="EEECE1">
                    <a:lumMod val="25000"/>
                  </a:srgbClr>
                </a:solidFill>
              </a:ln>
            </c:spPr>
          </c:marker>
          <c:cat>
            <c:strRef>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Summary'!$B$79:$AI$79</c:f>
              <c:numCache>
                <c:formatCode>#,##0.0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4.0229403223204334E-3</c:v>
                </c:pt>
                <c:pt idx="16">
                  <c:v>2.1040346346893218E-3</c:v>
                </c:pt>
                <c:pt idx="17">
                  <c:v>1.2048346088596121E-3</c:v>
                </c:pt>
                <c:pt idx="18">
                  <c:v>9.0003656428651346E-4</c:v>
                </c:pt>
                <c:pt idx="19">
                  <c:v>8.3103758178955595E-4</c:v>
                </c:pt>
                <c:pt idx="20">
                  <c:v>0.12703851581974127</c:v>
                </c:pt>
                <c:pt idx="21">
                  <c:v>0.11573090386183542</c:v>
                </c:pt>
                <c:pt idx="22">
                  <c:v>0.10589201631218839</c:v>
                </c:pt>
                <c:pt idx="23">
                  <c:v>0.11311639572537842</c:v>
                </c:pt>
                <c:pt idx="24">
                  <c:v>9.0843582483410942E-2</c:v>
                </c:pt>
                <c:pt idx="25">
                  <c:v>2.5207599175241079E-2</c:v>
                </c:pt>
                <c:pt idx="26">
                  <c:v>3.2276667541599829E-2</c:v>
                </c:pt>
                <c:pt idx="27">
                  <c:v>3.0460383440444098E-2</c:v>
                </c:pt>
                <c:pt idx="28">
                  <c:v>2.9175669389713256E-2</c:v>
                </c:pt>
                <c:pt idx="29">
                  <c:v>2.7752398721167956E-2</c:v>
                </c:pt>
                <c:pt idx="30">
                  <c:v>2.8990015868637017E-2</c:v>
                </c:pt>
                <c:pt idx="31">
                  <c:v>2.9181942233760409E-2</c:v>
                </c:pt>
                <c:pt idx="32">
                  <c:v>2.7232482256013157E-2</c:v>
                </c:pt>
                <c:pt idx="33">
                  <c:v>1.8775632707999999E-2</c:v>
                </c:pt>
              </c:numCache>
            </c:numRef>
          </c:val>
          <c:smooth val="0"/>
          <c:extLst>
            <c:ext xmlns:c16="http://schemas.microsoft.com/office/drawing/2014/chart" uri="{C3380CC4-5D6E-409C-BE32-E72D297353CC}">
              <c16:uniqueId val="{00000009-379C-49F2-AA09-A78A8A8D0778}"/>
            </c:ext>
          </c:extLst>
        </c:ser>
        <c:dLbls>
          <c:showLegendKey val="0"/>
          <c:showVal val="0"/>
          <c:showCatName val="0"/>
          <c:showSerName val="0"/>
          <c:showPercent val="0"/>
          <c:showBubbleSize val="0"/>
        </c:dLbls>
        <c:marker val="1"/>
        <c:smooth val="0"/>
        <c:axId val="79599488"/>
        <c:axId val="79601024"/>
      </c:lineChart>
      <c:catAx>
        <c:axId val="79599488"/>
        <c:scaling>
          <c:orientation val="minMax"/>
        </c:scaling>
        <c:delete val="0"/>
        <c:axPos val="b"/>
        <c:numFmt formatCode="General" sourceLinked="1"/>
        <c:majorTickMark val="out"/>
        <c:minorTickMark val="none"/>
        <c:tickLblPos val="nextTo"/>
        <c:txPr>
          <a:bodyPr rot="0" vert="horz"/>
          <a:lstStyle/>
          <a:p>
            <a:pPr>
              <a:defRPr/>
            </a:pPr>
            <a:endParaRPr lang="en-US"/>
          </a:p>
        </c:txPr>
        <c:crossAx val="79601024"/>
        <c:crossesAt val="0"/>
        <c:auto val="1"/>
        <c:lblAlgn val="ctr"/>
        <c:lblOffset val="100"/>
        <c:tickLblSkip val="5"/>
        <c:noMultiLvlLbl val="0"/>
      </c:catAx>
      <c:valAx>
        <c:axId val="79601024"/>
        <c:scaling>
          <c:orientation val="minMax"/>
        </c:scaling>
        <c:delete val="0"/>
        <c:axPos val="l"/>
        <c:majorGridlines/>
        <c:title>
          <c:tx>
            <c:rich>
              <a:bodyPr/>
              <a:lstStyle/>
              <a:p>
                <a:pPr>
                  <a:defRPr/>
                </a:pPr>
                <a:r>
                  <a:rPr lang="en-US"/>
                  <a:t>Million Metric Tons of CO2 </a:t>
                </a:r>
              </a:p>
            </c:rich>
          </c:tx>
          <c:overlay val="0"/>
        </c:title>
        <c:numFmt formatCode="#,##0.0" sourceLinked="1"/>
        <c:majorTickMark val="out"/>
        <c:minorTickMark val="none"/>
        <c:tickLblPos val="nextTo"/>
        <c:txPr>
          <a:bodyPr rot="0" vert="horz"/>
          <a:lstStyle/>
          <a:p>
            <a:pPr>
              <a:defRPr/>
            </a:pPr>
            <a:endParaRPr lang="en-US"/>
          </a:p>
        </c:txPr>
        <c:crossAx val="79599488"/>
        <c:crosses val="autoZero"/>
        <c:crossBetween val="midCat"/>
      </c:valAx>
    </c:plotArea>
    <c:legend>
      <c:legendPos val="r"/>
      <c:legendEntry>
        <c:idx val="6"/>
        <c:delete val="1"/>
      </c:legendEntry>
      <c:layout>
        <c:manualLayout>
          <c:xMode val="edge"/>
          <c:yMode val="edge"/>
          <c:x val="0.73245283792650917"/>
          <c:y val="3.2110388833842457E-2"/>
          <c:w val="0.26754716207349083"/>
          <c:h val="0.95827310250380182"/>
        </c:manualLayout>
      </c:layout>
      <c:overlay val="0"/>
    </c:legend>
    <c:plotVisOnly val="1"/>
    <c:dispBlanksAs val="gap"/>
    <c:showDLblsOverMax val="0"/>
  </c:chart>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printSettings>
    <c:headerFooter/>
    <c:pageMargins b="0.75" l="0.7" r="0.7" t="0.75" header="0.3" footer="0.3"/>
    <c:pageSetup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rgbClr val="000000"/>
                </a:solidFill>
                <a:latin typeface="Calibri"/>
                <a:ea typeface="Calibri"/>
                <a:cs typeface="Calibri"/>
              </a:defRPr>
            </a:pPr>
            <a:r>
              <a:rPr lang="en-US" sz="1600">
                <a:latin typeface="Aptos" panose="020B0004020202020204" pitchFamily="34" charset="0"/>
              </a:rPr>
              <a:t>2023 MA GHG</a:t>
            </a:r>
            <a:r>
              <a:rPr lang="en-US" sz="1600" b="1" i="0" u="none" strike="noStrike" baseline="0">
                <a:latin typeface="Aptos" panose="020B0004020202020204" pitchFamily="34" charset="0"/>
              </a:rPr>
              <a:t> </a:t>
            </a:r>
            <a:r>
              <a:rPr lang="en-US" sz="1600">
                <a:latin typeface="Aptos" panose="020B0004020202020204" pitchFamily="34" charset="0"/>
              </a:rPr>
              <a:t>Emissions by Gas as Percent of Total</a:t>
            </a:r>
          </a:p>
        </c:rich>
      </c:tx>
      <c:layout>
        <c:manualLayout>
          <c:xMode val="edge"/>
          <c:yMode val="edge"/>
          <c:x val="6.1525581623722646E-2"/>
          <c:y val="1.2790858286056736E-2"/>
        </c:manualLayout>
      </c:layout>
      <c:overlay val="1"/>
      <c:spPr>
        <a:noFill/>
        <a:ln>
          <a:noFill/>
        </a:ln>
        <a:effectLst/>
      </c:spPr>
      <c:txPr>
        <a:bodyPr rot="0" spcFirstLastPara="1" vertOverflow="ellipsis" vert="horz" wrap="square" anchor="ctr" anchorCtr="1"/>
        <a:lstStyle/>
        <a:p>
          <a:pPr>
            <a:defRPr sz="1800" b="1" i="0" u="none" strike="noStrike" kern="1200" baseline="0">
              <a:solidFill>
                <a:srgbClr val="000000"/>
              </a:solidFill>
              <a:latin typeface="Calibri"/>
              <a:ea typeface="Calibri"/>
              <a:cs typeface="Calibri"/>
            </a:defRPr>
          </a:pPr>
          <a:endParaRPr lang="en-US"/>
        </a:p>
      </c:txPr>
    </c:title>
    <c:autoTitleDeleted val="0"/>
    <c:plotArea>
      <c:layout>
        <c:manualLayout>
          <c:layoutTarget val="inner"/>
          <c:xMode val="edge"/>
          <c:yMode val="edge"/>
          <c:x val="6.3645013123359587E-2"/>
          <c:y val="0.25907788141893084"/>
          <c:w val="0.52991972878390203"/>
          <c:h val="0.6623998420821966"/>
        </c:manualLayout>
      </c:layout>
      <c:pieChart>
        <c:varyColors val="1"/>
        <c:ser>
          <c:idx val="0"/>
          <c:order val="0"/>
          <c:tx>
            <c:strRef>
              <c:f>'Adjustable GWP Summary'!$T$37</c:f>
              <c:strCache>
                <c:ptCount val="1"/>
                <c:pt idx="0">
                  <c:v>CO2 </c:v>
                </c:pt>
              </c:strCache>
            </c:strRef>
          </c:tx>
          <c:dPt>
            <c:idx val="0"/>
            <c:bubble3D val="0"/>
            <c:spPr>
              <a:solidFill>
                <a:schemeClr val="accent1">
                  <a:lumMod val="75000"/>
                </a:schemeClr>
              </a:solidFill>
              <a:ln>
                <a:noFill/>
              </a:ln>
              <a:effectLst/>
            </c:spPr>
            <c:extLst>
              <c:ext xmlns:c16="http://schemas.microsoft.com/office/drawing/2014/chart" uri="{C3380CC4-5D6E-409C-BE32-E72D297353CC}">
                <c16:uniqueId val="{00000001-FEAE-4349-90E7-E0784F98A66F}"/>
              </c:ext>
            </c:extLst>
          </c:dPt>
          <c:dPt>
            <c:idx val="1"/>
            <c:bubble3D val="0"/>
            <c:spPr>
              <a:pattFill prst="smGrid">
                <a:fgClr>
                  <a:schemeClr val="accent3">
                    <a:lumMod val="75000"/>
                  </a:schemeClr>
                </a:fgClr>
                <a:bgClr>
                  <a:schemeClr val="bg1"/>
                </a:bgClr>
              </a:pattFill>
              <a:ln>
                <a:noFill/>
              </a:ln>
              <a:effectLst/>
            </c:spPr>
            <c:extLst>
              <c:ext xmlns:c16="http://schemas.microsoft.com/office/drawing/2014/chart" uri="{C3380CC4-5D6E-409C-BE32-E72D297353CC}">
                <c16:uniqueId val="{00000003-FEAE-4349-90E7-E0784F98A66F}"/>
              </c:ext>
            </c:extLst>
          </c:dPt>
          <c:dPt>
            <c:idx val="2"/>
            <c:bubble3D val="0"/>
            <c:spPr>
              <a:pattFill prst="pct80">
                <a:fgClr>
                  <a:schemeClr val="accent2">
                    <a:lumMod val="75000"/>
                  </a:schemeClr>
                </a:fgClr>
                <a:bgClr>
                  <a:schemeClr val="bg1"/>
                </a:bgClr>
              </a:pattFill>
              <a:ln>
                <a:noFill/>
              </a:ln>
              <a:effectLst/>
            </c:spPr>
            <c:extLst>
              <c:ext xmlns:c16="http://schemas.microsoft.com/office/drawing/2014/chart" uri="{C3380CC4-5D6E-409C-BE32-E72D297353CC}">
                <c16:uniqueId val="{00000005-FEAE-4349-90E7-E0784F98A66F}"/>
              </c:ext>
            </c:extLst>
          </c:dPt>
          <c:dPt>
            <c:idx val="3"/>
            <c:bubble3D val="0"/>
            <c:spPr>
              <a:pattFill prst="lgGrid">
                <a:fgClr>
                  <a:srgbClr val="7030A0"/>
                </a:fgClr>
                <a:bgClr>
                  <a:schemeClr val="bg1"/>
                </a:bgClr>
              </a:pattFill>
              <a:ln>
                <a:noFill/>
              </a:ln>
              <a:effectLst/>
            </c:spPr>
            <c:extLst>
              <c:ext xmlns:c16="http://schemas.microsoft.com/office/drawing/2014/chart" uri="{C3380CC4-5D6E-409C-BE32-E72D297353CC}">
                <c16:uniqueId val="{00000007-FEAE-4349-90E7-E0784F98A66F}"/>
              </c:ext>
            </c:extLst>
          </c:dPt>
          <c:dPt>
            <c:idx val="4"/>
            <c:bubble3D val="0"/>
            <c:spPr>
              <a:pattFill prst="wdUpDiag">
                <a:fgClr>
                  <a:schemeClr val="accent6">
                    <a:lumMod val="75000"/>
                  </a:schemeClr>
                </a:fgClr>
                <a:bgClr>
                  <a:schemeClr val="bg1"/>
                </a:bgClr>
              </a:pattFill>
              <a:ln>
                <a:noFill/>
              </a:ln>
              <a:effectLst/>
            </c:spPr>
            <c:extLst>
              <c:ext xmlns:c16="http://schemas.microsoft.com/office/drawing/2014/chart" uri="{C3380CC4-5D6E-409C-BE32-E72D297353CC}">
                <c16:uniqueId val="{00000009-FEAE-4349-90E7-E0784F98A66F}"/>
              </c:ext>
            </c:extLst>
          </c:dPt>
          <c:dLbls>
            <c:dLbl>
              <c:idx val="0"/>
              <c:layout>
                <c:manualLayout>
                  <c:x val="5.1180885138356204E-2"/>
                  <c:y val="-9.442662074323825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AE-4349-90E7-E0784F98A66F}"/>
                </c:ext>
              </c:extLst>
            </c:dLbl>
            <c:dLbl>
              <c:idx val="2"/>
              <c:layout>
                <c:manualLayout>
                  <c:x val="-3.412393003972515E-2"/>
                  <c:y val="-4.513167812786288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AE-4349-90E7-E0784F98A66F}"/>
                </c:ext>
              </c:extLst>
            </c:dLbl>
            <c:dLbl>
              <c:idx val="3"/>
              <c:layout>
                <c:manualLayout>
                  <c:x val="3.6481995820515825E-2"/>
                  <c:y val="-6.3939791031275728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AE-4349-90E7-E0784F98A66F}"/>
                </c:ext>
              </c:extLst>
            </c:dLbl>
            <c:dLbl>
              <c:idx val="4"/>
              <c:layout>
                <c:manualLayout>
                  <c:x val="7.0720448657084531E-2"/>
                  <c:y val="-6.767014947873783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EAE-4349-90E7-E0784F98A66F}"/>
                </c:ext>
              </c:extLst>
            </c:dLbl>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rgbClr val="000000"/>
                    </a:solidFill>
                    <a:latin typeface="Aptos" panose="020B0004020202020204" pitchFamily="34" charset="0"/>
                    <a:ea typeface="Calibri"/>
                    <a:cs typeface="Calibri"/>
                  </a:defRPr>
                </a:pPr>
                <a:endParaRPr lang="en-US"/>
              </a:p>
            </c:txPr>
            <c:dLblPos val="bestFit"/>
            <c:showLegendKey val="0"/>
            <c:showVal val="1"/>
            <c:showCatName val="0"/>
            <c:showSerName val="0"/>
            <c:showPercent val="0"/>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'Adjustable GWP Summary'!$T$37:$T$41</c:f>
              <c:strCache>
                <c:ptCount val="5"/>
                <c:pt idx="0">
                  <c:v>CO2 </c:v>
                </c:pt>
                <c:pt idx="1">
                  <c:v>CH4</c:v>
                </c:pt>
                <c:pt idx="2">
                  <c:v>N2O</c:v>
                </c:pt>
                <c:pt idx="3">
                  <c:v>SF6 and Other GHG Gases</c:v>
                </c:pt>
                <c:pt idx="4">
                  <c:v>Imported Electric Power (CO2, CH4 and N2O)</c:v>
                </c:pt>
              </c:strCache>
            </c:strRef>
          </c:cat>
          <c:val>
            <c:numRef>
              <c:f>'Adjustable GWP Summary'!$S$37:$S$41</c:f>
              <c:numCache>
                <c:formatCode>0.0%</c:formatCode>
                <c:ptCount val="5"/>
                <c:pt idx="0">
                  <c:v>0.85422204714997607</c:v>
                </c:pt>
                <c:pt idx="1">
                  <c:v>2.2548159910925337E-2</c:v>
                </c:pt>
                <c:pt idx="2">
                  <c:v>1.0959679762923544E-2</c:v>
                </c:pt>
                <c:pt idx="3">
                  <c:v>5.0144921600731383E-2</c:v>
                </c:pt>
                <c:pt idx="4">
                  <c:v>6.2125191575443557E-2</c:v>
                </c:pt>
              </c:numCache>
            </c:numRef>
          </c:val>
          <c:extLst>
            <c:ext xmlns:c16="http://schemas.microsoft.com/office/drawing/2014/chart" uri="{C3380CC4-5D6E-409C-BE32-E72D297353CC}">
              <c16:uniqueId val="{0000000A-FEAE-4349-90E7-E0784F98A66F}"/>
            </c:ext>
          </c:extLst>
        </c:ser>
        <c:dLbls>
          <c:dLblPos val="bestFit"/>
          <c:showLegendKey val="0"/>
          <c:showVal val="1"/>
          <c:showCatName val="0"/>
          <c:showSerName val="0"/>
          <c:showPercent val="0"/>
          <c:showBubbleSize val="0"/>
          <c:showLeaderLines val="1"/>
        </c:dLbls>
        <c:firstSliceAng val="0"/>
      </c:pieChart>
      <c:spPr>
        <a:noFill/>
        <a:ln w="25400">
          <a:noFill/>
        </a:ln>
        <a:effectLst/>
      </c:spPr>
    </c:plotArea>
    <c:legend>
      <c:legendPos val="r"/>
      <c:layout>
        <c:manualLayout>
          <c:xMode val="edge"/>
          <c:yMode val="edge"/>
          <c:x val="0.66011963207343105"/>
          <c:y val="0.1191097019952152"/>
          <c:w val="0.30319806074694539"/>
          <c:h val="0.86306180753954431"/>
        </c:manualLayout>
      </c:layout>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Aptos" panose="020B0004020202020204" pitchFamily="34" charset="0"/>
              <a:ea typeface="Calibri"/>
              <a:cs typeface="Calibri"/>
            </a:defRPr>
          </a:pPr>
          <a:endParaRPr lang="en-US"/>
        </a:p>
      </c:txPr>
    </c:legend>
    <c:plotVisOnly val="1"/>
    <c:dispBlanksAs val="zero"/>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Aptos" panose="020B0004020202020204" pitchFamily="34" charset="0"/>
              </a:rPr>
              <a:t>Percent of </a:t>
            </a:r>
            <a:r>
              <a:rPr lang="en-US" sz="1600" b="1" i="0" u="none" strike="noStrike" baseline="0">
                <a:solidFill>
                  <a:schemeClr val="tx1"/>
                </a:solidFill>
                <a:latin typeface="Aptos" panose="020B0004020202020204" pitchFamily="34" charset="0"/>
              </a:rPr>
              <a:t>2023</a:t>
            </a:r>
            <a:r>
              <a:rPr lang="en-US" sz="1600" b="1" i="0" u="none" strike="noStrike" baseline="0">
                <a:solidFill>
                  <a:srgbClr val="000000"/>
                </a:solidFill>
                <a:latin typeface="Aptos" panose="020B0004020202020204" pitchFamily="34" charset="0"/>
              </a:rPr>
              <a:t> Total MA GHG Emissions by Sector</a:t>
            </a:r>
          </a:p>
        </c:rich>
      </c:tx>
      <c:layout>
        <c:manualLayout>
          <c:xMode val="edge"/>
          <c:yMode val="edge"/>
          <c:x val="4.011894789747026E-2"/>
          <c:y val="1.5138478352666487E-2"/>
        </c:manualLayout>
      </c:layout>
      <c:overlay val="0"/>
      <c:spPr>
        <a:noFill/>
      </c:spPr>
    </c:title>
    <c:autoTitleDeleted val="0"/>
    <c:plotArea>
      <c:layout/>
      <c:pieChart>
        <c:varyColors val="1"/>
        <c:ser>
          <c:idx val="0"/>
          <c:order val="0"/>
          <c:tx>
            <c:strRef>
              <c:f>'Adjustable GWP Summary'!$T$47</c:f>
              <c:strCache>
                <c:ptCount val="1"/>
                <c:pt idx="0">
                  <c:v>Building Consumption</c:v>
                </c:pt>
              </c:strCache>
            </c:strRef>
          </c:tx>
          <c:dPt>
            <c:idx val="0"/>
            <c:bubble3D val="0"/>
            <c:spPr>
              <a:pattFill prst="pct90">
                <a:fgClr>
                  <a:srgbClr val="002060"/>
                </a:fgClr>
                <a:bgClr>
                  <a:schemeClr val="bg1"/>
                </a:bgClr>
              </a:pattFill>
            </c:spPr>
            <c:extLst>
              <c:ext xmlns:c16="http://schemas.microsoft.com/office/drawing/2014/chart" uri="{C3380CC4-5D6E-409C-BE32-E72D297353CC}">
                <c16:uniqueId val="{00000001-73EE-444A-987C-D0658861070F}"/>
              </c:ext>
            </c:extLst>
          </c:dPt>
          <c:dPt>
            <c:idx val="1"/>
            <c:bubble3D val="0"/>
            <c:spPr>
              <a:solidFill>
                <a:srgbClr val="FF99FF"/>
              </a:solidFill>
            </c:spPr>
            <c:extLst>
              <c:ext xmlns:c16="http://schemas.microsoft.com/office/drawing/2014/chart" uri="{C3380CC4-5D6E-409C-BE32-E72D297353CC}">
                <c16:uniqueId val="{00000003-73EE-444A-987C-D0658861070F}"/>
              </c:ext>
            </c:extLst>
          </c:dPt>
          <c:dPt>
            <c:idx val="2"/>
            <c:bubble3D val="0"/>
            <c:spPr>
              <a:pattFill prst="lgCheck">
                <a:fgClr>
                  <a:schemeClr val="accent4">
                    <a:lumMod val="40000"/>
                    <a:lumOff val="60000"/>
                  </a:schemeClr>
                </a:fgClr>
                <a:bgClr>
                  <a:schemeClr val="bg1"/>
                </a:bgClr>
              </a:pattFill>
            </c:spPr>
            <c:extLst>
              <c:ext xmlns:c16="http://schemas.microsoft.com/office/drawing/2014/chart" uri="{C3380CC4-5D6E-409C-BE32-E72D297353CC}">
                <c16:uniqueId val="{00000005-73EE-444A-987C-D0658861070F}"/>
              </c:ext>
            </c:extLst>
          </c:dPt>
          <c:dPt>
            <c:idx val="3"/>
            <c:bubble3D val="0"/>
            <c:extLst>
              <c:ext xmlns:c16="http://schemas.microsoft.com/office/drawing/2014/chart" uri="{C3380CC4-5D6E-409C-BE32-E72D297353CC}">
                <c16:uniqueId val="{00000006-73EE-444A-987C-D0658861070F}"/>
              </c:ext>
            </c:extLst>
          </c:dPt>
          <c:dPt>
            <c:idx val="4"/>
            <c:bubble3D val="0"/>
            <c:spPr>
              <a:pattFill prst="dkHorz">
                <a:fgClr>
                  <a:schemeClr val="accent5">
                    <a:lumMod val="75000"/>
                  </a:schemeClr>
                </a:fgClr>
                <a:bgClr>
                  <a:schemeClr val="bg1"/>
                </a:bgClr>
              </a:pattFill>
            </c:spPr>
            <c:extLst>
              <c:ext xmlns:c16="http://schemas.microsoft.com/office/drawing/2014/chart" uri="{C3380CC4-5D6E-409C-BE32-E72D297353CC}">
                <c16:uniqueId val="{00000008-73EE-444A-987C-D0658861070F}"/>
              </c:ext>
            </c:extLst>
          </c:dPt>
          <c:dPt>
            <c:idx val="5"/>
            <c:bubble3D val="0"/>
            <c:spPr>
              <a:solidFill>
                <a:schemeClr val="accent6">
                  <a:lumMod val="50000"/>
                </a:schemeClr>
              </a:solidFill>
            </c:spPr>
            <c:extLst>
              <c:ext xmlns:c16="http://schemas.microsoft.com/office/drawing/2014/chart" uri="{C3380CC4-5D6E-409C-BE32-E72D297353CC}">
                <c16:uniqueId val="{0000000A-73EE-444A-987C-D0658861070F}"/>
              </c:ext>
            </c:extLst>
          </c:dPt>
          <c:dPt>
            <c:idx val="6"/>
            <c:bubble3D val="0"/>
            <c:extLst>
              <c:ext xmlns:c16="http://schemas.microsoft.com/office/drawing/2014/chart" uri="{C3380CC4-5D6E-409C-BE32-E72D297353CC}">
                <c16:uniqueId val="{0000000B-73EE-444A-987C-D0658861070F}"/>
              </c:ext>
            </c:extLst>
          </c:dPt>
          <c:dPt>
            <c:idx val="7"/>
            <c:bubble3D val="0"/>
            <c:extLst>
              <c:ext xmlns:c16="http://schemas.microsoft.com/office/drawing/2014/chart" uri="{C3380CC4-5D6E-409C-BE32-E72D297353CC}">
                <c16:uniqueId val="{0000000C-73EE-444A-987C-D0658861070F}"/>
              </c:ext>
            </c:extLst>
          </c:dPt>
          <c:dPt>
            <c:idx val="8"/>
            <c:bubble3D val="0"/>
            <c:extLst>
              <c:ext xmlns:c16="http://schemas.microsoft.com/office/drawing/2014/chart" uri="{C3380CC4-5D6E-409C-BE32-E72D297353CC}">
                <c16:uniqueId val="{0000000D-73EE-444A-987C-D0658861070F}"/>
              </c:ext>
            </c:extLst>
          </c:dPt>
          <c:dLbls>
            <c:dLbl>
              <c:idx val="0"/>
              <c:layout>
                <c:manualLayout>
                  <c:x val="8.2735648970858368E-3"/>
                  <c:y val="-2.11595560011570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EE-444A-987C-D0658861070F}"/>
                </c:ext>
              </c:extLst>
            </c:dLbl>
            <c:dLbl>
              <c:idx val="3"/>
              <c:layout>
                <c:manualLayout>
                  <c:x val="-0.10437804545954935"/>
                  <c:y val="4.0075767228125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EE-444A-987C-D0658861070F}"/>
                </c:ext>
              </c:extLst>
            </c:dLbl>
            <c:dLbl>
              <c:idx val="4"/>
              <c:layout>
                <c:manualLayout>
                  <c:x val="-0.13348606258654755"/>
                  <c:y val="-1.57609425035462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EE-444A-987C-D0658861070F}"/>
                </c:ext>
              </c:extLst>
            </c:dLbl>
            <c:dLbl>
              <c:idx val="5"/>
              <c:layout>
                <c:manualLayout>
                  <c:x val="-7.288870348160123E-2"/>
                  <c:y val="-2.82737473349811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EE-444A-987C-D0658861070F}"/>
                </c:ext>
              </c:extLst>
            </c:dLbl>
            <c:dLbl>
              <c:idx val="8"/>
              <c:layout>
                <c:manualLayout>
                  <c:x val="0.1202769521359499"/>
                  <c:y val="-2.835848957275755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EE-444A-987C-D0658861070F}"/>
                </c:ext>
              </c:extLst>
            </c:dLbl>
            <c:spPr>
              <a:noFill/>
              <a:ln>
                <a:noFill/>
              </a:ln>
              <a:effectLst/>
            </c:spPr>
            <c:txPr>
              <a:bodyPr/>
              <a:lstStyle/>
              <a:p>
                <a:pPr>
                  <a:defRPr sz="1600" b="1" i="0" u="none" strike="noStrike" baseline="0">
                    <a:solidFill>
                      <a:srgbClr val="000000"/>
                    </a:solidFill>
                    <a:latin typeface="Aptos" panose="020B0004020202020204" pitchFamily="34" charset="0"/>
                    <a:ea typeface="Calibri"/>
                    <a:cs typeface="Calibri"/>
                  </a:defRPr>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'Adjustable GWP Summary'!$T$47:$T$53</c:f>
              <c:strCache>
                <c:ptCount val="7"/>
                <c:pt idx="0">
                  <c:v>Building Consumption</c:v>
                </c:pt>
                <c:pt idx="1">
                  <c:v>Electricity Consumption</c:v>
                </c:pt>
                <c:pt idx="2">
                  <c:v>Mobile Combustion</c:v>
                </c:pt>
                <c:pt idx="3">
                  <c:v>Natural Gas Systems</c:v>
                </c:pt>
                <c:pt idx="4">
                  <c:v>Industrial Processes</c:v>
                </c:pt>
                <c:pt idx="5">
                  <c:v>Agriculture </c:v>
                </c:pt>
                <c:pt idx="6">
                  <c:v>Waste</c:v>
                </c:pt>
              </c:strCache>
            </c:strRef>
          </c:cat>
          <c:val>
            <c:numRef>
              <c:f>'Adjustable GWP Summary'!$S$47:$S$53</c:f>
              <c:numCache>
                <c:formatCode>0.0%</c:formatCode>
                <c:ptCount val="7"/>
                <c:pt idx="0">
                  <c:v>0.34499971599028612</c:v>
                </c:pt>
                <c:pt idx="1">
                  <c:v>0.17286979438185446</c:v>
                </c:pt>
                <c:pt idx="2">
                  <c:v>0.40360153229006335</c:v>
                </c:pt>
                <c:pt idx="3">
                  <c:v>1.0843800260794763E-2</c:v>
                </c:pt>
                <c:pt idx="4">
                  <c:v>5.4991303958138137E-2</c:v>
                </c:pt>
                <c:pt idx="5">
                  <c:v>3.9382991143825869E-3</c:v>
                </c:pt>
                <c:pt idx="6">
                  <c:v>8.7555540044805709E-3</c:v>
                </c:pt>
              </c:numCache>
            </c:numRef>
          </c:val>
          <c:extLst>
            <c:ext xmlns:c16="http://schemas.microsoft.com/office/drawing/2014/chart" uri="{C3380CC4-5D6E-409C-BE32-E72D297353CC}">
              <c16:uniqueId val="{0000000E-73EE-444A-987C-D0658861070F}"/>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6776520484608304"/>
          <c:y val="0.14184232097170815"/>
          <c:w val="0.31556807054747293"/>
          <c:h val="0.82348766735388346"/>
        </c:manualLayout>
      </c:layout>
      <c:overlay val="0"/>
      <c:txPr>
        <a:bodyPr/>
        <a:lstStyle/>
        <a:p>
          <a:pPr>
            <a:defRPr sz="1400" b="0" i="0" u="none" strike="noStrike" baseline="0">
              <a:solidFill>
                <a:srgbClr val="000000"/>
              </a:solidFill>
              <a:latin typeface="Aptos" panose="020B0004020202020204" pitchFamily="34" charset="0"/>
              <a:ea typeface="Calibri"/>
              <a:cs typeface="Calibri"/>
            </a:defRPr>
          </a:pPr>
          <a:endParaRPr lang="en-US"/>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ptos" panose="020B0004020202020204" pitchFamily="34" charset="0"/>
                <a:ea typeface="Calibri"/>
                <a:cs typeface="Calibri"/>
              </a:defRPr>
            </a:pPr>
            <a:r>
              <a:rPr lang="en-US" sz="1400" b="1" i="0" u="none" strike="noStrike" baseline="0">
                <a:solidFill>
                  <a:srgbClr val="000000"/>
                </a:solidFill>
                <a:latin typeface="Aptos" panose="020B0004020202020204" pitchFamily="34" charset="0"/>
              </a:rPr>
              <a:t>All GHGs</a:t>
            </a:r>
          </a:p>
          <a:p>
            <a:pPr>
              <a:defRPr sz="1000" b="0" i="0" u="none" strike="noStrike" baseline="0">
                <a:solidFill>
                  <a:srgbClr val="000000"/>
                </a:solidFill>
                <a:latin typeface="Aptos" panose="020B0004020202020204" pitchFamily="34" charset="0"/>
                <a:ea typeface="Calibri"/>
                <a:cs typeface="Calibri"/>
              </a:defRPr>
            </a:pPr>
            <a:r>
              <a:rPr lang="en-US" sz="1400" b="1" i="0" u="none" strike="noStrike" baseline="0">
                <a:solidFill>
                  <a:srgbClr val="000000"/>
                </a:solidFill>
                <a:latin typeface="Aptos" panose="020B0004020202020204" pitchFamily="34" charset="0"/>
              </a:rPr>
              <a:t>(MMTCO</a:t>
            </a:r>
            <a:r>
              <a:rPr lang="en-US" sz="1400" b="1" i="0" u="none" strike="noStrike" baseline="-25000">
                <a:solidFill>
                  <a:srgbClr val="000000"/>
                </a:solidFill>
                <a:latin typeface="Aptos" panose="020B0004020202020204" pitchFamily="34" charset="0"/>
              </a:rPr>
              <a:t>2</a:t>
            </a:r>
            <a:r>
              <a:rPr lang="en-US" sz="1400" b="1" i="0" u="none" strike="noStrike" baseline="0">
                <a:solidFill>
                  <a:srgbClr val="000000"/>
                </a:solidFill>
                <a:latin typeface="Aptos" panose="020B0004020202020204" pitchFamily="34" charset="0"/>
              </a:rPr>
              <a:t>e</a:t>
            </a:r>
            <a:r>
              <a:rPr lang="en-US" sz="1200" b="0" i="0" u="none" strike="noStrike" baseline="0">
                <a:solidFill>
                  <a:srgbClr val="000000"/>
                </a:solidFill>
                <a:latin typeface="Aptos" panose="020B0004020202020204" pitchFamily="34" charset="0"/>
              </a:rPr>
              <a:t>)</a:t>
            </a:r>
          </a:p>
        </c:rich>
      </c:tx>
      <c:layout>
        <c:manualLayout>
          <c:xMode val="edge"/>
          <c:yMode val="edge"/>
          <c:x val="0.71873037630733361"/>
          <c:y val="1.0343568718070973E-2"/>
        </c:manualLayout>
      </c:layout>
      <c:overlay val="0"/>
    </c:title>
    <c:autoTitleDeleted val="0"/>
    <c:plotArea>
      <c:layout>
        <c:manualLayout>
          <c:layoutTarget val="inner"/>
          <c:xMode val="edge"/>
          <c:yMode val="edge"/>
          <c:x val="7.7823229736222452E-2"/>
          <c:y val="8.4956024574154507E-2"/>
          <c:w val="0.55838383336203823"/>
          <c:h val="0.71255415036832248"/>
        </c:manualLayout>
      </c:layout>
      <c:lineChart>
        <c:grouping val="standard"/>
        <c:varyColors val="0"/>
        <c:ser>
          <c:idx val="0"/>
          <c:order val="0"/>
          <c:tx>
            <c:strRef>
              <c:f>'Summary by Gas'!$A$126</c:f>
              <c:strCache>
                <c:ptCount val="1"/>
                <c:pt idx="0">
                  <c:v>CO2 Total</c:v>
                </c:pt>
              </c:strCache>
            </c:strRef>
          </c:tx>
          <c:spPr>
            <a:ln>
              <a:solidFill>
                <a:schemeClr val="tx2">
                  <a:lumMod val="75000"/>
                </a:schemeClr>
              </a:solidFill>
            </a:ln>
          </c:spPr>
          <c:marker>
            <c:spPr>
              <a:solidFill>
                <a:schemeClr val="tx2">
                  <a:lumMod val="75000"/>
                </a:schemeClr>
              </a:solidFill>
              <a:ln>
                <a:solidFill>
                  <a:srgbClr val="1F497D">
                    <a:lumMod val="75000"/>
                  </a:srgbClr>
                </a:solidFill>
              </a:ln>
            </c:spPr>
          </c:marker>
          <c:cat>
            <c:strRef>
              <c:f>'Summary by Gas'!$B$116:$AT$116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Gas'!$B$126:$AI$126</c:f>
              <c:numCache>
                <c:formatCode>0.0</c:formatCode>
                <c:ptCount val="34"/>
                <c:pt idx="0">
                  <c:v>83.895847239273991</c:v>
                </c:pt>
                <c:pt idx="1">
                  <c:v>82.439280973406937</c:v>
                </c:pt>
                <c:pt idx="2">
                  <c:v>84.075436428388443</c:v>
                </c:pt>
                <c:pt idx="3">
                  <c:v>81.359861789517367</c:v>
                </c:pt>
                <c:pt idx="4">
                  <c:v>81.794739723416455</c:v>
                </c:pt>
                <c:pt idx="5">
                  <c:v>79.382444176503583</c:v>
                </c:pt>
                <c:pt idx="6">
                  <c:v>79.693729182225709</c:v>
                </c:pt>
                <c:pt idx="7">
                  <c:v>85.657983627594589</c:v>
                </c:pt>
                <c:pt idx="8">
                  <c:v>83.89332227117734</c:v>
                </c:pt>
                <c:pt idx="9">
                  <c:v>81.498922285744428</c:v>
                </c:pt>
                <c:pt idx="10">
                  <c:v>83.093517920381245</c:v>
                </c:pt>
                <c:pt idx="11">
                  <c:v>82.968576597891371</c:v>
                </c:pt>
                <c:pt idx="12">
                  <c:v>84.067250909326603</c:v>
                </c:pt>
                <c:pt idx="13">
                  <c:v>86.309559866608794</c:v>
                </c:pt>
                <c:pt idx="14">
                  <c:v>84.181657050058135</c:v>
                </c:pt>
                <c:pt idx="15">
                  <c:v>85.37767760850889</c:v>
                </c:pt>
                <c:pt idx="16">
                  <c:v>77.733614529752913</c:v>
                </c:pt>
                <c:pt idx="17">
                  <c:v>81.006231359953773</c:v>
                </c:pt>
                <c:pt idx="18">
                  <c:v>77.616496449332303</c:v>
                </c:pt>
                <c:pt idx="19">
                  <c:v>71.984982000487221</c:v>
                </c:pt>
                <c:pt idx="20">
                  <c:v>74.257060192012901</c:v>
                </c:pt>
                <c:pt idx="21">
                  <c:v>68.650278988048655</c:v>
                </c:pt>
                <c:pt idx="22">
                  <c:v>62.39311414856013</c:v>
                </c:pt>
                <c:pt idx="23">
                  <c:v>66.483443440875277</c:v>
                </c:pt>
                <c:pt idx="24">
                  <c:v>64.458438184126649</c:v>
                </c:pt>
                <c:pt idx="25">
                  <c:v>65.887932043358646</c:v>
                </c:pt>
                <c:pt idx="26">
                  <c:v>62.627936745975894</c:v>
                </c:pt>
                <c:pt idx="27">
                  <c:v>62.977863680660462</c:v>
                </c:pt>
                <c:pt idx="28">
                  <c:v>62.549790172242673</c:v>
                </c:pt>
                <c:pt idx="29">
                  <c:v>61.303518117806661</c:v>
                </c:pt>
                <c:pt idx="30">
                  <c:v>52.285677543838929</c:v>
                </c:pt>
                <c:pt idx="31">
                  <c:v>56.154485899439308</c:v>
                </c:pt>
                <c:pt idx="32">
                  <c:v>58.562695664346876</c:v>
                </c:pt>
                <c:pt idx="33">
                  <c:v>55.643864378345249</c:v>
                </c:pt>
              </c:numCache>
            </c:numRef>
          </c:val>
          <c:smooth val="0"/>
          <c:extLst>
            <c:ext xmlns:c16="http://schemas.microsoft.com/office/drawing/2014/chart" uri="{C3380CC4-5D6E-409C-BE32-E72D297353CC}">
              <c16:uniqueId val="{00000000-3F6C-4629-B2AD-B18E4574F633}"/>
            </c:ext>
          </c:extLst>
        </c:ser>
        <c:ser>
          <c:idx val="1"/>
          <c:order val="1"/>
          <c:tx>
            <c:strRef>
              <c:f>'Summary by Gas'!$A$141</c:f>
              <c:strCache>
                <c:ptCount val="1"/>
                <c:pt idx="0">
                  <c:v>CH4 Total</c:v>
                </c:pt>
              </c:strCache>
            </c:strRef>
          </c:tx>
          <c:spPr>
            <a:ln>
              <a:solidFill>
                <a:schemeClr val="bg2">
                  <a:lumMod val="25000"/>
                </a:schemeClr>
              </a:solidFill>
            </a:ln>
          </c:spPr>
          <c:marker>
            <c:spPr>
              <a:noFill/>
              <a:ln>
                <a:solidFill>
                  <a:schemeClr val="bg2">
                    <a:lumMod val="25000"/>
                  </a:schemeClr>
                </a:solidFill>
              </a:ln>
            </c:spPr>
          </c:marker>
          <c:cat>
            <c:strRef>
              <c:f>'Summary by Gas'!$B$116:$AT$116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Gas'!$B$141:$AI$141</c:f>
              <c:numCache>
                <c:formatCode>0.0</c:formatCode>
                <c:ptCount val="34"/>
                <c:pt idx="0">
                  <c:v>5.1761534036933918</c:v>
                </c:pt>
                <c:pt idx="1">
                  <c:v>5.2588578922422258</c:v>
                </c:pt>
                <c:pt idx="2">
                  <c:v>5.1534549835317298</c:v>
                </c:pt>
                <c:pt idx="3">
                  <c:v>4.9532535948485208</c:v>
                </c:pt>
                <c:pt idx="4">
                  <c:v>4.8651668020091536</c:v>
                </c:pt>
                <c:pt idx="5">
                  <c:v>4.8301700610314438</c:v>
                </c:pt>
                <c:pt idx="6">
                  <c:v>4.377697573569483</c:v>
                </c:pt>
                <c:pt idx="7">
                  <c:v>3.8160529505157501</c:v>
                </c:pt>
                <c:pt idx="8">
                  <c:v>3.6466250893452283</c:v>
                </c:pt>
                <c:pt idx="9">
                  <c:v>3.5792152115569245</c:v>
                </c:pt>
                <c:pt idx="10">
                  <c:v>2.9297856896200645</c:v>
                </c:pt>
                <c:pt idx="11">
                  <c:v>2.4685266409127014</c:v>
                </c:pt>
                <c:pt idx="12">
                  <c:v>2.8111789670930203</c:v>
                </c:pt>
                <c:pt idx="13">
                  <c:v>3.2440338711628542</c:v>
                </c:pt>
                <c:pt idx="14">
                  <c:v>3.0235018803241052</c:v>
                </c:pt>
                <c:pt idx="15">
                  <c:v>2.8651937713096518</c:v>
                </c:pt>
                <c:pt idx="16">
                  <c:v>2.6217170022063203</c:v>
                </c:pt>
                <c:pt idx="17">
                  <c:v>2.4947959286577639</c:v>
                </c:pt>
                <c:pt idx="18">
                  <c:v>2.4929152686757243</c:v>
                </c:pt>
                <c:pt idx="19">
                  <c:v>2.5304234827446681</c:v>
                </c:pt>
                <c:pt idx="20">
                  <c:v>2.0722903809955855</c:v>
                </c:pt>
                <c:pt idx="21">
                  <c:v>1.9028965959186102</c:v>
                </c:pt>
                <c:pt idx="22">
                  <c:v>1.9212919848134291</c:v>
                </c:pt>
                <c:pt idx="23">
                  <c:v>1.833743330050011</c:v>
                </c:pt>
                <c:pt idx="24">
                  <c:v>1.7524939307057326</c:v>
                </c:pt>
                <c:pt idx="25">
                  <c:v>1.7809253095981572</c:v>
                </c:pt>
                <c:pt idx="26">
                  <c:v>1.7005934655274793</c:v>
                </c:pt>
                <c:pt idx="27">
                  <c:v>1.6455850091325299</c:v>
                </c:pt>
                <c:pt idx="28">
                  <c:v>1.6270963244136896</c:v>
                </c:pt>
                <c:pt idx="29">
                  <c:v>1.6351694601127658</c:v>
                </c:pt>
                <c:pt idx="30">
                  <c:v>1.616329024558208</c:v>
                </c:pt>
                <c:pt idx="31">
                  <c:v>1.5035796658630463</c:v>
                </c:pt>
                <c:pt idx="32">
                  <c:v>1.5356745303637294</c:v>
                </c:pt>
                <c:pt idx="33">
                  <c:v>1.4687829192079942</c:v>
                </c:pt>
              </c:numCache>
            </c:numRef>
          </c:val>
          <c:smooth val="0"/>
          <c:extLst>
            <c:ext xmlns:c16="http://schemas.microsoft.com/office/drawing/2014/chart" uri="{C3380CC4-5D6E-409C-BE32-E72D297353CC}">
              <c16:uniqueId val="{00000001-3F6C-4629-B2AD-B18E4574F633}"/>
            </c:ext>
          </c:extLst>
        </c:ser>
        <c:ser>
          <c:idx val="2"/>
          <c:order val="2"/>
          <c:tx>
            <c:strRef>
              <c:f>'Summary by Gas'!$A$156</c:f>
              <c:strCache>
                <c:ptCount val="1"/>
                <c:pt idx="0">
                  <c:v>N2O Total</c:v>
                </c:pt>
              </c:strCache>
            </c:strRef>
          </c:tx>
          <c:spPr>
            <a:ln>
              <a:solidFill>
                <a:srgbClr val="C00000"/>
              </a:solidFill>
            </a:ln>
          </c:spPr>
          <c:marker>
            <c:spPr>
              <a:solidFill>
                <a:srgbClr val="C00000"/>
              </a:solidFill>
              <a:ln>
                <a:solidFill>
                  <a:srgbClr val="C00000"/>
                </a:solidFill>
              </a:ln>
            </c:spPr>
          </c:marker>
          <c:cat>
            <c:strRef>
              <c:f>'Summary by Gas'!$B$116:$AT$116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Gas'!$B$156:$AI$156</c:f>
              <c:numCache>
                <c:formatCode>0.0</c:formatCode>
                <c:ptCount val="34"/>
                <c:pt idx="0">
                  <c:v>1.5657831640407651</c:v>
                </c:pt>
                <c:pt idx="1">
                  <c:v>1.6027346978523331</c:v>
                </c:pt>
                <c:pt idx="2">
                  <c:v>1.640814171994045</c:v>
                </c:pt>
                <c:pt idx="3">
                  <c:v>1.6112568347648981</c:v>
                </c:pt>
                <c:pt idx="4">
                  <c:v>1.6771113741448378</c:v>
                </c:pt>
                <c:pt idx="5">
                  <c:v>1.6924285668205588</c:v>
                </c:pt>
                <c:pt idx="6">
                  <c:v>1.7303933918243477</c:v>
                </c:pt>
                <c:pt idx="7">
                  <c:v>1.738043314551704</c:v>
                </c:pt>
                <c:pt idx="8">
                  <c:v>1.7372543976840522</c:v>
                </c:pt>
                <c:pt idx="9">
                  <c:v>1.6754021128680283</c:v>
                </c:pt>
                <c:pt idx="10">
                  <c:v>1.641234412176215</c:v>
                </c:pt>
                <c:pt idx="11">
                  <c:v>1.5834465866710299</c:v>
                </c:pt>
                <c:pt idx="12">
                  <c:v>1.5274409428169635</c:v>
                </c:pt>
                <c:pt idx="13">
                  <c:v>1.470367504162847</c:v>
                </c:pt>
                <c:pt idx="14">
                  <c:v>1.4094041810437967</c:v>
                </c:pt>
                <c:pt idx="15">
                  <c:v>1.3730452623301383</c:v>
                </c:pt>
                <c:pt idx="16">
                  <c:v>1.333905566142181</c:v>
                </c:pt>
                <c:pt idx="17">
                  <c:v>1.2274202222486517</c:v>
                </c:pt>
                <c:pt idx="18">
                  <c:v>1.1850958851657787</c:v>
                </c:pt>
                <c:pt idx="19">
                  <c:v>1.1079602299520588</c:v>
                </c:pt>
                <c:pt idx="20">
                  <c:v>1.050077327850883</c:v>
                </c:pt>
                <c:pt idx="21">
                  <c:v>1.0323466863830424</c:v>
                </c:pt>
                <c:pt idx="22">
                  <c:v>0.95488989887944598</c:v>
                </c:pt>
                <c:pt idx="23">
                  <c:v>0.94673619165162648</c:v>
                </c:pt>
                <c:pt idx="24">
                  <c:v>0.91081683750913089</c:v>
                </c:pt>
                <c:pt idx="25">
                  <c:v>0.84360663356800303</c:v>
                </c:pt>
                <c:pt idx="26">
                  <c:v>0.80182939100955486</c:v>
                </c:pt>
                <c:pt idx="27">
                  <c:v>0.78435299149927962</c:v>
                </c:pt>
                <c:pt idx="28">
                  <c:v>0.73810720781031058</c:v>
                </c:pt>
                <c:pt idx="29">
                  <c:v>0.76983335180993528</c:v>
                </c:pt>
                <c:pt idx="30">
                  <c:v>0.70633413157157365</c:v>
                </c:pt>
                <c:pt idx="31">
                  <c:v>0.71120841859766937</c:v>
                </c:pt>
                <c:pt idx="32">
                  <c:v>0.72741605679153498</c:v>
                </c:pt>
                <c:pt idx="33">
                  <c:v>0.71391148986715747</c:v>
                </c:pt>
              </c:numCache>
            </c:numRef>
          </c:val>
          <c:smooth val="0"/>
          <c:extLst>
            <c:ext xmlns:c16="http://schemas.microsoft.com/office/drawing/2014/chart" uri="{C3380CC4-5D6E-409C-BE32-E72D297353CC}">
              <c16:uniqueId val="{00000002-3F6C-4629-B2AD-B18E4574F633}"/>
            </c:ext>
          </c:extLst>
        </c:ser>
        <c:ser>
          <c:idx val="4"/>
          <c:order val="3"/>
          <c:tx>
            <c:strRef>
              <c:f>'Summary by Gas'!$A$167</c:f>
              <c:strCache>
                <c:ptCount val="1"/>
                <c:pt idx="0">
                  <c:v>SF6 and Other GHG Gases Total</c:v>
                </c:pt>
              </c:strCache>
            </c:strRef>
          </c:tx>
          <c:spPr>
            <a:ln>
              <a:solidFill>
                <a:schemeClr val="accent4">
                  <a:lumMod val="75000"/>
                </a:schemeClr>
              </a:solidFill>
            </a:ln>
          </c:spPr>
          <c:marker>
            <c:symbol val="circle"/>
            <c:size val="6"/>
            <c:spPr>
              <a:noFill/>
              <a:ln>
                <a:solidFill>
                  <a:schemeClr val="accent4">
                    <a:lumMod val="50000"/>
                  </a:schemeClr>
                </a:solidFill>
              </a:ln>
            </c:spPr>
          </c:marker>
          <c:cat>
            <c:strRef>
              <c:f>'Summary by Gas'!$B$116:$AT$116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Gas'!$B$167:$AI$167</c:f>
              <c:numCache>
                <c:formatCode>0.0</c:formatCode>
                <c:ptCount val="34"/>
                <c:pt idx="0" formatCode="0.0000000">
                  <c:v>0.48138328615922965</c:v>
                </c:pt>
                <c:pt idx="1">
                  <c:v>0.24081167932090694</c:v>
                </c:pt>
                <c:pt idx="2">
                  <c:v>0.25761854776739168</c:v>
                </c:pt>
                <c:pt idx="3">
                  <c:v>0.33509362899405526</c:v>
                </c:pt>
                <c:pt idx="4">
                  <c:v>0.46867397127764959</c:v>
                </c:pt>
                <c:pt idx="5">
                  <c:v>0.75640210091777871</c:v>
                </c:pt>
                <c:pt idx="6">
                  <c:v>0.96938206474521538</c:v>
                </c:pt>
                <c:pt idx="7">
                  <c:v>1.1643900472507429</c:v>
                </c:pt>
                <c:pt idx="8">
                  <c:v>1.3214584254442836</c:v>
                </c:pt>
                <c:pt idx="9">
                  <c:v>1.4682569336579343</c:v>
                </c:pt>
                <c:pt idx="10">
                  <c:v>1.5572411752264856</c:v>
                </c:pt>
                <c:pt idx="11">
                  <c:v>1.6296344206355287</c:v>
                </c:pt>
                <c:pt idx="12">
                  <c:v>1.7117072892816281</c:v>
                </c:pt>
                <c:pt idx="13">
                  <c:v>1.7819233073035901</c:v>
                </c:pt>
                <c:pt idx="14">
                  <c:v>1.8338913121298344</c:v>
                </c:pt>
                <c:pt idx="15">
                  <c:v>1.9388747149130066</c:v>
                </c:pt>
                <c:pt idx="16">
                  <c:v>2.0497218899822927</c:v>
                </c:pt>
                <c:pt idx="17">
                  <c:v>2.1643771169528527</c:v>
                </c:pt>
                <c:pt idx="18">
                  <c:v>2.3505064150846593</c:v>
                </c:pt>
                <c:pt idx="19">
                  <c:v>2.8498186701855479</c:v>
                </c:pt>
                <c:pt idx="20">
                  <c:v>2.435466765398965</c:v>
                </c:pt>
                <c:pt idx="21">
                  <c:v>2.4614264417496914</c:v>
                </c:pt>
                <c:pt idx="22">
                  <c:v>2.7783244164096677</c:v>
                </c:pt>
                <c:pt idx="23">
                  <c:v>3.4375670597915522</c:v>
                </c:pt>
                <c:pt idx="24">
                  <c:v>3.8533647275333776</c:v>
                </c:pt>
                <c:pt idx="25">
                  <c:v>3.3599607194648078</c:v>
                </c:pt>
                <c:pt idx="26">
                  <c:v>3.4292406932546942</c:v>
                </c:pt>
                <c:pt idx="27">
                  <c:v>2.9226904040272279</c:v>
                </c:pt>
                <c:pt idx="28">
                  <c:v>3.4116359632133091</c:v>
                </c:pt>
                <c:pt idx="29">
                  <c:v>3.2813511702185632</c:v>
                </c:pt>
                <c:pt idx="30">
                  <c:v>3.6593351527694415</c:v>
                </c:pt>
                <c:pt idx="31">
                  <c:v>3.6159355158767887</c:v>
                </c:pt>
                <c:pt idx="32">
                  <c:v>3.0642051009885547</c:v>
                </c:pt>
                <c:pt idx="33">
                  <c:v>3.2664308140058642</c:v>
                </c:pt>
              </c:numCache>
            </c:numRef>
          </c:val>
          <c:smooth val="0"/>
          <c:extLst>
            <c:ext xmlns:c16="http://schemas.microsoft.com/office/drawing/2014/chart" uri="{C3380CC4-5D6E-409C-BE32-E72D297353CC}">
              <c16:uniqueId val="{00000003-3F6C-4629-B2AD-B18E4574F633}"/>
            </c:ext>
          </c:extLst>
        </c:ser>
        <c:dLbls>
          <c:showLegendKey val="0"/>
          <c:showVal val="0"/>
          <c:showCatName val="0"/>
          <c:showSerName val="0"/>
          <c:showPercent val="0"/>
          <c:showBubbleSize val="0"/>
        </c:dLbls>
        <c:marker val="1"/>
        <c:smooth val="0"/>
        <c:axId val="47875968"/>
        <c:axId val="47890432"/>
      </c:lineChart>
      <c:catAx>
        <c:axId val="47875968"/>
        <c:scaling>
          <c:orientation val="minMax"/>
        </c:scaling>
        <c:delete val="0"/>
        <c:axPos val="b"/>
        <c:numFmt formatCode="General" sourceLinked="1"/>
        <c:majorTickMark val="out"/>
        <c:minorTickMark val="none"/>
        <c:tickLblPos val="nextTo"/>
        <c:txPr>
          <a:bodyPr rot="-540000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7890432"/>
        <c:crosses val="autoZero"/>
        <c:auto val="1"/>
        <c:lblAlgn val="ctr"/>
        <c:lblOffset val="100"/>
        <c:noMultiLvlLbl val="0"/>
      </c:catAx>
      <c:valAx>
        <c:axId val="47890432"/>
        <c:scaling>
          <c:orientation val="minMax"/>
          <c:max val="90"/>
          <c:min val="0"/>
        </c:scaling>
        <c:delete val="0"/>
        <c:axPos val="l"/>
        <c:majorGridlines/>
        <c:numFmt formatCode="0" sourceLinked="0"/>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7875968"/>
        <c:crosses val="autoZero"/>
        <c:crossBetween val="between"/>
      </c:valAx>
    </c:plotArea>
    <c:legend>
      <c:legendPos val="r"/>
      <c:layout>
        <c:manualLayout>
          <c:xMode val="edge"/>
          <c:yMode val="edge"/>
          <c:x val="0.67144668501022631"/>
          <c:y val="0.18494088879915652"/>
          <c:w val="0.32577376657909191"/>
          <c:h val="0.78788478363281511"/>
        </c:manualLayout>
      </c:layout>
      <c:overlay val="0"/>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ptos" panose="020B0004020202020204" pitchFamily="34" charset="0"/>
                <a:ea typeface="Calibri"/>
                <a:cs typeface="Calibri"/>
              </a:defRPr>
            </a:pPr>
            <a:r>
              <a:rPr lang="en-US" sz="1800" b="1" i="0" u="none" strike="noStrike" baseline="0">
                <a:solidFill>
                  <a:srgbClr val="000000"/>
                </a:solidFill>
                <a:latin typeface="Aptos" panose="020B0004020202020204" pitchFamily="34" charset="0"/>
              </a:rPr>
              <a:t>CH</a:t>
            </a:r>
            <a:r>
              <a:rPr lang="en-US" sz="1800" b="1" i="0" u="none" strike="noStrike" baseline="-25000">
                <a:solidFill>
                  <a:srgbClr val="000000"/>
                </a:solidFill>
                <a:latin typeface="Aptos" panose="020B0004020202020204" pitchFamily="34" charset="0"/>
              </a:rPr>
              <a:t>4</a:t>
            </a:r>
            <a:r>
              <a:rPr lang="en-US" sz="1800" b="1" i="0" u="none" strike="noStrike" baseline="0">
                <a:solidFill>
                  <a:srgbClr val="000000"/>
                </a:solidFill>
                <a:latin typeface="Aptos" panose="020B0004020202020204" pitchFamily="34" charset="0"/>
              </a:rPr>
              <a:t> as MMTCO</a:t>
            </a:r>
            <a:r>
              <a:rPr lang="en-US" sz="1800" b="1" i="0" u="none" strike="noStrike" baseline="-25000">
                <a:solidFill>
                  <a:srgbClr val="000000"/>
                </a:solidFill>
                <a:latin typeface="Aptos" panose="020B0004020202020204" pitchFamily="34" charset="0"/>
              </a:rPr>
              <a:t>2</a:t>
            </a:r>
            <a:r>
              <a:rPr lang="en-US" sz="1800" b="1" i="0" u="none" strike="noStrike" baseline="0">
                <a:solidFill>
                  <a:srgbClr val="000000"/>
                </a:solidFill>
                <a:latin typeface="Aptos" panose="020B0004020202020204" pitchFamily="34" charset="0"/>
              </a:rPr>
              <a:t>e</a:t>
            </a:r>
          </a:p>
        </c:rich>
      </c:tx>
      <c:overlay val="0"/>
    </c:title>
    <c:autoTitleDeleted val="0"/>
    <c:plotArea>
      <c:layout/>
      <c:lineChart>
        <c:grouping val="standard"/>
        <c:varyColors val="0"/>
        <c:ser>
          <c:idx val="0"/>
          <c:order val="0"/>
          <c:tx>
            <c:strRef>
              <c:f>'Summary by Gas'!$A$141</c:f>
              <c:strCache>
                <c:ptCount val="1"/>
                <c:pt idx="0">
                  <c:v>CH4 Total</c:v>
                </c:pt>
              </c:strCache>
            </c:strRef>
          </c:tx>
          <c:spPr>
            <a:ln>
              <a:solidFill>
                <a:schemeClr val="bg2">
                  <a:lumMod val="25000"/>
                </a:schemeClr>
              </a:solidFill>
            </a:ln>
          </c:spPr>
          <c:marker>
            <c:symbol val="x"/>
            <c:size val="5"/>
            <c:spPr>
              <a:solidFill>
                <a:schemeClr val="bg2">
                  <a:lumMod val="25000"/>
                </a:schemeClr>
              </a:solidFill>
              <a:ln>
                <a:solidFill>
                  <a:schemeClr val="bg2">
                    <a:lumMod val="25000"/>
                  </a:schemeClr>
                </a:solidFill>
              </a:ln>
            </c:spPr>
          </c:marker>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Gas'!$B$141:$AI$141</c:f>
              <c:numCache>
                <c:formatCode>0.0</c:formatCode>
                <c:ptCount val="34"/>
                <c:pt idx="0">
                  <c:v>5.1761534036933918</c:v>
                </c:pt>
                <c:pt idx="1">
                  <c:v>5.2588578922422258</c:v>
                </c:pt>
                <c:pt idx="2">
                  <c:v>5.1534549835317298</c:v>
                </c:pt>
                <c:pt idx="3">
                  <c:v>4.9532535948485208</c:v>
                </c:pt>
                <c:pt idx="4">
                  <c:v>4.8651668020091536</c:v>
                </c:pt>
                <c:pt idx="5">
                  <c:v>4.8301700610314438</c:v>
                </c:pt>
                <c:pt idx="6">
                  <c:v>4.377697573569483</c:v>
                </c:pt>
                <c:pt idx="7">
                  <c:v>3.8160529505157501</c:v>
                </c:pt>
                <c:pt idx="8">
                  <c:v>3.6466250893452283</c:v>
                </c:pt>
                <c:pt idx="9">
                  <c:v>3.5792152115569245</c:v>
                </c:pt>
                <c:pt idx="10">
                  <c:v>2.9297856896200645</c:v>
                </c:pt>
                <c:pt idx="11">
                  <c:v>2.4685266409127014</c:v>
                </c:pt>
                <c:pt idx="12">
                  <c:v>2.8111789670930203</c:v>
                </c:pt>
                <c:pt idx="13">
                  <c:v>3.2440338711628542</c:v>
                </c:pt>
                <c:pt idx="14">
                  <c:v>3.0235018803241052</c:v>
                </c:pt>
                <c:pt idx="15">
                  <c:v>2.8651937713096518</c:v>
                </c:pt>
                <c:pt idx="16">
                  <c:v>2.6217170022063203</c:v>
                </c:pt>
                <c:pt idx="17">
                  <c:v>2.4947959286577639</c:v>
                </c:pt>
                <c:pt idx="18">
                  <c:v>2.4929152686757243</c:v>
                </c:pt>
                <c:pt idx="19">
                  <c:v>2.5304234827446681</c:v>
                </c:pt>
                <c:pt idx="20">
                  <c:v>2.0722903809955855</c:v>
                </c:pt>
                <c:pt idx="21">
                  <c:v>1.9028965959186102</c:v>
                </c:pt>
                <c:pt idx="22">
                  <c:v>1.9212919848134291</c:v>
                </c:pt>
                <c:pt idx="23">
                  <c:v>1.833743330050011</c:v>
                </c:pt>
                <c:pt idx="24">
                  <c:v>1.7524939307057326</c:v>
                </c:pt>
                <c:pt idx="25">
                  <c:v>1.7809253095981572</c:v>
                </c:pt>
                <c:pt idx="26">
                  <c:v>1.7005934655274793</c:v>
                </c:pt>
                <c:pt idx="27">
                  <c:v>1.6455850091325299</c:v>
                </c:pt>
                <c:pt idx="28">
                  <c:v>1.6270963244136896</c:v>
                </c:pt>
                <c:pt idx="29">
                  <c:v>1.6351694601127658</c:v>
                </c:pt>
                <c:pt idx="30">
                  <c:v>1.616329024558208</c:v>
                </c:pt>
                <c:pt idx="31">
                  <c:v>1.5035796658630463</c:v>
                </c:pt>
                <c:pt idx="32">
                  <c:v>1.5356745303637294</c:v>
                </c:pt>
                <c:pt idx="33">
                  <c:v>1.4687829192079942</c:v>
                </c:pt>
              </c:numCache>
            </c:numRef>
          </c:val>
          <c:smooth val="0"/>
          <c:extLst>
            <c:ext xmlns:c16="http://schemas.microsoft.com/office/drawing/2014/chart" uri="{C3380CC4-5D6E-409C-BE32-E72D297353CC}">
              <c16:uniqueId val="{00000000-D276-4B9C-991D-105041F2BA29}"/>
            </c:ext>
          </c:extLst>
        </c:ser>
        <c:dLbls>
          <c:showLegendKey val="0"/>
          <c:showVal val="0"/>
          <c:showCatName val="0"/>
          <c:showSerName val="0"/>
          <c:showPercent val="0"/>
          <c:showBubbleSize val="0"/>
        </c:dLbls>
        <c:marker val="1"/>
        <c:smooth val="0"/>
        <c:axId val="48058752"/>
        <c:axId val="48060672"/>
      </c:lineChart>
      <c:catAx>
        <c:axId val="48058752"/>
        <c:scaling>
          <c:orientation val="minMax"/>
        </c:scaling>
        <c:delete val="0"/>
        <c:axPos val="b"/>
        <c:numFmt formatCode="General" sourceLinked="1"/>
        <c:majorTickMark val="out"/>
        <c:minorTickMark val="none"/>
        <c:tickLblPos val="nextTo"/>
        <c:txPr>
          <a:bodyPr rot="-540000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8060672"/>
        <c:crosses val="autoZero"/>
        <c:auto val="1"/>
        <c:lblAlgn val="ctr"/>
        <c:lblOffset val="100"/>
        <c:noMultiLvlLbl val="0"/>
      </c:catAx>
      <c:valAx>
        <c:axId val="48060672"/>
        <c:scaling>
          <c:orientation val="minMax"/>
          <c:max val="6"/>
        </c:scaling>
        <c:delete val="0"/>
        <c:axPos val="l"/>
        <c:majorGridlines/>
        <c:numFmt formatCode="0" sourceLinked="0"/>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8058752"/>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ptos" panose="020B0004020202020204" pitchFamily="34" charset="0"/>
                <a:ea typeface="Calibri"/>
                <a:cs typeface="Calibri"/>
              </a:defRPr>
            </a:pPr>
            <a:r>
              <a:rPr lang="en-US" sz="1800" b="1" i="0" u="none" strike="noStrike" baseline="0">
                <a:solidFill>
                  <a:srgbClr val="000000"/>
                </a:solidFill>
                <a:latin typeface="Aptos" panose="020B0004020202020204" pitchFamily="34" charset="0"/>
              </a:rPr>
              <a:t>N</a:t>
            </a:r>
            <a:r>
              <a:rPr lang="en-US" sz="1800" b="1" i="0" u="none" strike="noStrike" baseline="-25000">
                <a:solidFill>
                  <a:srgbClr val="000000"/>
                </a:solidFill>
                <a:latin typeface="Aptos" panose="020B0004020202020204" pitchFamily="34" charset="0"/>
              </a:rPr>
              <a:t>2</a:t>
            </a:r>
            <a:r>
              <a:rPr lang="en-US" sz="1800" b="1" i="0" u="none" strike="noStrike" baseline="0">
                <a:solidFill>
                  <a:srgbClr val="000000"/>
                </a:solidFill>
                <a:latin typeface="Aptos" panose="020B0004020202020204" pitchFamily="34" charset="0"/>
              </a:rPr>
              <a:t>O as MMTCO</a:t>
            </a:r>
            <a:r>
              <a:rPr lang="en-US" sz="1800" b="1" i="0" u="none" strike="noStrike" baseline="-25000">
                <a:solidFill>
                  <a:srgbClr val="000000"/>
                </a:solidFill>
                <a:latin typeface="Aptos" panose="020B0004020202020204" pitchFamily="34" charset="0"/>
              </a:rPr>
              <a:t>2</a:t>
            </a:r>
            <a:r>
              <a:rPr lang="en-US" sz="1800" b="1" i="0" u="none" strike="noStrike" baseline="0">
                <a:solidFill>
                  <a:srgbClr val="000000"/>
                </a:solidFill>
                <a:latin typeface="Aptos" panose="020B0004020202020204" pitchFamily="34" charset="0"/>
              </a:rPr>
              <a:t>e</a:t>
            </a:r>
          </a:p>
        </c:rich>
      </c:tx>
      <c:overlay val="0"/>
    </c:title>
    <c:autoTitleDeleted val="0"/>
    <c:plotArea>
      <c:layout/>
      <c:lineChart>
        <c:grouping val="standard"/>
        <c:varyColors val="0"/>
        <c:ser>
          <c:idx val="0"/>
          <c:order val="0"/>
          <c:tx>
            <c:strRef>
              <c:f>'Summary by Gas'!$A$156</c:f>
              <c:strCache>
                <c:ptCount val="1"/>
                <c:pt idx="0">
                  <c:v>N2O Total</c:v>
                </c:pt>
              </c:strCache>
            </c:strRef>
          </c:tx>
          <c:spPr>
            <a:ln>
              <a:solidFill>
                <a:srgbClr val="FF0000"/>
              </a:solidFill>
            </a:ln>
          </c:spPr>
          <c:marker>
            <c:symbol val="triangle"/>
            <c:size val="5"/>
            <c:spPr>
              <a:solidFill>
                <a:srgbClr val="FF0000"/>
              </a:solidFill>
              <a:ln>
                <a:solidFill>
                  <a:srgbClr val="FF0000"/>
                </a:solidFill>
              </a:ln>
            </c:spPr>
          </c:marker>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Gas'!$B$156:$AI$156</c:f>
              <c:numCache>
                <c:formatCode>0.0</c:formatCode>
                <c:ptCount val="34"/>
                <c:pt idx="0">
                  <c:v>1.5657831640407651</c:v>
                </c:pt>
                <c:pt idx="1">
                  <c:v>1.6027346978523331</c:v>
                </c:pt>
                <c:pt idx="2">
                  <c:v>1.640814171994045</c:v>
                </c:pt>
                <c:pt idx="3">
                  <c:v>1.6112568347648981</c:v>
                </c:pt>
                <c:pt idx="4">
                  <c:v>1.6771113741448378</c:v>
                </c:pt>
                <c:pt idx="5">
                  <c:v>1.6924285668205588</c:v>
                </c:pt>
                <c:pt idx="6">
                  <c:v>1.7303933918243477</c:v>
                </c:pt>
                <c:pt idx="7">
                  <c:v>1.738043314551704</c:v>
                </c:pt>
                <c:pt idx="8">
                  <c:v>1.7372543976840522</c:v>
                </c:pt>
                <c:pt idx="9">
                  <c:v>1.6754021128680283</c:v>
                </c:pt>
                <c:pt idx="10">
                  <c:v>1.641234412176215</c:v>
                </c:pt>
                <c:pt idx="11">
                  <c:v>1.5834465866710299</c:v>
                </c:pt>
                <c:pt idx="12">
                  <c:v>1.5274409428169635</c:v>
                </c:pt>
                <c:pt idx="13">
                  <c:v>1.470367504162847</c:v>
                </c:pt>
                <c:pt idx="14">
                  <c:v>1.4094041810437967</c:v>
                </c:pt>
                <c:pt idx="15">
                  <c:v>1.3730452623301383</c:v>
                </c:pt>
                <c:pt idx="16">
                  <c:v>1.333905566142181</c:v>
                </c:pt>
                <c:pt idx="17">
                  <c:v>1.2274202222486517</c:v>
                </c:pt>
                <c:pt idx="18">
                  <c:v>1.1850958851657787</c:v>
                </c:pt>
                <c:pt idx="19">
                  <c:v>1.1079602299520588</c:v>
                </c:pt>
                <c:pt idx="20">
                  <c:v>1.050077327850883</c:v>
                </c:pt>
                <c:pt idx="21">
                  <c:v>1.0323466863830424</c:v>
                </c:pt>
                <c:pt idx="22">
                  <c:v>0.95488989887944598</c:v>
                </c:pt>
                <c:pt idx="23">
                  <c:v>0.94673619165162648</c:v>
                </c:pt>
                <c:pt idx="24">
                  <c:v>0.91081683750913089</c:v>
                </c:pt>
                <c:pt idx="25">
                  <c:v>0.84360663356800303</c:v>
                </c:pt>
                <c:pt idx="26">
                  <c:v>0.80182939100955486</c:v>
                </c:pt>
                <c:pt idx="27">
                  <c:v>0.78435299149927962</c:v>
                </c:pt>
                <c:pt idx="28">
                  <c:v>0.73810720781031058</c:v>
                </c:pt>
                <c:pt idx="29">
                  <c:v>0.76983335180993528</c:v>
                </c:pt>
                <c:pt idx="30">
                  <c:v>0.70633413157157365</c:v>
                </c:pt>
                <c:pt idx="31">
                  <c:v>0.71120841859766937</c:v>
                </c:pt>
                <c:pt idx="32">
                  <c:v>0.72741605679153498</c:v>
                </c:pt>
                <c:pt idx="33">
                  <c:v>0.71391148986715747</c:v>
                </c:pt>
              </c:numCache>
            </c:numRef>
          </c:val>
          <c:smooth val="0"/>
          <c:extLst>
            <c:ext xmlns:c16="http://schemas.microsoft.com/office/drawing/2014/chart" uri="{C3380CC4-5D6E-409C-BE32-E72D297353CC}">
              <c16:uniqueId val="{00000000-DA6B-4DC1-83D5-48A7F9EC5243}"/>
            </c:ext>
          </c:extLst>
        </c:ser>
        <c:dLbls>
          <c:showLegendKey val="0"/>
          <c:showVal val="0"/>
          <c:showCatName val="0"/>
          <c:showSerName val="0"/>
          <c:showPercent val="0"/>
          <c:showBubbleSize val="0"/>
        </c:dLbls>
        <c:marker val="1"/>
        <c:smooth val="0"/>
        <c:axId val="48072576"/>
        <c:axId val="49025024"/>
      </c:lineChart>
      <c:catAx>
        <c:axId val="48072576"/>
        <c:scaling>
          <c:orientation val="minMax"/>
        </c:scaling>
        <c:delete val="0"/>
        <c:axPos val="b"/>
        <c:numFmt formatCode="General" sourceLinked="1"/>
        <c:majorTickMark val="out"/>
        <c:minorTickMark val="none"/>
        <c:tickLblPos val="nextTo"/>
        <c:txPr>
          <a:bodyPr rot="-540000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9025024"/>
        <c:crosses val="autoZero"/>
        <c:auto val="1"/>
        <c:lblAlgn val="ctr"/>
        <c:lblOffset val="100"/>
        <c:noMultiLvlLbl val="0"/>
      </c:catAx>
      <c:valAx>
        <c:axId val="49025024"/>
        <c:scaling>
          <c:orientation val="minMax"/>
        </c:scaling>
        <c:delete val="0"/>
        <c:axPos val="l"/>
        <c:majorGridlines/>
        <c:numFmt formatCode="0.0" sourceLinked="1"/>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80725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ptos" panose="020B0004020202020204" pitchFamily="34" charset="0"/>
                <a:ea typeface="Calibri"/>
                <a:cs typeface="Calibri"/>
              </a:defRPr>
            </a:pPr>
            <a:r>
              <a:rPr lang="en-US" sz="1800" b="1" i="0" u="none" strike="noStrike" baseline="0">
                <a:solidFill>
                  <a:srgbClr val="000000"/>
                </a:solidFill>
                <a:latin typeface="Aptos" panose="020B0004020202020204" pitchFamily="34" charset="0"/>
              </a:rPr>
              <a:t>SF</a:t>
            </a:r>
            <a:r>
              <a:rPr lang="en-US" sz="1800" b="1" i="0" u="none" strike="noStrike" baseline="-25000">
                <a:solidFill>
                  <a:srgbClr val="000000"/>
                </a:solidFill>
                <a:latin typeface="Aptos" panose="020B0004020202020204" pitchFamily="34" charset="0"/>
              </a:rPr>
              <a:t>6</a:t>
            </a:r>
            <a:r>
              <a:rPr lang="en-US" sz="1800" b="1" i="0" u="none" strike="noStrike" baseline="0">
                <a:solidFill>
                  <a:srgbClr val="000000"/>
                </a:solidFill>
                <a:latin typeface="Aptos" panose="020B0004020202020204" pitchFamily="34" charset="0"/>
              </a:rPr>
              <a:t> from Electric Power TD as MMTCO</a:t>
            </a:r>
            <a:r>
              <a:rPr lang="en-US" sz="1800" b="1" i="0" u="none" strike="noStrike" baseline="-25000">
                <a:solidFill>
                  <a:srgbClr val="000000"/>
                </a:solidFill>
                <a:latin typeface="Aptos" panose="020B0004020202020204" pitchFamily="34" charset="0"/>
              </a:rPr>
              <a:t>2</a:t>
            </a:r>
            <a:r>
              <a:rPr lang="en-US" sz="1800" b="1" i="0" u="none" strike="noStrike" baseline="0">
                <a:solidFill>
                  <a:srgbClr val="000000"/>
                </a:solidFill>
                <a:latin typeface="Aptos" panose="020B0004020202020204" pitchFamily="34" charset="0"/>
              </a:rPr>
              <a:t>e</a:t>
            </a:r>
          </a:p>
        </c:rich>
      </c:tx>
      <c:overlay val="0"/>
    </c:title>
    <c:autoTitleDeleted val="0"/>
    <c:plotArea>
      <c:layout/>
      <c:lineChart>
        <c:grouping val="standard"/>
        <c:varyColors val="0"/>
        <c:ser>
          <c:idx val="0"/>
          <c:order val="0"/>
          <c:tx>
            <c:strRef>
              <c:f>'Summary by Gas'!$A$161</c:f>
              <c:strCache>
                <c:ptCount val="1"/>
                <c:pt idx="0">
                  <c:v>Electrical Equipment</c:v>
                </c:pt>
              </c:strCache>
            </c:strRef>
          </c:tx>
          <c:spPr>
            <a:ln>
              <a:solidFill>
                <a:srgbClr val="00B0F0"/>
              </a:solidFill>
            </a:ln>
          </c:spPr>
          <c:marker>
            <c:symbol val="circle"/>
            <c:size val="5"/>
            <c:spPr>
              <a:solidFill>
                <a:schemeClr val="tx2">
                  <a:lumMod val="60000"/>
                  <a:lumOff val="40000"/>
                </a:schemeClr>
              </a:solidFill>
              <a:ln>
                <a:solidFill>
                  <a:schemeClr val="tx2">
                    <a:lumMod val="60000"/>
                    <a:lumOff val="40000"/>
                  </a:schemeClr>
                </a:solidFill>
              </a:ln>
            </c:spPr>
          </c:marker>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Gas'!$B$161:$AI$161</c:f>
              <c:numCache>
                <c:formatCode>0.0</c:formatCode>
                <c:ptCount val="34"/>
                <c:pt idx="0">
                  <c:v>0.38789975619760453</c:v>
                </c:pt>
                <c:pt idx="1">
                  <c:v>0.15040000000000001</c:v>
                </c:pt>
                <c:pt idx="2">
                  <c:v>0.14899000000000001</c:v>
                </c:pt>
                <c:pt idx="3">
                  <c:v>0.14429</c:v>
                </c:pt>
                <c:pt idx="4">
                  <c:v>0.13583000000000001</c:v>
                </c:pt>
                <c:pt idx="5">
                  <c:v>0.12454999999999999</c:v>
                </c:pt>
                <c:pt idx="6">
                  <c:v>0.11421000000000001</c:v>
                </c:pt>
                <c:pt idx="7">
                  <c:v>0.105045</c:v>
                </c:pt>
                <c:pt idx="8">
                  <c:v>8.8830000000000006E-2</c:v>
                </c:pt>
                <c:pt idx="9">
                  <c:v>8.9300000000000004E-2</c:v>
                </c:pt>
                <c:pt idx="10">
                  <c:v>8.5775000000000004E-2</c:v>
                </c:pt>
                <c:pt idx="11">
                  <c:v>8.4599999999999995E-2</c:v>
                </c:pt>
                <c:pt idx="12">
                  <c:v>7.8490000000000004E-2</c:v>
                </c:pt>
                <c:pt idx="13">
                  <c:v>7.6609999999999998E-2</c:v>
                </c:pt>
                <c:pt idx="14">
                  <c:v>7.4730000000000005E-2</c:v>
                </c:pt>
                <c:pt idx="15">
                  <c:v>7.1910000000000002E-2</c:v>
                </c:pt>
                <c:pt idx="16">
                  <c:v>6.6269999999999996E-2</c:v>
                </c:pt>
                <c:pt idx="17">
                  <c:v>6.2509999999999996E-2</c:v>
                </c:pt>
                <c:pt idx="18">
                  <c:v>5.9924999999999999E-2</c:v>
                </c:pt>
                <c:pt idx="19">
                  <c:v>5.5225000000000003E-2</c:v>
                </c:pt>
                <c:pt idx="20">
                  <c:v>4.6530000000000002E-2</c:v>
                </c:pt>
                <c:pt idx="21">
                  <c:v>4.4179999999999997E-2</c:v>
                </c:pt>
                <c:pt idx="22">
                  <c:v>3.8539999999999998E-2</c:v>
                </c:pt>
                <c:pt idx="23">
                  <c:v>3.5720000000000002E-2</c:v>
                </c:pt>
                <c:pt idx="24">
                  <c:v>3.619E-2</c:v>
                </c:pt>
                <c:pt idx="25">
                  <c:v>3.243E-2</c:v>
                </c:pt>
                <c:pt idx="26">
                  <c:v>3.1725000000000003E-2</c:v>
                </c:pt>
                <c:pt idx="27">
                  <c:v>3.1725000000000003E-2</c:v>
                </c:pt>
                <c:pt idx="28">
                  <c:v>3.243E-2</c:v>
                </c:pt>
                <c:pt idx="29">
                  <c:v>3.4544999999999999E-2</c:v>
                </c:pt>
                <c:pt idx="30">
                  <c:v>3.3605000000000003E-2</c:v>
                </c:pt>
                <c:pt idx="31">
                  <c:v>3.5485000000000003E-2</c:v>
                </c:pt>
                <c:pt idx="32">
                  <c:v>3.4075000000000001E-2</c:v>
                </c:pt>
                <c:pt idx="33">
                  <c:v>3.3840000000000002E-2</c:v>
                </c:pt>
              </c:numCache>
            </c:numRef>
          </c:val>
          <c:smooth val="0"/>
          <c:extLst>
            <c:ext xmlns:c16="http://schemas.microsoft.com/office/drawing/2014/chart" uri="{C3380CC4-5D6E-409C-BE32-E72D297353CC}">
              <c16:uniqueId val="{00000000-1AB3-4D8B-9F4D-4806CB81EAD7}"/>
            </c:ext>
          </c:extLst>
        </c:ser>
        <c:dLbls>
          <c:showLegendKey val="0"/>
          <c:showVal val="0"/>
          <c:showCatName val="0"/>
          <c:showSerName val="0"/>
          <c:showPercent val="0"/>
          <c:showBubbleSize val="0"/>
        </c:dLbls>
        <c:marker val="1"/>
        <c:smooth val="0"/>
        <c:axId val="49032576"/>
        <c:axId val="49051136"/>
      </c:lineChart>
      <c:catAx>
        <c:axId val="49032576"/>
        <c:scaling>
          <c:orientation val="minMax"/>
        </c:scaling>
        <c:delete val="0"/>
        <c:axPos val="b"/>
        <c:numFmt formatCode="General" sourceLinked="1"/>
        <c:majorTickMark val="out"/>
        <c:minorTickMark val="none"/>
        <c:tickLblPos val="nextTo"/>
        <c:txPr>
          <a:bodyPr rot="-540000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9051136"/>
        <c:crosses val="autoZero"/>
        <c:auto val="1"/>
        <c:lblAlgn val="ctr"/>
        <c:lblOffset val="100"/>
        <c:noMultiLvlLbl val="0"/>
      </c:catAx>
      <c:valAx>
        <c:axId val="49051136"/>
        <c:scaling>
          <c:orientation val="minMax"/>
        </c:scaling>
        <c:delete val="0"/>
        <c:axPos val="l"/>
        <c:majorGridlines/>
        <c:numFmt formatCode="0.0" sourceLinked="1"/>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90325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ptos" panose="020B0004020202020204" pitchFamily="34" charset="0"/>
                <a:ea typeface="Calibri"/>
                <a:cs typeface="Calibri"/>
              </a:defRPr>
            </a:pPr>
            <a:r>
              <a:rPr lang="en-US" sz="1800" b="1" i="0" u="none" strike="noStrike" baseline="0">
                <a:solidFill>
                  <a:srgbClr val="000000"/>
                </a:solidFill>
                <a:latin typeface="Aptos" panose="020B0004020202020204" pitchFamily="34" charset="0"/>
              </a:rPr>
              <a:t>SF</a:t>
            </a:r>
            <a:r>
              <a:rPr lang="en-US" sz="1800" b="1" i="0" u="none" strike="noStrike" baseline="-25000">
                <a:solidFill>
                  <a:srgbClr val="000000"/>
                </a:solidFill>
                <a:latin typeface="Aptos" panose="020B0004020202020204" pitchFamily="34" charset="0"/>
              </a:rPr>
              <a:t>6</a:t>
            </a:r>
            <a:r>
              <a:rPr lang="en-US" sz="1800" b="1" i="0" u="none" strike="noStrike" baseline="0">
                <a:solidFill>
                  <a:srgbClr val="000000"/>
                </a:solidFill>
                <a:latin typeface="Aptos" panose="020B0004020202020204" pitchFamily="34" charset="0"/>
              </a:rPr>
              <a:t> and Other GHG Gases as MMTCO</a:t>
            </a:r>
            <a:r>
              <a:rPr lang="en-US" sz="1800" b="1" i="0" u="none" strike="noStrike" baseline="-25000">
                <a:solidFill>
                  <a:srgbClr val="000000"/>
                </a:solidFill>
                <a:latin typeface="Aptos" panose="020B0004020202020204" pitchFamily="34" charset="0"/>
              </a:rPr>
              <a:t>2</a:t>
            </a:r>
            <a:r>
              <a:rPr lang="en-US" sz="1800" b="1" i="0" u="none" strike="noStrike" baseline="0">
                <a:solidFill>
                  <a:srgbClr val="000000"/>
                </a:solidFill>
                <a:latin typeface="Aptos" panose="020B0004020202020204" pitchFamily="34" charset="0"/>
              </a:rPr>
              <a:t>e</a:t>
            </a:r>
          </a:p>
        </c:rich>
      </c:tx>
      <c:overlay val="0"/>
    </c:title>
    <c:autoTitleDeleted val="0"/>
    <c:plotArea>
      <c:layout/>
      <c:lineChart>
        <c:grouping val="standard"/>
        <c:varyColors val="0"/>
        <c:ser>
          <c:idx val="0"/>
          <c:order val="0"/>
          <c:tx>
            <c:strRef>
              <c:f>'Summary by Gas'!$A$167</c:f>
              <c:strCache>
                <c:ptCount val="1"/>
                <c:pt idx="0">
                  <c:v>SF6 and Other GHG Gases Total</c:v>
                </c:pt>
              </c:strCache>
            </c:strRef>
          </c:tx>
          <c:spPr>
            <a:ln>
              <a:solidFill>
                <a:schemeClr val="accent4">
                  <a:lumMod val="75000"/>
                </a:schemeClr>
              </a:solidFill>
            </a:ln>
          </c:spPr>
          <c:marker>
            <c:symbol val="circle"/>
            <c:size val="5"/>
            <c:spPr>
              <a:solidFill>
                <a:schemeClr val="accent4">
                  <a:lumMod val="75000"/>
                </a:schemeClr>
              </a:solidFill>
              <a:ln>
                <a:solidFill>
                  <a:schemeClr val="accent4">
                    <a:lumMod val="50000"/>
                  </a:schemeClr>
                </a:solidFill>
              </a:ln>
            </c:spPr>
          </c:marker>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Gas'!$B$167:$AI$167</c:f>
              <c:numCache>
                <c:formatCode>0.0</c:formatCode>
                <c:ptCount val="34"/>
                <c:pt idx="0" formatCode="0.0000000">
                  <c:v>0.48138328615922965</c:v>
                </c:pt>
                <c:pt idx="1">
                  <c:v>0.24081167932090694</c:v>
                </c:pt>
                <c:pt idx="2">
                  <c:v>0.25761854776739168</c:v>
                </c:pt>
                <c:pt idx="3">
                  <c:v>0.33509362899405526</c:v>
                </c:pt>
                <c:pt idx="4">
                  <c:v>0.46867397127764959</c:v>
                </c:pt>
                <c:pt idx="5">
                  <c:v>0.75640210091777871</c:v>
                </c:pt>
                <c:pt idx="6">
                  <c:v>0.96938206474521538</c:v>
                </c:pt>
                <c:pt idx="7">
                  <c:v>1.1643900472507429</c:v>
                </c:pt>
                <c:pt idx="8">
                  <c:v>1.3214584254442836</c:v>
                </c:pt>
                <c:pt idx="9">
                  <c:v>1.4682569336579343</c:v>
                </c:pt>
                <c:pt idx="10">
                  <c:v>1.5572411752264856</c:v>
                </c:pt>
                <c:pt idx="11">
                  <c:v>1.6296344206355287</c:v>
                </c:pt>
                <c:pt idx="12">
                  <c:v>1.7117072892816281</c:v>
                </c:pt>
                <c:pt idx="13">
                  <c:v>1.7819233073035901</c:v>
                </c:pt>
                <c:pt idx="14">
                  <c:v>1.8338913121298344</c:v>
                </c:pt>
                <c:pt idx="15">
                  <c:v>1.9388747149130066</c:v>
                </c:pt>
                <c:pt idx="16">
                  <c:v>2.0497218899822927</c:v>
                </c:pt>
                <c:pt idx="17">
                  <c:v>2.1643771169528527</c:v>
                </c:pt>
                <c:pt idx="18">
                  <c:v>2.3505064150846593</c:v>
                </c:pt>
                <c:pt idx="19">
                  <c:v>2.8498186701855479</c:v>
                </c:pt>
                <c:pt idx="20">
                  <c:v>2.435466765398965</c:v>
                </c:pt>
                <c:pt idx="21">
                  <c:v>2.4614264417496914</c:v>
                </c:pt>
                <c:pt idx="22">
                  <c:v>2.7783244164096677</c:v>
                </c:pt>
                <c:pt idx="23">
                  <c:v>3.4375670597915522</c:v>
                </c:pt>
                <c:pt idx="24">
                  <c:v>3.8533647275333776</c:v>
                </c:pt>
                <c:pt idx="25">
                  <c:v>3.3599607194648078</c:v>
                </c:pt>
                <c:pt idx="26">
                  <c:v>3.4292406932546942</c:v>
                </c:pt>
                <c:pt idx="27">
                  <c:v>2.9226904040272279</c:v>
                </c:pt>
                <c:pt idx="28">
                  <c:v>3.4116359632133091</c:v>
                </c:pt>
                <c:pt idx="29">
                  <c:v>3.2813511702185632</c:v>
                </c:pt>
                <c:pt idx="30">
                  <c:v>3.6593351527694415</c:v>
                </c:pt>
                <c:pt idx="31">
                  <c:v>3.6159355158767887</c:v>
                </c:pt>
                <c:pt idx="32">
                  <c:v>3.0642051009885547</c:v>
                </c:pt>
                <c:pt idx="33">
                  <c:v>3.2664308140058642</c:v>
                </c:pt>
              </c:numCache>
            </c:numRef>
          </c:val>
          <c:smooth val="0"/>
          <c:extLst>
            <c:ext xmlns:c16="http://schemas.microsoft.com/office/drawing/2014/chart" uri="{C3380CC4-5D6E-409C-BE32-E72D297353CC}">
              <c16:uniqueId val="{00000000-2A5F-481A-B2F4-3F579486ED7A}"/>
            </c:ext>
          </c:extLst>
        </c:ser>
        <c:dLbls>
          <c:showLegendKey val="0"/>
          <c:showVal val="0"/>
          <c:showCatName val="0"/>
          <c:showSerName val="0"/>
          <c:showPercent val="0"/>
          <c:showBubbleSize val="0"/>
        </c:dLbls>
        <c:marker val="1"/>
        <c:smooth val="0"/>
        <c:axId val="49075328"/>
        <c:axId val="49077248"/>
      </c:lineChart>
      <c:catAx>
        <c:axId val="49075328"/>
        <c:scaling>
          <c:orientation val="minMax"/>
        </c:scaling>
        <c:delete val="0"/>
        <c:axPos val="b"/>
        <c:numFmt formatCode="General" sourceLinked="1"/>
        <c:majorTickMark val="out"/>
        <c:minorTickMark val="none"/>
        <c:tickLblPos val="nextTo"/>
        <c:txPr>
          <a:bodyPr rot="-540000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9077248"/>
        <c:crosses val="autoZero"/>
        <c:auto val="1"/>
        <c:lblAlgn val="ctr"/>
        <c:lblOffset val="100"/>
        <c:noMultiLvlLbl val="0"/>
      </c:catAx>
      <c:valAx>
        <c:axId val="49077248"/>
        <c:scaling>
          <c:orientation val="minMax"/>
        </c:scaling>
        <c:delete val="0"/>
        <c:axPos val="l"/>
        <c:majorGridlines/>
        <c:numFmt formatCode="0.0000000" sourceLinked="1"/>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9075328"/>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ptos" panose="020B0004020202020204" pitchFamily="34" charset="0"/>
                <a:ea typeface="Calibri"/>
                <a:cs typeface="Calibri"/>
              </a:defRPr>
            </a:pPr>
            <a:r>
              <a:rPr lang="en-US" sz="1800" b="1" i="0" u="none" strike="noStrike" baseline="0">
                <a:solidFill>
                  <a:srgbClr val="000000"/>
                </a:solidFill>
                <a:latin typeface="Aptos" panose="020B0004020202020204" pitchFamily="34" charset="0"/>
              </a:rPr>
              <a:t>Imported Electric Power (CO</a:t>
            </a:r>
            <a:r>
              <a:rPr lang="en-US" sz="1800" b="1" i="0" u="none" strike="noStrike" baseline="-25000">
                <a:solidFill>
                  <a:srgbClr val="000000"/>
                </a:solidFill>
                <a:latin typeface="Aptos" panose="020B0004020202020204" pitchFamily="34" charset="0"/>
              </a:rPr>
              <a:t>2</a:t>
            </a:r>
            <a:r>
              <a:rPr lang="en-US" sz="1800" b="1" i="0" u="none" strike="noStrike" baseline="0">
                <a:solidFill>
                  <a:srgbClr val="000000"/>
                </a:solidFill>
                <a:latin typeface="Aptos" panose="020B0004020202020204" pitchFamily="34" charset="0"/>
              </a:rPr>
              <a:t>, CH</a:t>
            </a:r>
            <a:r>
              <a:rPr lang="en-US" sz="1800" b="1" i="0" u="none" strike="noStrike" baseline="-25000">
                <a:solidFill>
                  <a:srgbClr val="000000"/>
                </a:solidFill>
                <a:latin typeface="Aptos" panose="020B0004020202020204" pitchFamily="34" charset="0"/>
              </a:rPr>
              <a:t>4</a:t>
            </a:r>
            <a:r>
              <a:rPr lang="en-US" sz="1800" b="1" i="0" u="none" strike="noStrike" baseline="0">
                <a:solidFill>
                  <a:srgbClr val="000000"/>
                </a:solidFill>
                <a:latin typeface="Aptos" panose="020B0004020202020204" pitchFamily="34" charset="0"/>
              </a:rPr>
              <a:t> and N</a:t>
            </a:r>
            <a:r>
              <a:rPr lang="en-US" sz="1800" b="1" i="0" u="none" strike="noStrike" baseline="-25000">
                <a:solidFill>
                  <a:srgbClr val="000000"/>
                </a:solidFill>
                <a:latin typeface="Aptos" panose="020B0004020202020204" pitchFamily="34" charset="0"/>
              </a:rPr>
              <a:t>2</a:t>
            </a:r>
            <a:r>
              <a:rPr lang="en-US" sz="1800" b="1" i="0" u="none" strike="noStrike" baseline="0">
                <a:solidFill>
                  <a:srgbClr val="000000"/>
                </a:solidFill>
                <a:latin typeface="Aptos" panose="020B0004020202020204" pitchFamily="34" charset="0"/>
              </a:rPr>
              <a:t>O combined) as MMTCO</a:t>
            </a:r>
            <a:r>
              <a:rPr lang="en-US" sz="1800" b="1" i="0" u="none" strike="noStrike" baseline="-25000">
                <a:solidFill>
                  <a:srgbClr val="000000"/>
                </a:solidFill>
                <a:latin typeface="Aptos" panose="020B0004020202020204" pitchFamily="34" charset="0"/>
              </a:rPr>
              <a:t>2</a:t>
            </a:r>
            <a:r>
              <a:rPr lang="en-US" sz="1800" b="1" i="0" u="none" strike="noStrike" baseline="0">
                <a:solidFill>
                  <a:srgbClr val="000000"/>
                </a:solidFill>
                <a:latin typeface="Aptos" panose="020B0004020202020204" pitchFamily="34" charset="0"/>
              </a:rPr>
              <a:t>e</a:t>
            </a:r>
          </a:p>
        </c:rich>
      </c:tx>
      <c:layout>
        <c:manualLayout>
          <c:xMode val="edge"/>
          <c:yMode val="edge"/>
          <c:x val="0.12786123473696223"/>
          <c:y val="3.2407290552095624E-2"/>
        </c:manualLayout>
      </c:layout>
      <c:overlay val="0"/>
    </c:title>
    <c:autoTitleDeleted val="0"/>
    <c:plotArea>
      <c:layout/>
      <c:lineChart>
        <c:grouping val="standard"/>
        <c:varyColors val="0"/>
        <c:ser>
          <c:idx val="0"/>
          <c:order val="0"/>
          <c:tx>
            <c:strRef>
              <c:f>'Summary by Gas'!$A$176</c:f>
              <c:strCache>
                <c:ptCount val="1"/>
                <c:pt idx="0">
                  <c:v>Imported Electric Power (CO2, CH4 and N2O combined)</c:v>
                </c:pt>
              </c:strCache>
            </c:strRef>
          </c:tx>
          <c:spPr>
            <a:ln>
              <a:solidFill>
                <a:srgbClr val="FF33CC"/>
              </a:solidFill>
            </a:ln>
          </c:spPr>
          <c:marker>
            <c:symbol val="diamond"/>
            <c:size val="7"/>
            <c:spPr>
              <a:solidFill>
                <a:srgbClr val="FF00FF"/>
              </a:solidFill>
              <a:ln>
                <a:solidFill>
                  <a:srgbClr val="FF00FF"/>
                </a:solidFill>
              </a:ln>
            </c:spPr>
          </c:marker>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Gas'!$B$176:$AI$176</c:f>
              <c:numCache>
                <c:formatCode>0.0</c:formatCode>
                <c:ptCount val="34"/>
                <c:pt idx="0">
                  <c:v>1.8858940212182027</c:v>
                </c:pt>
                <c:pt idx="1">
                  <c:v>1.1724041159564047</c:v>
                </c:pt>
                <c:pt idx="2">
                  <c:v>1.4752219821672543</c:v>
                </c:pt>
                <c:pt idx="3">
                  <c:v>2.1606319969895238</c:v>
                </c:pt>
                <c:pt idx="4">
                  <c:v>1.8606896976971012</c:v>
                </c:pt>
                <c:pt idx="5">
                  <c:v>1.9424413128723124</c:v>
                </c:pt>
                <c:pt idx="6">
                  <c:v>2.1100141227923412</c:v>
                </c:pt>
                <c:pt idx="7">
                  <c:v>0.92218599359594056</c:v>
                </c:pt>
                <c:pt idx="8">
                  <c:v>0.9110947061645297</c:v>
                </c:pt>
                <c:pt idx="9">
                  <c:v>2.2206927454267458</c:v>
                </c:pt>
                <c:pt idx="10">
                  <c:v>3.1177751602306079</c:v>
                </c:pt>
                <c:pt idx="11">
                  <c:v>2.7304610756268213</c:v>
                </c:pt>
                <c:pt idx="12">
                  <c:v>3.3680431512014977</c:v>
                </c:pt>
                <c:pt idx="13">
                  <c:v>2.7376472247771821</c:v>
                </c:pt>
                <c:pt idx="14">
                  <c:v>2.8617100488563549</c:v>
                </c:pt>
                <c:pt idx="15">
                  <c:v>3.4144696386176672</c:v>
                </c:pt>
                <c:pt idx="16">
                  <c:v>2.5534994899415717</c:v>
                </c:pt>
                <c:pt idx="17">
                  <c:v>2.2266959156511517</c:v>
                </c:pt>
                <c:pt idx="18">
                  <c:v>2.7135384030986245</c:v>
                </c:pt>
                <c:pt idx="19">
                  <c:v>2.7435998839761511</c:v>
                </c:pt>
                <c:pt idx="20">
                  <c:v>2.4424966762479952</c:v>
                </c:pt>
                <c:pt idx="21">
                  <c:v>2.762607960078582</c:v>
                </c:pt>
                <c:pt idx="22">
                  <c:v>2.5791425425944108</c:v>
                </c:pt>
                <c:pt idx="23">
                  <c:v>2.5775033696333551</c:v>
                </c:pt>
                <c:pt idx="24">
                  <c:v>2.8572204393981666</c:v>
                </c:pt>
                <c:pt idx="25">
                  <c:v>3.1280148954123335</c:v>
                </c:pt>
                <c:pt idx="26">
                  <c:v>2.7685856857608093</c:v>
                </c:pt>
                <c:pt idx="27">
                  <c:v>2.1456933025826213</c:v>
                </c:pt>
                <c:pt idx="28">
                  <c:v>3.3046574846037937</c:v>
                </c:pt>
                <c:pt idx="29">
                  <c:v>3.3996567306085903</c:v>
                </c:pt>
                <c:pt idx="30">
                  <c:v>5.8843166806447158</c:v>
                </c:pt>
                <c:pt idx="31">
                  <c:v>5.111868658436177</c:v>
                </c:pt>
                <c:pt idx="32">
                  <c:v>4.1323357808358683</c:v>
                </c:pt>
                <c:pt idx="33">
                  <c:v>4.0468233593785614</c:v>
                </c:pt>
              </c:numCache>
            </c:numRef>
          </c:val>
          <c:smooth val="0"/>
          <c:extLst>
            <c:ext xmlns:c16="http://schemas.microsoft.com/office/drawing/2014/chart" uri="{C3380CC4-5D6E-409C-BE32-E72D297353CC}">
              <c16:uniqueId val="{00000000-6A3C-4A50-B7F5-77BFAB5C0932}"/>
            </c:ext>
          </c:extLst>
        </c:ser>
        <c:dLbls>
          <c:showLegendKey val="0"/>
          <c:showVal val="0"/>
          <c:showCatName val="0"/>
          <c:showSerName val="0"/>
          <c:showPercent val="0"/>
          <c:showBubbleSize val="0"/>
        </c:dLbls>
        <c:marker val="1"/>
        <c:smooth val="0"/>
        <c:axId val="49154688"/>
        <c:axId val="49185536"/>
      </c:lineChart>
      <c:catAx>
        <c:axId val="49154688"/>
        <c:scaling>
          <c:orientation val="minMax"/>
        </c:scaling>
        <c:delete val="0"/>
        <c:axPos val="b"/>
        <c:numFmt formatCode="General" sourceLinked="1"/>
        <c:majorTickMark val="out"/>
        <c:minorTickMark val="none"/>
        <c:tickLblPos val="nextTo"/>
        <c:txPr>
          <a:bodyPr rot="-540000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9185536"/>
        <c:crosses val="autoZero"/>
        <c:auto val="1"/>
        <c:lblAlgn val="ctr"/>
        <c:lblOffset val="100"/>
        <c:noMultiLvlLbl val="0"/>
      </c:catAx>
      <c:valAx>
        <c:axId val="49185536"/>
        <c:scaling>
          <c:orientation val="minMax"/>
          <c:max val="6"/>
        </c:scaling>
        <c:delete val="0"/>
        <c:axPos val="l"/>
        <c:majorGridlines/>
        <c:numFmt formatCode="0.0" sourceLinked="1"/>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9154688"/>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ptos" panose="020B0004020202020204" pitchFamily="34" charset="0"/>
                <a:ea typeface="Calibri"/>
                <a:cs typeface="Calibri"/>
              </a:defRPr>
            </a:pPr>
            <a:r>
              <a:rPr lang="en-US" sz="1800" b="1" i="0" u="none" strike="noStrike" baseline="0">
                <a:solidFill>
                  <a:srgbClr val="000000"/>
                </a:solidFill>
                <a:latin typeface="Aptos" panose="020B0004020202020204" pitchFamily="34" charset="0"/>
              </a:rPr>
              <a:t>CO</a:t>
            </a:r>
            <a:r>
              <a:rPr lang="en-US" sz="1800" b="1" i="0" u="none" strike="noStrike" baseline="-25000">
                <a:solidFill>
                  <a:srgbClr val="000000"/>
                </a:solidFill>
                <a:latin typeface="Aptos" panose="020B0004020202020204" pitchFamily="34" charset="0"/>
              </a:rPr>
              <a:t>2</a:t>
            </a:r>
            <a:r>
              <a:rPr lang="en-US" sz="1800" b="1" i="0" u="none" strike="noStrike" baseline="0">
                <a:solidFill>
                  <a:srgbClr val="000000"/>
                </a:solidFill>
                <a:latin typeface="Aptos" panose="020B0004020202020204" pitchFamily="34" charset="0"/>
              </a:rPr>
              <a:t> as MMTCO</a:t>
            </a:r>
            <a:r>
              <a:rPr lang="en-US" sz="1800" b="1" i="0" u="none" strike="noStrike" baseline="-25000">
                <a:solidFill>
                  <a:srgbClr val="000000"/>
                </a:solidFill>
                <a:latin typeface="Aptos" panose="020B0004020202020204" pitchFamily="34" charset="0"/>
              </a:rPr>
              <a:t>2</a:t>
            </a:r>
            <a:r>
              <a:rPr lang="en-US" sz="1800" b="1" i="0" u="none" strike="noStrike" baseline="0">
                <a:solidFill>
                  <a:srgbClr val="000000"/>
                </a:solidFill>
                <a:latin typeface="Aptos" panose="020B0004020202020204" pitchFamily="34" charset="0"/>
              </a:rPr>
              <a:t>e </a:t>
            </a:r>
          </a:p>
        </c:rich>
      </c:tx>
      <c:overlay val="0"/>
    </c:title>
    <c:autoTitleDeleted val="0"/>
    <c:plotArea>
      <c:layout/>
      <c:lineChart>
        <c:grouping val="standard"/>
        <c:varyColors val="0"/>
        <c:ser>
          <c:idx val="0"/>
          <c:order val="0"/>
          <c:tx>
            <c:strRef>
              <c:f>'Summary by Gas'!$A$126</c:f>
              <c:strCache>
                <c:ptCount val="1"/>
                <c:pt idx="0">
                  <c:v>CO2 Total</c:v>
                </c:pt>
              </c:strCache>
            </c:strRef>
          </c:tx>
          <c:spPr>
            <a:ln>
              <a:solidFill>
                <a:schemeClr val="tx2">
                  <a:lumMod val="75000"/>
                </a:schemeClr>
              </a:solidFill>
            </a:ln>
          </c:spPr>
          <c:marker>
            <c:symbol val="diamond"/>
            <c:size val="7"/>
            <c:spPr>
              <a:solidFill>
                <a:schemeClr val="tx2">
                  <a:lumMod val="75000"/>
                </a:schemeClr>
              </a:solidFill>
              <a:ln>
                <a:solidFill>
                  <a:schemeClr val="tx2">
                    <a:lumMod val="50000"/>
                  </a:schemeClr>
                </a:solidFill>
              </a:ln>
            </c:spPr>
          </c:marker>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Gas'!$B$126:$AI$126</c:f>
              <c:numCache>
                <c:formatCode>0.0</c:formatCode>
                <c:ptCount val="34"/>
                <c:pt idx="0">
                  <c:v>83.895847239273991</c:v>
                </c:pt>
                <c:pt idx="1">
                  <c:v>82.439280973406937</c:v>
                </c:pt>
                <c:pt idx="2">
                  <c:v>84.075436428388443</c:v>
                </c:pt>
                <c:pt idx="3">
                  <c:v>81.359861789517367</c:v>
                </c:pt>
                <c:pt idx="4">
                  <c:v>81.794739723416455</c:v>
                </c:pt>
                <c:pt idx="5">
                  <c:v>79.382444176503583</c:v>
                </c:pt>
                <c:pt idx="6">
                  <c:v>79.693729182225709</c:v>
                </c:pt>
                <c:pt idx="7">
                  <c:v>85.657983627594589</c:v>
                </c:pt>
                <c:pt idx="8">
                  <c:v>83.89332227117734</c:v>
                </c:pt>
                <c:pt idx="9">
                  <c:v>81.498922285744428</c:v>
                </c:pt>
                <c:pt idx="10">
                  <c:v>83.093517920381245</c:v>
                </c:pt>
                <c:pt idx="11">
                  <c:v>82.968576597891371</c:v>
                </c:pt>
                <c:pt idx="12">
                  <c:v>84.067250909326603</c:v>
                </c:pt>
                <c:pt idx="13">
                  <c:v>86.309559866608794</c:v>
                </c:pt>
                <c:pt idx="14">
                  <c:v>84.181657050058135</c:v>
                </c:pt>
                <c:pt idx="15">
                  <c:v>85.37767760850889</c:v>
                </c:pt>
                <c:pt idx="16">
                  <c:v>77.733614529752913</c:v>
                </c:pt>
                <c:pt idx="17">
                  <c:v>81.006231359953773</c:v>
                </c:pt>
                <c:pt idx="18">
                  <c:v>77.616496449332303</c:v>
                </c:pt>
                <c:pt idx="19">
                  <c:v>71.984982000487221</c:v>
                </c:pt>
                <c:pt idx="20">
                  <c:v>74.257060192012901</c:v>
                </c:pt>
                <c:pt idx="21">
                  <c:v>68.650278988048655</c:v>
                </c:pt>
                <c:pt idx="22">
                  <c:v>62.39311414856013</c:v>
                </c:pt>
                <c:pt idx="23">
                  <c:v>66.483443440875277</c:v>
                </c:pt>
                <c:pt idx="24">
                  <c:v>64.458438184126649</c:v>
                </c:pt>
                <c:pt idx="25">
                  <c:v>65.887932043358646</c:v>
                </c:pt>
                <c:pt idx="26">
                  <c:v>62.627936745975894</c:v>
                </c:pt>
                <c:pt idx="27">
                  <c:v>62.977863680660462</c:v>
                </c:pt>
                <c:pt idx="28">
                  <c:v>62.549790172242673</c:v>
                </c:pt>
                <c:pt idx="29">
                  <c:v>61.303518117806661</c:v>
                </c:pt>
                <c:pt idx="30">
                  <c:v>52.285677543838929</c:v>
                </c:pt>
                <c:pt idx="31">
                  <c:v>56.154485899439308</c:v>
                </c:pt>
                <c:pt idx="32">
                  <c:v>58.562695664346876</c:v>
                </c:pt>
                <c:pt idx="33">
                  <c:v>55.643864378345249</c:v>
                </c:pt>
              </c:numCache>
            </c:numRef>
          </c:val>
          <c:smooth val="0"/>
          <c:extLst>
            <c:ext xmlns:c16="http://schemas.microsoft.com/office/drawing/2014/chart" uri="{C3380CC4-5D6E-409C-BE32-E72D297353CC}">
              <c16:uniqueId val="{00000000-DDCB-43B3-AC72-8EA23494A2E8}"/>
            </c:ext>
          </c:extLst>
        </c:ser>
        <c:dLbls>
          <c:showLegendKey val="0"/>
          <c:showVal val="0"/>
          <c:showCatName val="0"/>
          <c:showSerName val="0"/>
          <c:showPercent val="0"/>
          <c:showBubbleSize val="0"/>
        </c:dLbls>
        <c:marker val="1"/>
        <c:smooth val="0"/>
        <c:axId val="49213824"/>
        <c:axId val="49215744"/>
      </c:lineChart>
      <c:catAx>
        <c:axId val="49213824"/>
        <c:scaling>
          <c:orientation val="minMax"/>
        </c:scaling>
        <c:delete val="0"/>
        <c:axPos val="b"/>
        <c:numFmt formatCode="General" sourceLinked="1"/>
        <c:majorTickMark val="out"/>
        <c:minorTickMark val="none"/>
        <c:tickLblPos val="nextTo"/>
        <c:txPr>
          <a:bodyPr rot="-540000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9215744"/>
        <c:crosses val="autoZero"/>
        <c:auto val="1"/>
        <c:lblAlgn val="ctr"/>
        <c:lblOffset val="100"/>
        <c:noMultiLvlLbl val="0"/>
      </c:catAx>
      <c:valAx>
        <c:axId val="49215744"/>
        <c:scaling>
          <c:orientation val="minMax"/>
          <c:max val="90"/>
        </c:scaling>
        <c:delete val="0"/>
        <c:axPos val="l"/>
        <c:majorGridlines/>
        <c:numFmt formatCode="0" sourceLinked="0"/>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9213824"/>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Aptos" panose="020B0004020202020204" pitchFamily="34" charset="0"/>
              </a:rPr>
              <a:t>CO</a:t>
            </a:r>
            <a:r>
              <a:rPr lang="en-US" sz="1800" b="1" i="0" u="none" strike="noStrike" baseline="-25000">
                <a:solidFill>
                  <a:srgbClr val="000000"/>
                </a:solidFill>
                <a:latin typeface="Aptos" panose="020B0004020202020204" pitchFamily="34" charset="0"/>
              </a:rPr>
              <a:t>2</a:t>
            </a:r>
            <a:r>
              <a:rPr lang="en-US" sz="1800" b="1" i="0" u="none" strike="noStrike" baseline="0">
                <a:solidFill>
                  <a:srgbClr val="000000"/>
                </a:solidFill>
                <a:latin typeface="Aptos" panose="020B0004020202020204" pitchFamily="34" charset="0"/>
              </a:rPr>
              <a:t> (MMTCO</a:t>
            </a:r>
            <a:r>
              <a:rPr lang="en-US" sz="1800" b="1" i="0" u="none" strike="noStrike" baseline="-25000">
                <a:solidFill>
                  <a:srgbClr val="000000"/>
                </a:solidFill>
                <a:latin typeface="Aptos" panose="020B0004020202020204" pitchFamily="34" charset="0"/>
              </a:rPr>
              <a:t>2</a:t>
            </a:r>
            <a:r>
              <a:rPr lang="en-US" sz="1800" b="1" i="0" u="none" strike="noStrike" baseline="0">
                <a:solidFill>
                  <a:srgbClr val="000000"/>
                </a:solidFill>
                <a:latin typeface="Aptos" panose="020B0004020202020204" pitchFamily="34" charset="0"/>
              </a:rPr>
              <a:t>e)</a:t>
            </a:r>
          </a:p>
        </c:rich>
      </c:tx>
      <c:layout>
        <c:manualLayout>
          <c:xMode val="edge"/>
          <c:yMode val="edge"/>
          <c:x val="0.64749738603380702"/>
          <c:y val="2.4399856812344255E-2"/>
        </c:manualLayout>
      </c:layout>
      <c:overlay val="0"/>
    </c:title>
    <c:autoTitleDeleted val="0"/>
    <c:plotArea>
      <c:layout>
        <c:manualLayout>
          <c:layoutTarget val="inner"/>
          <c:xMode val="edge"/>
          <c:yMode val="edge"/>
          <c:x val="0.10161329833770778"/>
          <c:y val="4.8005316470990989E-2"/>
          <c:w val="0.53727559055118113"/>
          <c:h val="0.8390309523330044"/>
        </c:manualLayout>
      </c:layout>
      <c:barChart>
        <c:barDir val="col"/>
        <c:grouping val="stacked"/>
        <c:varyColors val="0"/>
        <c:ser>
          <c:idx val="1"/>
          <c:order val="0"/>
          <c:tx>
            <c:strRef>
              <c:f>'Summary by Gas'!$A$117</c:f>
              <c:strCache>
                <c:ptCount val="1"/>
                <c:pt idx="0">
                  <c:v>Residential</c:v>
                </c:pt>
              </c:strCache>
            </c:strRef>
          </c:tx>
          <c:spPr>
            <a:solidFill>
              <a:schemeClr val="accent2">
                <a:lumMod val="50000"/>
              </a:schemeClr>
            </a:solidFill>
          </c:spPr>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Gas'!$B$117:$AI$117</c:f>
              <c:numCache>
                <c:formatCode>#,##0.0</c:formatCode>
                <c:ptCount val="34"/>
                <c:pt idx="0" formatCode="0.0">
                  <c:v>15.09218729035536</c:v>
                </c:pt>
                <c:pt idx="1">
                  <c:v>14.295364882071031</c:v>
                </c:pt>
                <c:pt idx="2">
                  <c:v>16.396053585147097</c:v>
                </c:pt>
                <c:pt idx="3">
                  <c:v>16.518072434056428</c:v>
                </c:pt>
                <c:pt idx="4">
                  <c:v>16.3428113958593</c:v>
                </c:pt>
                <c:pt idx="5">
                  <c:v>14.751248409471906</c:v>
                </c:pt>
                <c:pt idx="6">
                  <c:v>14.548991126703283</c:v>
                </c:pt>
                <c:pt idx="7">
                  <c:v>14.378872297176235</c:v>
                </c:pt>
                <c:pt idx="8">
                  <c:v>13.187544748996455</c:v>
                </c:pt>
                <c:pt idx="9">
                  <c:v>14.010791823643141</c:v>
                </c:pt>
                <c:pt idx="10">
                  <c:v>15.683527402244092</c:v>
                </c:pt>
                <c:pt idx="11">
                  <c:v>16.028702298201726</c:v>
                </c:pt>
                <c:pt idx="12">
                  <c:v>15.947149742292989</c:v>
                </c:pt>
                <c:pt idx="13">
                  <c:v>16.423981121913869</c:v>
                </c:pt>
                <c:pt idx="14">
                  <c:v>15.023642667589685</c:v>
                </c:pt>
                <c:pt idx="15">
                  <c:v>14.927432156389226</c:v>
                </c:pt>
                <c:pt idx="16">
                  <c:v>12.839080399416044</c:v>
                </c:pt>
                <c:pt idx="17">
                  <c:v>13.515090275824232</c:v>
                </c:pt>
                <c:pt idx="18">
                  <c:v>14.388754011560863</c:v>
                </c:pt>
                <c:pt idx="19">
                  <c:v>13.844098792417579</c:v>
                </c:pt>
                <c:pt idx="20">
                  <c:v>13.58211312760811</c:v>
                </c:pt>
                <c:pt idx="21">
                  <c:v>13.600460828624321</c:v>
                </c:pt>
                <c:pt idx="22">
                  <c:v>11.771252865487984</c:v>
                </c:pt>
                <c:pt idx="23">
                  <c:v>12.275948634716979</c:v>
                </c:pt>
                <c:pt idx="24">
                  <c:v>13.597318047079337</c:v>
                </c:pt>
                <c:pt idx="25">
                  <c:v>13.519448387674942</c:v>
                </c:pt>
                <c:pt idx="26">
                  <c:v>11.310053467582465</c:v>
                </c:pt>
                <c:pt idx="27">
                  <c:v>12.297294972031565</c:v>
                </c:pt>
                <c:pt idx="28">
                  <c:v>13.287752133780446</c:v>
                </c:pt>
                <c:pt idx="29">
                  <c:v>13.607792464408146</c:v>
                </c:pt>
                <c:pt idx="30">
                  <c:v>12.105531353840195</c:v>
                </c:pt>
                <c:pt idx="31">
                  <c:v>12.481778897291683</c:v>
                </c:pt>
                <c:pt idx="32">
                  <c:v>12.880271418154676</c:v>
                </c:pt>
                <c:pt idx="33">
                  <c:v>11.712554814178027</c:v>
                </c:pt>
              </c:numCache>
            </c:numRef>
          </c:val>
          <c:extLst>
            <c:ext xmlns:c16="http://schemas.microsoft.com/office/drawing/2014/chart" uri="{C3380CC4-5D6E-409C-BE32-E72D297353CC}">
              <c16:uniqueId val="{00000000-1C79-4FAF-9F13-FE986C7D490B}"/>
            </c:ext>
          </c:extLst>
        </c:ser>
        <c:ser>
          <c:idx val="2"/>
          <c:order val="1"/>
          <c:tx>
            <c:strRef>
              <c:f>'Summary by Gas'!$A$118</c:f>
              <c:strCache>
                <c:ptCount val="1"/>
                <c:pt idx="0">
                  <c:v>Commercial**</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Gas'!$B$118:$AI$118</c:f>
              <c:numCache>
                <c:formatCode>0.0</c:formatCode>
                <c:ptCount val="34"/>
                <c:pt idx="0">
                  <c:v>8.393199905810599</c:v>
                </c:pt>
                <c:pt idx="1">
                  <c:v>9.1714074410264743</c:v>
                </c:pt>
                <c:pt idx="2">
                  <c:v>8.9309955359805997</c:v>
                </c:pt>
                <c:pt idx="3">
                  <c:v>7.9899165283760158</c:v>
                </c:pt>
                <c:pt idx="4">
                  <c:v>8.8622762327746258</c:v>
                </c:pt>
                <c:pt idx="5">
                  <c:v>8.9583234115736374</c:v>
                </c:pt>
                <c:pt idx="6">
                  <c:v>9.0613426494264466</c:v>
                </c:pt>
                <c:pt idx="7">
                  <c:v>9.4523565880490032</c:v>
                </c:pt>
                <c:pt idx="8">
                  <c:v>8.0754548915353492</c:v>
                </c:pt>
                <c:pt idx="9">
                  <c:v>6.1959925594355161</c:v>
                </c:pt>
                <c:pt idx="10">
                  <c:v>6.7932535616058303</c:v>
                </c:pt>
                <c:pt idx="11">
                  <c:v>5.7670060508675816</c:v>
                </c:pt>
                <c:pt idx="12">
                  <c:v>5.8880337932122524</c:v>
                </c:pt>
                <c:pt idx="13">
                  <c:v>7.1132084080597142</c:v>
                </c:pt>
                <c:pt idx="14">
                  <c:v>6.5373600288097862</c:v>
                </c:pt>
                <c:pt idx="15">
                  <c:v>6.6865712143985894</c:v>
                </c:pt>
                <c:pt idx="16">
                  <c:v>5.0160944446169093</c:v>
                </c:pt>
                <c:pt idx="17">
                  <c:v>5.3484329327599998</c:v>
                </c:pt>
                <c:pt idx="18">
                  <c:v>5.5954704389832886</c:v>
                </c:pt>
                <c:pt idx="19">
                  <c:v>5.7930992378099821</c:v>
                </c:pt>
                <c:pt idx="20">
                  <c:v>6.7205520029870893</c:v>
                </c:pt>
                <c:pt idx="21">
                  <c:v>6.3331977627934162</c:v>
                </c:pt>
                <c:pt idx="22">
                  <c:v>5.2380301223549299</c:v>
                </c:pt>
                <c:pt idx="23">
                  <c:v>6.7631182630681863</c:v>
                </c:pt>
                <c:pt idx="24">
                  <c:v>7.1468891863233202</c:v>
                </c:pt>
                <c:pt idx="25">
                  <c:v>7.5477779593100482</c:v>
                </c:pt>
                <c:pt idx="26">
                  <c:v>6.9658066582217053</c:v>
                </c:pt>
                <c:pt idx="27">
                  <c:v>7.3094808835971969</c:v>
                </c:pt>
                <c:pt idx="28">
                  <c:v>7.8542072416720847</c:v>
                </c:pt>
                <c:pt idx="29">
                  <c:v>8.0358034163023948</c:v>
                </c:pt>
                <c:pt idx="30">
                  <c:v>7.2371344930100721</c:v>
                </c:pt>
                <c:pt idx="31">
                  <c:v>7.377238451636722</c:v>
                </c:pt>
                <c:pt idx="32">
                  <c:v>8.1145805911266748</c:v>
                </c:pt>
                <c:pt idx="33">
                  <c:v>7.5276362538070991</c:v>
                </c:pt>
              </c:numCache>
            </c:numRef>
          </c:val>
          <c:extLst>
            <c:ext xmlns:c16="http://schemas.microsoft.com/office/drawing/2014/chart" uri="{C3380CC4-5D6E-409C-BE32-E72D297353CC}">
              <c16:uniqueId val="{00000001-1C79-4FAF-9F13-FE986C7D490B}"/>
            </c:ext>
          </c:extLst>
        </c:ser>
        <c:ser>
          <c:idx val="3"/>
          <c:order val="2"/>
          <c:tx>
            <c:strRef>
              <c:f>'Summary by Gas'!$A$119</c:f>
              <c:strCache>
                <c:ptCount val="1"/>
                <c:pt idx="0">
                  <c:v>Industrial*</c:v>
                </c:pt>
              </c:strCache>
            </c:strRef>
          </c:tx>
          <c:spPr>
            <a:solidFill>
              <a:schemeClr val="accent5">
                <a:lumMod val="75000"/>
              </a:schemeClr>
            </a:solidFill>
          </c:spPr>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Gas'!$B$119:$AI$119</c:f>
              <c:numCache>
                <c:formatCode>0.0</c:formatCode>
                <c:ptCount val="34"/>
                <c:pt idx="0">
                  <c:v>5.470849078973556</c:v>
                </c:pt>
                <c:pt idx="1">
                  <c:v>4.6075456433364677</c:v>
                </c:pt>
                <c:pt idx="2">
                  <c:v>6.2933169353978329</c:v>
                </c:pt>
                <c:pt idx="3">
                  <c:v>6.4758006669854291</c:v>
                </c:pt>
                <c:pt idx="4">
                  <c:v>5.5806557095435068</c:v>
                </c:pt>
                <c:pt idx="5">
                  <c:v>4.900990051907149</c:v>
                </c:pt>
                <c:pt idx="6">
                  <c:v>4.8710229654888062</c:v>
                </c:pt>
                <c:pt idx="7">
                  <c:v>4.9687117771719533</c:v>
                </c:pt>
                <c:pt idx="8">
                  <c:v>4.747317692389375</c:v>
                </c:pt>
                <c:pt idx="9">
                  <c:v>5.470635156727945</c:v>
                </c:pt>
                <c:pt idx="10">
                  <c:v>5.345201680006137</c:v>
                </c:pt>
                <c:pt idx="11">
                  <c:v>6.4867292884109613</c:v>
                </c:pt>
                <c:pt idx="12">
                  <c:v>6.4021017197950707</c:v>
                </c:pt>
                <c:pt idx="13">
                  <c:v>4.3484873641785056</c:v>
                </c:pt>
                <c:pt idx="14">
                  <c:v>4.2405221074642361</c:v>
                </c:pt>
                <c:pt idx="15">
                  <c:v>4.4967301601977576</c:v>
                </c:pt>
                <c:pt idx="16">
                  <c:v>4.3315635699797026</c:v>
                </c:pt>
                <c:pt idx="17">
                  <c:v>4.2366993420870056</c:v>
                </c:pt>
                <c:pt idx="18">
                  <c:v>3.9068695734864174</c:v>
                </c:pt>
                <c:pt idx="19">
                  <c:v>3.1967469085787621</c:v>
                </c:pt>
                <c:pt idx="20">
                  <c:v>3.7023861550288277</c:v>
                </c:pt>
                <c:pt idx="21">
                  <c:v>3.8543201024630935</c:v>
                </c:pt>
                <c:pt idx="22">
                  <c:v>3.3050932512316105</c:v>
                </c:pt>
                <c:pt idx="23">
                  <c:v>3.4913773262776084</c:v>
                </c:pt>
                <c:pt idx="24">
                  <c:v>3.4147878915598562</c:v>
                </c:pt>
                <c:pt idx="25">
                  <c:v>3.4417695874981922</c:v>
                </c:pt>
                <c:pt idx="26">
                  <c:v>3.2259934858404158</c:v>
                </c:pt>
                <c:pt idx="27">
                  <c:v>3.2699020220696409</c:v>
                </c:pt>
                <c:pt idx="28">
                  <c:v>3.2862407486145093</c:v>
                </c:pt>
                <c:pt idx="29">
                  <c:v>3.385759648503428</c:v>
                </c:pt>
                <c:pt idx="30">
                  <c:v>3.1382884272944089</c:v>
                </c:pt>
                <c:pt idx="31">
                  <c:v>3.2822277626082785</c:v>
                </c:pt>
                <c:pt idx="32">
                  <c:v>3.3213102556327212</c:v>
                </c:pt>
                <c:pt idx="33">
                  <c:v>3.0424998719196679</c:v>
                </c:pt>
              </c:numCache>
            </c:numRef>
          </c:val>
          <c:extLst>
            <c:ext xmlns:c16="http://schemas.microsoft.com/office/drawing/2014/chart" uri="{C3380CC4-5D6E-409C-BE32-E72D297353CC}">
              <c16:uniqueId val="{00000002-1C79-4FAF-9F13-FE986C7D490B}"/>
            </c:ext>
          </c:extLst>
        </c:ser>
        <c:ser>
          <c:idx val="4"/>
          <c:order val="3"/>
          <c:tx>
            <c:strRef>
              <c:f>'Summary by Gas'!$A$120</c:f>
              <c:strCache>
                <c:ptCount val="1"/>
                <c:pt idx="0">
                  <c:v>Transportation</c:v>
                </c:pt>
              </c:strCache>
            </c:strRef>
          </c:tx>
          <c:spPr>
            <a:solidFill>
              <a:schemeClr val="accent1">
                <a:lumMod val="40000"/>
                <a:lumOff val="60000"/>
              </a:schemeClr>
            </a:solidFill>
          </c:spPr>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Gas'!$B$120:$AI$120</c:f>
              <c:numCache>
                <c:formatCode>#,##0.0</c:formatCode>
                <c:ptCount val="34"/>
                <c:pt idx="0" formatCode="0.0">
                  <c:v>28.506437825265561</c:v>
                </c:pt>
                <c:pt idx="1">
                  <c:v>26.924606252648257</c:v>
                </c:pt>
                <c:pt idx="2">
                  <c:v>26.448466366325668</c:v>
                </c:pt>
                <c:pt idx="3">
                  <c:v>26.684940195948617</c:v>
                </c:pt>
                <c:pt idx="4">
                  <c:v>26.904845065360281</c:v>
                </c:pt>
                <c:pt idx="5">
                  <c:v>27.543957964998537</c:v>
                </c:pt>
                <c:pt idx="6">
                  <c:v>28.348712325078182</c:v>
                </c:pt>
                <c:pt idx="7">
                  <c:v>28.69167682250546</c:v>
                </c:pt>
                <c:pt idx="8">
                  <c:v>28.981165134559838</c:v>
                </c:pt>
                <c:pt idx="9">
                  <c:v>29.667708078894687</c:v>
                </c:pt>
                <c:pt idx="10">
                  <c:v>30.840346353806446</c:v>
                </c:pt>
                <c:pt idx="11">
                  <c:v>30.390777107441533</c:v>
                </c:pt>
                <c:pt idx="12">
                  <c:v>30.598758285542431</c:v>
                </c:pt>
                <c:pt idx="13">
                  <c:v>31.043963055913089</c:v>
                </c:pt>
                <c:pt idx="14">
                  <c:v>32.340396822593107</c:v>
                </c:pt>
                <c:pt idx="15">
                  <c:v>32.345380523700079</c:v>
                </c:pt>
                <c:pt idx="16">
                  <c:v>31.466623128123757</c:v>
                </c:pt>
                <c:pt idx="17">
                  <c:v>31.819150693171292</c:v>
                </c:pt>
                <c:pt idx="18">
                  <c:v>30.86282488303754</c:v>
                </c:pt>
                <c:pt idx="19">
                  <c:v>28.977785301980987</c:v>
                </c:pt>
                <c:pt idx="20">
                  <c:v>29.194406294139284</c:v>
                </c:pt>
                <c:pt idx="21">
                  <c:v>29.122866885250296</c:v>
                </c:pt>
                <c:pt idx="22">
                  <c:v>28.589464823242722</c:v>
                </c:pt>
                <c:pt idx="23">
                  <c:v>29.863734621973759</c:v>
                </c:pt>
                <c:pt idx="24">
                  <c:v>28.070166775754295</c:v>
                </c:pt>
                <c:pt idx="25">
                  <c:v>28.563982489108188</c:v>
                </c:pt>
                <c:pt idx="26">
                  <c:v>28.915475634666461</c:v>
                </c:pt>
                <c:pt idx="27">
                  <c:v>28.383866566732596</c:v>
                </c:pt>
                <c:pt idx="28">
                  <c:v>29.007851076241238</c:v>
                </c:pt>
                <c:pt idx="29">
                  <c:v>28.718290747720118</c:v>
                </c:pt>
                <c:pt idx="30">
                  <c:v>22.643265319497907</c:v>
                </c:pt>
                <c:pt idx="31">
                  <c:v>25.369592412136143</c:v>
                </c:pt>
                <c:pt idx="32">
                  <c:v>25.922326415031002</c:v>
                </c:pt>
                <c:pt idx="33">
                  <c:v>25.981513834476111</c:v>
                </c:pt>
              </c:numCache>
            </c:numRef>
          </c:val>
          <c:extLst>
            <c:ext xmlns:c16="http://schemas.microsoft.com/office/drawing/2014/chart" uri="{C3380CC4-5D6E-409C-BE32-E72D297353CC}">
              <c16:uniqueId val="{00000003-1C79-4FAF-9F13-FE986C7D490B}"/>
            </c:ext>
          </c:extLst>
        </c:ser>
        <c:ser>
          <c:idx val="5"/>
          <c:order val="4"/>
          <c:tx>
            <c:strRef>
              <c:f>'Summary by Gas'!$A$121</c:f>
              <c:strCache>
                <c:ptCount val="1"/>
                <c:pt idx="0">
                  <c:v>Electric Power</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Gas'!$B$121:$AI$121</c:f>
              <c:numCache>
                <c:formatCode>#,##0.0</c:formatCode>
                <c:ptCount val="34"/>
                <c:pt idx="0" formatCode="0.0">
                  <c:v>25.256636732676711</c:v>
                </c:pt>
                <c:pt idx="1">
                  <c:v>25.914728879913365</c:v>
                </c:pt>
                <c:pt idx="2">
                  <c:v>24.426681636914616</c:v>
                </c:pt>
                <c:pt idx="3">
                  <c:v>21.967535985573292</c:v>
                </c:pt>
                <c:pt idx="4">
                  <c:v>22.308384804598031</c:v>
                </c:pt>
                <c:pt idx="5">
                  <c:v>21.438788153844321</c:v>
                </c:pt>
                <c:pt idx="6">
                  <c:v>20.883901096087193</c:v>
                </c:pt>
                <c:pt idx="7">
                  <c:v>26.163942634042538</c:v>
                </c:pt>
                <c:pt idx="8">
                  <c:v>26.747611926121515</c:v>
                </c:pt>
                <c:pt idx="9">
                  <c:v>24.004093488628136</c:v>
                </c:pt>
                <c:pt idx="10">
                  <c:v>22.176187156381239</c:v>
                </c:pt>
                <c:pt idx="11">
                  <c:v>21.9644181064916</c:v>
                </c:pt>
                <c:pt idx="12">
                  <c:v>22.920165736663847</c:v>
                </c:pt>
                <c:pt idx="13">
                  <c:v>25.00860220508946</c:v>
                </c:pt>
                <c:pt idx="14">
                  <c:v>23.742061768767062</c:v>
                </c:pt>
                <c:pt idx="15">
                  <c:v>24.508508839562417</c:v>
                </c:pt>
                <c:pt idx="16">
                  <c:v>21.605252315219431</c:v>
                </c:pt>
                <c:pt idx="17">
                  <c:v>23.666295740032623</c:v>
                </c:pt>
                <c:pt idx="18">
                  <c:v>20.168912335399149</c:v>
                </c:pt>
                <c:pt idx="19">
                  <c:v>17.585116309401926</c:v>
                </c:pt>
                <c:pt idx="20">
                  <c:v>18.286569094037727</c:v>
                </c:pt>
                <c:pt idx="21">
                  <c:v>14.354837458195698</c:v>
                </c:pt>
                <c:pt idx="22">
                  <c:v>12.131402331331717</c:v>
                </c:pt>
                <c:pt idx="23">
                  <c:v>12.659822445437143</c:v>
                </c:pt>
                <c:pt idx="24">
                  <c:v>10.782306921880684</c:v>
                </c:pt>
                <c:pt idx="25">
                  <c:v>11.311329440348851</c:v>
                </c:pt>
                <c:pt idx="26">
                  <c:v>10.704619766914323</c:v>
                </c:pt>
                <c:pt idx="27">
                  <c:v>10.277411017637217</c:v>
                </c:pt>
                <c:pt idx="28">
                  <c:v>7.6499388544811335</c:v>
                </c:pt>
                <c:pt idx="29">
                  <c:v>6.2240808974230486</c:v>
                </c:pt>
                <c:pt idx="30">
                  <c:v>5.7447834902179773</c:v>
                </c:pt>
                <c:pt idx="31">
                  <c:v>6.1409138216974188</c:v>
                </c:pt>
                <c:pt idx="32">
                  <c:v>6.805501872639649</c:v>
                </c:pt>
                <c:pt idx="33">
                  <c:v>5.9727830458898277</c:v>
                </c:pt>
              </c:numCache>
            </c:numRef>
          </c:val>
          <c:extLst>
            <c:ext xmlns:c16="http://schemas.microsoft.com/office/drawing/2014/chart" uri="{C3380CC4-5D6E-409C-BE32-E72D297353CC}">
              <c16:uniqueId val="{00000004-1C79-4FAF-9F13-FE986C7D490B}"/>
            </c:ext>
          </c:extLst>
        </c:ser>
        <c:ser>
          <c:idx val="7"/>
          <c:order val="5"/>
          <c:tx>
            <c:strRef>
              <c:f>'Summary by Gas'!$A$123</c:f>
              <c:strCache>
                <c:ptCount val="1"/>
                <c:pt idx="0">
                  <c:v>Industrial Processes</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Gas'!$B$123:$AI$123</c:f>
              <c:numCache>
                <c:formatCode>0.0</c:formatCode>
                <c:ptCount val="34"/>
                <c:pt idx="0">
                  <c:v>0.17486870435586824</c:v>
                </c:pt>
                <c:pt idx="1">
                  <c:v>0.3878304234603735</c:v>
                </c:pt>
                <c:pt idx="2">
                  <c:v>0.40023247605520762</c:v>
                </c:pt>
                <c:pt idx="3">
                  <c:v>0.42023687605212945</c:v>
                </c:pt>
                <c:pt idx="4">
                  <c:v>0.4334889497962397</c:v>
                </c:pt>
                <c:pt idx="5">
                  <c:v>0.44746344781835184</c:v>
                </c:pt>
                <c:pt idx="6">
                  <c:v>0.45802929926775171</c:v>
                </c:pt>
                <c:pt idx="7">
                  <c:v>0.46976739201575396</c:v>
                </c:pt>
                <c:pt idx="8">
                  <c:v>0.63538096874096284</c:v>
                </c:pt>
                <c:pt idx="9">
                  <c:v>0.6092394751695932</c:v>
                </c:pt>
                <c:pt idx="10">
                  <c:v>0.58249075085347612</c:v>
                </c:pt>
                <c:pt idx="11">
                  <c:v>0.56396567361901784</c:v>
                </c:pt>
                <c:pt idx="12">
                  <c:v>0.55865880789417932</c:v>
                </c:pt>
                <c:pt idx="13">
                  <c:v>0.58970609253057016</c:v>
                </c:pt>
                <c:pt idx="14">
                  <c:v>0.47735351808103949</c:v>
                </c:pt>
                <c:pt idx="15">
                  <c:v>0.46962030387739312</c:v>
                </c:pt>
                <c:pt idx="16">
                  <c:v>0.50740598296630346</c:v>
                </c:pt>
                <c:pt idx="17">
                  <c:v>0.53083734118677972</c:v>
                </c:pt>
                <c:pt idx="18">
                  <c:v>0.49442586019728985</c:v>
                </c:pt>
                <c:pt idx="19">
                  <c:v>0.44421175763995507</c:v>
                </c:pt>
                <c:pt idx="20">
                  <c:v>0.33821302954767513</c:v>
                </c:pt>
                <c:pt idx="21">
                  <c:v>0.29017066105155959</c:v>
                </c:pt>
                <c:pt idx="22">
                  <c:v>0.26524846563584481</c:v>
                </c:pt>
                <c:pt idx="23">
                  <c:v>0.28619765710258016</c:v>
                </c:pt>
                <c:pt idx="24">
                  <c:v>0.26883302058368164</c:v>
                </c:pt>
                <c:pt idx="25">
                  <c:v>0.31256086558279017</c:v>
                </c:pt>
                <c:pt idx="26">
                  <c:v>0.29477802562555011</c:v>
                </c:pt>
                <c:pt idx="27">
                  <c:v>0.30546786913245677</c:v>
                </c:pt>
                <c:pt idx="28">
                  <c:v>0.32145180707168591</c:v>
                </c:pt>
                <c:pt idx="29">
                  <c:v>0.28466873577995927</c:v>
                </c:pt>
                <c:pt idx="30">
                  <c:v>0.29307563163437833</c:v>
                </c:pt>
                <c:pt idx="31">
                  <c:v>0.30171295462001463</c:v>
                </c:pt>
                <c:pt idx="32">
                  <c:v>0.29028017707405729</c:v>
                </c:pt>
                <c:pt idx="33">
                  <c:v>0.23556022439996074</c:v>
                </c:pt>
              </c:numCache>
            </c:numRef>
          </c:val>
          <c:extLst>
            <c:ext xmlns:c16="http://schemas.microsoft.com/office/drawing/2014/chart" uri="{C3380CC4-5D6E-409C-BE32-E72D297353CC}">
              <c16:uniqueId val="{00000005-1C79-4FAF-9F13-FE986C7D490B}"/>
            </c:ext>
          </c:extLst>
        </c:ser>
        <c:ser>
          <c:idx val="8"/>
          <c:order val="6"/>
          <c:tx>
            <c:strRef>
              <c:f>'Summary by Gas'!$A$125</c:f>
              <c:strCache>
                <c:ptCount val="1"/>
                <c:pt idx="0">
                  <c:v>Municipal Solid Waste Combustion (Electric and Industrial)</c:v>
                </c:pt>
              </c:strCache>
            </c:strRef>
          </c:tx>
          <c:spPr>
            <a:solidFill>
              <a:schemeClr val="accent3">
                <a:lumMod val="75000"/>
              </a:schemeClr>
            </a:solidFill>
          </c:spPr>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Gas'!$B$125:$AI$125</c:f>
              <c:numCache>
                <c:formatCode>0.0</c:formatCode>
                <c:ptCount val="34"/>
                <c:pt idx="0">
                  <c:v>0.99946876474132851</c:v>
                </c:pt>
                <c:pt idx="1">
                  <c:v>1.1330580026009949</c:v>
                </c:pt>
                <c:pt idx="2">
                  <c:v>1.1748309182462655</c:v>
                </c:pt>
                <c:pt idx="3">
                  <c:v>1.2991759126171449</c:v>
                </c:pt>
                <c:pt idx="4">
                  <c:v>1.3580477160342892</c:v>
                </c:pt>
                <c:pt idx="5">
                  <c:v>1.3368579106654728</c:v>
                </c:pt>
                <c:pt idx="6">
                  <c:v>1.5180132808494706</c:v>
                </c:pt>
                <c:pt idx="7">
                  <c:v>1.5288190495964726</c:v>
                </c:pt>
                <c:pt idx="8">
                  <c:v>1.5145104363123589</c:v>
                </c:pt>
                <c:pt idx="9">
                  <c:v>1.53488778764807</c:v>
                </c:pt>
                <c:pt idx="10">
                  <c:v>1.6675904480651882</c:v>
                </c:pt>
                <c:pt idx="11">
                  <c:v>1.7621531237343047</c:v>
                </c:pt>
                <c:pt idx="12">
                  <c:v>1.7485811738135546</c:v>
                </c:pt>
                <c:pt idx="13">
                  <c:v>1.7780879575652766</c:v>
                </c:pt>
                <c:pt idx="14">
                  <c:v>1.8159322422635376</c:v>
                </c:pt>
                <c:pt idx="15">
                  <c:v>1.9390731598711974</c:v>
                </c:pt>
                <c:pt idx="16">
                  <c:v>1.9635843665273762</c:v>
                </c:pt>
                <c:pt idx="17">
                  <c:v>1.8855880255146853</c:v>
                </c:pt>
                <c:pt idx="18">
                  <c:v>2.1873207393437641</c:v>
                </c:pt>
                <c:pt idx="19">
                  <c:v>2.1322087978315345</c:v>
                </c:pt>
                <c:pt idx="20">
                  <c:v>2.3897903999999999</c:v>
                </c:pt>
                <c:pt idx="21">
                  <c:v>1.0922455</c:v>
                </c:pt>
                <c:pt idx="22">
                  <c:v>1.090794</c:v>
                </c:pt>
                <c:pt idx="23">
                  <c:v>1.1414306999999999</c:v>
                </c:pt>
                <c:pt idx="24">
                  <c:v>1.1765118999999999</c:v>
                </c:pt>
                <c:pt idx="25">
                  <c:v>1.1808476999999999</c:v>
                </c:pt>
                <c:pt idx="26">
                  <c:v>1.2011053999999999</c:v>
                </c:pt>
                <c:pt idx="27">
                  <c:v>1.1327828</c:v>
                </c:pt>
                <c:pt idx="28">
                  <c:v>1.1407152</c:v>
                </c:pt>
                <c:pt idx="29">
                  <c:v>1.0424337000000001</c:v>
                </c:pt>
                <c:pt idx="30">
                  <c:v>1.1220368999999999</c:v>
                </c:pt>
                <c:pt idx="31">
                  <c:v>1.1877340999999999</c:v>
                </c:pt>
                <c:pt idx="32">
                  <c:v>1.2259970999999998</c:v>
                </c:pt>
                <c:pt idx="33">
                  <c:v>1.169956</c:v>
                </c:pt>
              </c:numCache>
            </c:numRef>
          </c:val>
          <c:extLst>
            <c:ext xmlns:c16="http://schemas.microsoft.com/office/drawing/2014/chart" uri="{C3380CC4-5D6E-409C-BE32-E72D297353CC}">
              <c16:uniqueId val="{00000006-1C79-4FAF-9F13-FE986C7D490B}"/>
            </c:ext>
          </c:extLst>
        </c:ser>
        <c:ser>
          <c:idx val="0"/>
          <c:order val="7"/>
          <c:tx>
            <c:strRef>
              <c:f>'Summary by Gas'!$A$124</c:f>
              <c:strCache>
                <c:ptCount val="1"/>
                <c:pt idx="0">
                  <c:v>Agriculture </c:v>
                </c:pt>
              </c:strCache>
            </c:strRef>
          </c:tx>
          <c:spPr>
            <a:solidFill>
              <a:schemeClr val="tx1"/>
            </a:solidFill>
          </c:spPr>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Gas'!$B$124:$AI$124</c:f>
              <c:numCache>
                <c:formatCode>0.0</c:formatCode>
                <c:ptCount val="34"/>
                <c:pt idx="0">
                  <c:v>0</c:v>
                </c:pt>
                <c:pt idx="1">
                  <c:v>2.5486603163083249E-3</c:v>
                </c:pt>
                <c:pt idx="2">
                  <c:v>2.6618489824306751E-3</c:v>
                </c:pt>
                <c:pt idx="3">
                  <c:v>2.0780988841513199E-3</c:v>
                </c:pt>
                <c:pt idx="4">
                  <c:v>2.179395083008255E-3</c:v>
                </c:pt>
                <c:pt idx="5">
                  <c:v>2.787119054099005E-3</c:v>
                </c:pt>
                <c:pt idx="6">
                  <c:v>1.8001400707611361E-3</c:v>
                </c:pt>
                <c:pt idx="7">
                  <c:v>1.9693941758142071E-3</c:v>
                </c:pt>
                <c:pt idx="8">
                  <c:v>2.5539878435997458E-3</c:v>
                </c:pt>
                <c:pt idx="9">
                  <c:v>3.8575289243702559E-3</c:v>
                </c:pt>
                <c:pt idx="10">
                  <c:v>3.2551857026217909E-3</c:v>
                </c:pt>
                <c:pt idx="11">
                  <c:v>3.2328204662977408E-3</c:v>
                </c:pt>
                <c:pt idx="12">
                  <c:v>2.228463152801717E-3</c:v>
                </c:pt>
                <c:pt idx="13">
                  <c:v>2.0115939399437538E-3</c:v>
                </c:pt>
                <c:pt idx="14">
                  <c:v>2.9026441682542558E-3</c:v>
                </c:pt>
                <c:pt idx="15">
                  <c:v>2.9861881520457218E-3</c:v>
                </c:pt>
                <c:pt idx="16">
                  <c:v>2.6760472950497442E-3</c:v>
                </c:pt>
                <c:pt idx="17">
                  <c:v>2.8427933109558801E-3</c:v>
                </c:pt>
                <c:pt idx="18">
                  <c:v>2.1178158396080921E-3</c:v>
                </c:pt>
                <c:pt idx="19">
                  <c:v>1.9815088451419758E-3</c:v>
                </c:pt>
                <c:pt idx="20">
                  <c:v>2.4718290462067527E-2</c:v>
                </c:pt>
                <c:pt idx="21">
                  <c:v>1.1739001481750281E-3</c:v>
                </c:pt>
                <c:pt idx="22">
                  <c:v>8.3594278629532182E-4</c:v>
                </c:pt>
                <c:pt idx="23">
                  <c:v>8.5555112038465024E-4</c:v>
                </c:pt>
                <c:pt idx="24">
                  <c:v>7.197071577610451E-4</c:v>
                </c:pt>
                <c:pt idx="25">
                  <c:v>7.1876379690949226E-4</c:v>
                </c:pt>
                <c:pt idx="26">
                  <c:v>6.2669364056971793E-4</c:v>
                </c:pt>
                <c:pt idx="27">
                  <c:v>7.8454972362728499E-4</c:v>
                </c:pt>
                <c:pt idx="28">
                  <c:v>8.0048792265794506E-4</c:v>
                </c:pt>
                <c:pt idx="29">
                  <c:v>7.7781776336734675E-4</c:v>
                </c:pt>
                <c:pt idx="30">
                  <c:v>7.4234808496037163E-4</c:v>
                </c:pt>
                <c:pt idx="31">
                  <c:v>1.2501174337364232E-2</c:v>
                </c:pt>
                <c:pt idx="32">
                  <c:v>6.4532529408223131E-4</c:v>
                </c:pt>
                <c:pt idx="33">
                  <c:v>5.9120709976140124E-4</c:v>
                </c:pt>
              </c:numCache>
            </c:numRef>
          </c:val>
          <c:extLst>
            <c:ext xmlns:c16="http://schemas.microsoft.com/office/drawing/2014/chart" uri="{C3380CC4-5D6E-409C-BE32-E72D297353CC}">
              <c16:uniqueId val="{00000007-1C79-4FAF-9F13-FE986C7D490B}"/>
            </c:ext>
          </c:extLst>
        </c:ser>
        <c:dLbls>
          <c:showLegendKey val="0"/>
          <c:showVal val="0"/>
          <c:showCatName val="0"/>
          <c:showSerName val="0"/>
          <c:showPercent val="0"/>
          <c:showBubbleSize val="0"/>
        </c:dLbls>
        <c:gapWidth val="150"/>
        <c:overlap val="100"/>
        <c:axId val="49285760"/>
        <c:axId val="49291648"/>
      </c:barChart>
      <c:catAx>
        <c:axId val="49285760"/>
        <c:scaling>
          <c:orientation val="minMax"/>
        </c:scaling>
        <c:delete val="0"/>
        <c:axPos val="b"/>
        <c:numFmt formatCode="General" sourceLinked="1"/>
        <c:majorTickMark val="out"/>
        <c:minorTickMark val="none"/>
        <c:tickLblPos val="nextTo"/>
        <c:txPr>
          <a:bodyPr rot="-540000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9291648"/>
        <c:crosses val="autoZero"/>
        <c:auto val="1"/>
        <c:lblAlgn val="ctr"/>
        <c:lblOffset val="100"/>
        <c:noMultiLvlLbl val="0"/>
      </c:catAx>
      <c:valAx>
        <c:axId val="49291648"/>
        <c:scaling>
          <c:orientation val="minMax"/>
          <c:max val="90"/>
        </c:scaling>
        <c:delete val="0"/>
        <c:axPos val="l"/>
        <c:majorGridlines/>
        <c:numFmt formatCode="#,##0" sourceLinked="0"/>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9285760"/>
        <c:crosses val="autoZero"/>
        <c:crossBetween val="between"/>
      </c:valAx>
    </c:plotArea>
    <c:legend>
      <c:legendPos val="r"/>
      <c:layout>
        <c:manualLayout>
          <c:xMode val="edge"/>
          <c:yMode val="edge"/>
          <c:x val="0.66639508862868113"/>
          <c:y val="0.11177541110521325"/>
          <c:w val="0.31975951897981625"/>
          <c:h val="0.85572904685223516"/>
        </c:manualLayout>
      </c:layout>
      <c:overlay val="0"/>
      <c:txPr>
        <a:bodyPr/>
        <a:lstStyle/>
        <a:p>
          <a:pPr>
            <a:defRPr sz="1200">
              <a:latin typeface="Aptos" panose="020B0004020202020204" pitchFamily="34" charset="0"/>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Aptos" panose="020B0004020202020204" pitchFamily="34" charset="0"/>
                <a:ea typeface="+mn-ea"/>
                <a:cs typeface="+mn-cs"/>
              </a:defRPr>
            </a:pPr>
            <a:r>
              <a:rPr lang="en-US" sz="1600"/>
              <a:t>Natural and Working Lands</a:t>
            </a:r>
          </a:p>
        </c:rich>
      </c:tx>
      <c:layout>
        <c:manualLayout>
          <c:xMode val="edge"/>
          <c:yMode val="edge"/>
          <c:x val="0.20124992486626195"/>
          <c:y val="3.007518796992481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Aptos" panose="020B0004020202020204" pitchFamily="34" charset="0"/>
              <a:ea typeface="+mn-ea"/>
              <a:cs typeface="+mn-cs"/>
            </a:defRPr>
          </a:pPr>
          <a:endParaRPr lang="en-US"/>
        </a:p>
      </c:txPr>
    </c:title>
    <c:autoTitleDeleted val="0"/>
    <c:plotArea>
      <c:layout/>
      <c:lineChart>
        <c:grouping val="standard"/>
        <c:varyColors val="0"/>
        <c:ser>
          <c:idx val="2"/>
          <c:order val="0"/>
          <c:tx>
            <c:strRef>
              <c:f>'Biogenic Summary'!$A$92</c:f>
              <c:strCache>
                <c:ptCount val="1"/>
                <c:pt idx="0">
                  <c:v>Cropland and Grassland</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'Biogenic Summary'!$B$90:$AI$90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Summary'!$B$92:$AI$92</c:f>
              <c:numCache>
                <c:formatCode>0.0</c:formatCode>
                <c:ptCount val="34"/>
                <c:pt idx="0">
                  <c:v>0.21319720656562058</c:v>
                </c:pt>
                <c:pt idx="1">
                  <c:v>0.23010002413992994</c:v>
                </c:pt>
                <c:pt idx="2">
                  <c:v>0.24887856046681037</c:v>
                </c:pt>
                <c:pt idx="3">
                  <c:v>0.25468209537868225</c:v>
                </c:pt>
                <c:pt idx="4">
                  <c:v>0.18482884263873298</c:v>
                </c:pt>
                <c:pt idx="5">
                  <c:v>0.21746851263085828</c:v>
                </c:pt>
                <c:pt idx="6">
                  <c:v>0.16042660774600079</c:v>
                </c:pt>
                <c:pt idx="7">
                  <c:v>0.17038503598269733</c:v>
                </c:pt>
                <c:pt idx="8">
                  <c:v>0.11812282619103506</c:v>
                </c:pt>
                <c:pt idx="9">
                  <c:v>0.17971160144671461</c:v>
                </c:pt>
                <c:pt idx="10">
                  <c:v>0.2254283031988423</c:v>
                </c:pt>
                <c:pt idx="11">
                  <c:v>0.17375028936480125</c:v>
                </c:pt>
                <c:pt idx="12">
                  <c:v>0.16843549980377148</c:v>
                </c:pt>
                <c:pt idx="13">
                  <c:v>0.18407252728810369</c:v>
                </c:pt>
                <c:pt idx="14">
                  <c:v>0.14544241600782642</c:v>
                </c:pt>
                <c:pt idx="15">
                  <c:v>0.13126040170137451</c:v>
                </c:pt>
                <c:pt idx="16">
                  <c:v>0.13474807848118053</c:v>
                </c:pt>
                <c:pt idx="17">
                  <c:v>0.18067545503984375</c:v>
                </c:pt>
                <c:pt idx="18">
                  <c:v>0.11492496014993503</c:v>
                </c:pt>
                <c:pt idx="19">
                  <c:v>0.14437902080490037</c:v>
                </c:pt>
                <c:pt idx="20">
                  <c:v>0.15938522021236376</c:v>
                </c:pt>
                <c:pt idx="21">
                  <c:v>0.13176335983968038</c:v>
                </c:pt>
                <c:pt idx="22">
                  <c:v>0.15408990791965141</c:v>
                </c:pt>
                <c:pt idx="23">
                  <c:v>0.17775599338035469</c:v>
                </c:pt>
                <c:pt idx="24">
                  <c:v>0.13645450550419352</c:v>
                </c:pt>
                <c:pt idx="25">
                  <c:v>0.15046201803872061</c:v>
                </c:pt>
                <c:pt idx="26">
                  <c:v>0.15602681548490049</c:v>
                </c:pt>
                <c:pt idx="27">
                  <c:v>0.18704335152069007</c:v>
                </c:pt>
                <c:pt idx="28">
                  <c:v>0.21769565253601897</c:v>
                </c:pt>
                <c:pt idx="29">
                  <c:v>0.19829473769084352</c:v>
                </c:pt>
                <c:pt idx="30">
                  <c:v>0.19472667536236887</c:v>
                </c:pt>
                <c:pt idx="31">
                  <c:v>0.21761815732341824</c:v>
                </c:pt>
                <c:pt idx="32">
                  <c:v>0.22370130141959635</c:v>
                </c:pt>
                <c:pt idx="33">
                  <c:v>0.22323511702156631</c:v>
                </c:pt>
              </c:numCache>
            </c:numRef>
          </c:val>
          <c:smooth val="0"/>
          <c:extLst>
            <c:ext xmlns:c16="http://schemas.microsoft.com/office/drawing/2014/chart" uri="{C3380CC4-5D6E-409C-BE32-E72D297353CC}">
              <c16:uniqueId val="{00000000-1045-4768-8C90-49413225A1A1}"/>
            </c:ext>
          </c:extLst>
        </c:ser>
        <c:ser>
          <c:idx val="5"/>
          <c:order val="1"/>
          <c:tx>
            <c:strRef>
              <c:f>'Biogenic Summary'!$A$95</c:f>
              <c:strCache>
                <c:ptCount val="1"/>
                <c:pt idx="0">
                  <c:v>Other Land</c:v>
                </c:pt>
              </c:strCache>
            </c:strRef>
          </c:tx>
          <c:spPr>
            <a:ln w="28575" cap="rnd">
              <a:solidFill>
                <a:schemeClr val="tx2">
                  <a:lumMod val="50000"/>
                </a:schemeClr>
              </a:solidFill>
              <a:round/>
            </a:ln>
            <a:effectLst/>
          </c:spPr>
          <c:marker>
            <c:symbol val="circle"/>
            <c:size val="5"/>
            <c:spPr>
              <a:solidFill>
                <a:schemeClr val="tx2">
                  <a:lumMod val="50000"/>
                </a:schemeClr>
              </a:solidFill>
              <a:ln w="9525">
                <a:solidFill>
                  <a:schemeClr val="tx2">
                    <a:lumMod val="50000"/>
                  </a:schemeClr>
                </a:solidFill>
              </a:ln>
              <a:effectLst/>
            </c:spPr>
          </c:marker>
          <c:cat>
            <c:strRef>
              <c:f>'Biogenic Summary'!$B$90:$AI$90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Summary'!$B$95:$AI$95</c:f>
              <c:numCache>
                <c:formatCode>0.0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1045-4768-8C90-49413225A1A1}"/>
            </c:ext>
          </c:extLst>
        </c:ser>
        <c:ser>
          <c:idx val="3"/>
          <c:order val="2"/>
          <c:tx>
            <c:strRef>
              <c:f>'Biogenic Summary'!$A$93</c:f>
              <c:strCache>
                <c:ptCount val="1"/>
                <c:pt idx="0">
                  <c:v>Wetlands</c:v>
                </c:pt>
              </c:strCache>
            </c:strRef>
          </c:tx>
          <c:spPr>
            <a:ln w="28575" cap="rnd">
              <a:solidFill>
                <a:schemeClr val="accent5">
                  <a:lumMod val="75000"/>
                </a:schemeClr>
              </a:solidFill>
              <a:round/>
            </a:ln>
            <a:effectLst/>
          </c:spPr>
          <c:marker>
            <c:symbol val="circle"/>
            <c:size val="5"/>
            <c:spPr>
              <a:solidFill>
                <a:schemeClr val="accent5">
                  <a:lumMod val="75000"/>
                </a:schemeClr>
              </a:solidFill>
              <a:ln w="9525">
                <a:solidFill>
                  <a:schemeClr val="accent5">
                    <a:lumMod val="75000"/>
                  </a:schemeClr>
                </a:solidFill>
              </a:ln>
              <a:effectLst/>
            </c:spPr>
          </c:marker>
          <c:cat>
            <c:strRef>
              <c:f>'Biogenic Summary'!$B$90:$AI$90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Summary'!$B$93:$AI$93</c:f>
              <c:numCache>
                <c:formatCode>0.0</c:formatCode>
                <c:ptCount val="34"/>
                <c:pt idx="0">
                  <c:v>0.13270929615455257</c:v>
                </c:pt>
                <c:pt idx="1">
                  <c:v>0.12919528491255294</c:v>
                </c:pt>
                <c:pt idx="2">
                  <c:v>0.12704172557383192</c:v>
                </c:pt>
                <c:pt idx="3">
                  <c:v>0.12730840543076535</c:v>
                </c:pt>
                <c:pt idx="4">
                  <c:v>0.12573226379587785</c:v>
                </c:pt>
                <c:pt idx="5">
                  <c:v>0.12816135038675164</c:v>
                </c:pt>
                <c:pt idx="6">
                  <c:v>0.12366980778830872</c:v>
                </c:pt>
                <c:pt idx="7">
                  <c:v>0.12799450267397128</c:v>
                </c:pt>
                <c:pt idx="8">
                  <c:v>0.127695451904138</c:v>
                </c:pt>
                <c:pt idx="9">
                  <c:v>0.1288830079313025</c:v>
                </c:pt>
                <c:pt idx="10">
                  <c:v>0.13026260570930107</c:v>
                </c:pt>
                <c:pt idx="11">
                  <c:v>0.13249764348861598</c:v>
                </c:pt>
                <c:pt idx="12">
                  <c:v>0.12889878964701995</c:v>
                </c:pt>
                <c:pt idx="13">
                  <c:v>0.12767642755350805</c:v>
                </c:pt>
                <c:pt idx="14">
                  <c:v>0.12944285034180353</c:v>
                </c:pt>
                <c:pt idx="15">
                  <c:v>0.12866086261786064</c:v>
                </c:pt>
                <c:pt idx="16">
                  <c:v>0.1315931696496116</c:v>
                </c:pt>
                <c:pt idx="17">
                  <c:v>0.13522202820363036</c:v>
                </c:pt>
                <c:pt idx="18">
                  <c:v>0.13464273863210144</c:v>
                </c:pt>
                <c:pt idx="19">
                  <c:v>0.13628151593765736</c:v>
                </c:pt>
                <c:pt idx="20">
                  <c:v>0.13701263661366742</c:v>
                </c:pt>
                <c:pt idx="21">
                  <c:v>0.12546817654960735</c:v>
                </c:pt>
                <c:pt idx="22">
                  <c:v>0.12508645809999874</c:v>
                </c:pt>
                <c:pt idx="23">
                  <c:v>0.12593056558027216</c:v>
                </c:pt>
                <c:pt idx="24">
                  <c:v>0.12608368943874382</c:v>
                </c:pt>
                <c:pt idx="25">
                  <c:v>0.12564758462832751</c:v>
                </c:pt>
                <c:pt idx="26">
                  <c:v>0.12516125756664748</c:v>
                </c:pt>
                <c:pt idx="27">
                  <c:v>0.12700579554124819</c:v>
                </c:pt>
                <c:pt idx="28">
                  <c:v>0.12321573873771155</c:v>
                </c:pt>
                <c:pt idx="29">
                  <c:v>0.12231734303782878</c:v>
                </c:pt>
                <c:pt idx="30">
                  <c:v>0.121828018998516</c:v>
                </c:pt>
                <c:pt idx="31">
                  <c:v>0.12095261660868496</c:v>
                </c:pt>
                <c:pt idx="32">
                  <c:v>0.12161812314732903</c:v>
                </c:pt>
                <c:pt idx="33">
                  <c:v>0.12175878682448034</c:v>
                </c:pt>
              </c:numCache>
            </c:numRef>
          </c:val>
          <c:smooth val="0"/>
          <c:extLst>
            <c:ext xmlns:c16="http://schemas.microsoft.com/office/drawing/2014/chart" uri="{C3380CC4-5D6E-409C-BE32-E72D297353CC}">
              <c16:uniqueId val="{00000002-1045-4768-8C90-49413225A1A1}"/>
            </c:ext>
          </c:extLst>
        </c:ser>
        <c:ser>
          <c:idx val="4"/>
          <c:order val="3"/>
          <c:tx>
            <c:strRef>
              <c:f>'Biogenic Summary'!$A$94</c:f>
              <c:strCache>
                <c:ptCount val="1"/>
                <c:pt idx="0">
                  <c:v>Settlements</c:v>
                </c:pt>
              </c:strCache>
            </c:strRef>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strRef>
              <c:f>'Biogenic Summary'!$B$90:$AI$90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Summary'!$B$94:$AI$94</c:f>
              <c:numCache>
                <c:formatCode>0.0</c:formatCode>
                <c:ptCount val="34"/>
                <c:pt idx="0">
                  <c:v>-0.76729488721680872</c:v>
                </c:pt>
                <c:pt idx="1">
                  <c:v>-0.70988641959844301</c:v>
                </c:pt>
                <c:pt idx="2">
                  <c:v>-0.71621212880859542</c:v>
                </c:pt>
                <c:pt idx="3">
                  <c:v>-0.68563765002587884</c:v>
                </c:pt>
                <c:pt idx="4">
                  <c:v>-0.68198761528335994</c:v>
                </c:pt>
                <c:pt idx="5">
                  <c:v>-0.65165059037062834</c:v>
                </c:pt>
                <c:pt idx="6">
                  <c:v>-0.67521939571796097</c:v>
                </c:pt>
                <c:pt idx="7">
                  <c:v>-0.65924042172704556</c:v>
                </c:pt>
                <c:pt idx="8">
                  <c:v>-0.71249781492904407</c:v>
                </c:pt>
                <c:pt idx="9">
                  <c:v>-0.70666548709797627</c:v>
                </c:pt>
                <c:pt idx="10">
                  <c:v>-0.72994715586245384</c:v>
                </c:pt>
                <c:pt idx="11">
                  <c:v>-0.74596134125877478</c:v>
                </c:pt>
                <c:pt idx="12">
                  <c:v>-0.75606209146360592</c:v>
                </c:pt>
                <c:pt idx="13">
                  <c:v>-0.78124094396805588</c:v>
                </c:pt>
                <c:pt idx="14">
                  <c:v>-0.79513583942692956</c:v>
                </c:pt>
                <c:pt idx="15">
                  <c:v>-0.79582515678085919</c:v>
                </c:pt>
                <c:pt idx="16">
                  <c:v>-0.82325166606787403</c:v>
                </c:pt>
                <c:pt idx="17">
                  <c:v>-0.83737145927255674</c:v>
                </c:pt>
                <c:pt idx="18">
                  <c:v>-0.86668381433872743</c:v>
                </c:pt>
                <c:pt idx="19">
                  <c:v>-0.88753010380221486</c:v>
                </c:pt>
                <c:pt idx="20">
                  <c:v>-0.92065233902311017</c:v>
                </c:pt>
                <c:pt idx="21">
                  <c:v>-0.91681974770689412</c:v>
                </c:pt>
                <c:pt idx="22">
                  <c:v>-0.92733035179237377</c:v>
                </c:pt>
                <c:pt idx="23">
                  <c:v>-0.91438719828564718</c:v>
                </c:pt>
                <c:pt idx="24">
                  <c:v>-0.95403721509898154</c:v>
                </c:pt>
                <c:pt idx="25">
                  <c:v>-0.95969839315733296</c:v>
                </c:pt>
                <c:pt idx="26">
                  <c:v>-0.95775781749807509</c:v>
                </c:pt>
                <c:pt idx="27">
                  <c:v>-1.0282466891011015</c:v>
                </c:pt>
                <c:pt idx="28">
                  <c:v>-1.0264432171356892</c:v>
                </c:pt>
                <c:pt idx="29">
                  <c:v>-1.0370332194928062</c:v>
                </c:pt>
                <c:pt idx="30">
                  <c:v>-1.0311503906037851</c:v>
                </c:pt>
                <c:pt idx="31">
                  <c:v>-1.0007430019470203</c:v>
                </c:pt>
                <c:pt idx="32">
                  <c:v>-0.97971047954174084</c:v>
                </c:pt>
                <c:pt idx="33">
                  <c:v>-0.94733588009053216</c:v>
                </c:pt>
              </c:numCache>
            </c:numRef>
          </c:val>
          <c:smooth val="0"/>
          <c:extLst>
            <c:ext xmlns:c16="http://schemas.microsoft.com/office/drawing/2014/chart" uri="{C3380CC4-5D6E-409C-BE32-E72D297353CC}">
              <c16:uniqueId val="{00000003-1045-4768-8C90-49413225A1A1}"/>
            </c:ext>
          </c:extLst>
        </c:ser>
        <c:ser>
          <c:idx val="1"/>
          <c:order val="4"/>
          <c:tx>
            <c:strRef>
              <c:f>'Biogenic Summary'!$A$91</c:f>
              <c:strCache>
                <c:ptCount val="1"/>
                <c:pt idx="0">
                  <c:v>Forest Land</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'Biogenic Summary'!$B$90:$AI$90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Summary'!$B$91:$AI$91</c:f>
              <c:numCache>
                <c:formatCode>0.0</c:formatCode>
                <c:ptCount val="34"/>
                <c:pt idx="0">
                  <c:v>-4.9273993984964948</c:v>
                </c:pt>
                <c:pt idx="1">
                  <c:v>-4.9777432601710014</c:v>
                </c:pt>
                <c:pt idx="2">
                  <c:v>-5.0281875778790006</c:v>
                </c:pt>
                <c:pt idx="3">
                  <c:v>-5.1832791320092335</c:v>
                </c:pt>
                <c:pt idx="4">
                  <c:v>-5.236243712739733</c:v>
                </c:pt>
                <c:pt idx="5">
                  <c:v>-5.2891686637701296</c:v>
                </c:pt>
                <c:pt idx="6">
                  <c:v>-5.3419756368673044</c:v>
                </c:pt>
                <c:pt idx="7">
                  <c:v>-5.3949116912978026</c:v>
                </c:pt>
                <c:pt idx="8">
                  <c:v>-5.4477804022615812</c:v>
                </c:pt>
                <c:pt idx="9">
                  <c:v>-5.5005045812919793</c:v>
                </c:pt>
                <c:pt idx="10">
                  <c:v>-5.5550936531233672</c:v>
                </c:pt>
                <c:pt idx="11">
                  <c:v>-5.6096077301852878</c:v>
                </c:pt>
                <c:pt idx="12">
                  <c:v>-5.6639668016740883</c:v>
                </c:pt>
                <c:pt idx="13">
                  <c:v>-5.7186213709090463</c:v>
                </c:pt>
                <c:pt idx="14">
                  <c:v>-5.7730735711376466</c:v>
                </c:pt>
                <c:pt idx="15">
                  <c:v>-5.8265167762938166</c:v>
                </c:pt>
                <c:pt idx="16">
                  <c:v>-5.8825843616134303</c:v>
                </c:pt>
                <c:pt idx="17">
                  <c:v>-5.9372547977079275</c:v>
                </c:pt>
                <c:pt idx="18">
                  <c:v>-5.99121679449825</c:v>
                </c:pt>
                <c:pt idx="19">
                  <c:v>-6.0467690533634286</c:v>
                </c:pt>
                <c:pt idx="20">
                  <c:v>-6.1017079985671678</c:v>
                </c:pt>
                <c:pt idx="21">
                  <c:v>-6.1565133098523583</c:v>
                </c:pt>
                <c:pt idx="22">
                  <c:v>-6.1906882178408615</c:v>
                </c:pt>
                <c:pt idx="23">
                  <c:v>-6.2247269732618369</c:v>
                </c:pt>
                <c:pt idx="24">
                  <c:v>-6.2590810594604633</c:v>
                </c:pt>
                <c:pt idx="25">
                  <c:v>-6.2931339337591403</c:v>
                </c:pt>
                <c:pt idx="26">
                  <c:v>-6.3272675232904092</c:v>
                </c:pt>
                <c:pt idx="27">
                  <c:v>-6.3614525354872704</c:v>
                </c:pt>
                <c:pt idx="28">
                  <c:v>-6.3700367798177648</c:v>
                </c:pt>
                <c:pt idx="29">
                  <c:v>-6.3789262738108237</c:v>
                </c:pt>
                <c:pt idx="30">
                  <c:v>-6.3876452450338537</c:v>
                </c:pt>
                <c:pt idx="31">
                  <c:v>-6.3935728605273381</c:v>
                </c:pt>
                <c:pt idx="32">
                  <c:v>-6.401118995065902</c:v>
                </c:pt>
                <c:pt idx="33">
                  <c:v>-6.4125244825157317</c:v>
                </c:pt>
              </c:numCache>
            </c:numRef>
          </c:val>
          <c:smooth val="0"/>
          <c:extLst>
            <c:ext xmlns:c16="http://schemas.microsoft.com/office/drawing/2014/chart" uri="{C3380CC4-5D6E-409C-BE32-E72D297353CC}">
              <c16:uniqueId val="{00000004-1045-4768-8C90-49413225A1A1}"/>
            </c:ext>
          </c:extLst>
        </c:ser>
        <c:ser>
          <c:idx val="6"/>
          <c:order val="5"/>
          <c:tx>
            <c:strRef>
              <c:f>'Biogenic Summary'!$A$96</c:f>
              <c:strCache>
                <c:ptCount val="1"/>
                <c:pt idx="0">
                  <c:v>Net NWL Emissions</c:v>
                </c:pt>
              </c:strCache>
            </c:strRef>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Ref>
              <c:f>'Biogenic Summary'!$B$90:$AI$90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Summary'!$B$96:$AI$96</c:f>
              <c:numCache>
                <c:formatCode>0.0</c:formatCode>
                <c:ptCount val="34"/>
                <c:pt idx="0">
                  <c:v>-5.3487877829931305</c:v>
                </c:pt>
                <c:pt idx="1">
                  <c:v>-5.328334370716961</c:v>
                </c:pt>
                <c:pt idx="2">
                  <c:v>-5.3684794206469535</c:v>
                </c:pt>
                <c:pt idx="3">
                  <c:v>-5.4869262812256645</c:v>
                </c:pt>
                <c:pt idx="4">
                  <c:v>-5.6076702215884824</c:v>
                </c:pt>
                <c:pt idx="5">
                  <c:v>-5.5951893911231476</c:v>
                </c:pt>
                <c:pt idx="6">
                  <c:v>-5.7330986170509561</c:v>
                </c:pt>
                <c:pt idx="7">
                  <c:v>-5.75577257436818</c:v>
                </c:pt>
                <c:pt idx="8">
                  <c:v>-5.914459939095452</c:v>
                </c:pt>
                <c:pt idx="9">
                  <c:v>-5.8985754590119379</c:v>
                </c:pt>
                <c:pt idx="10">
                  <c:v>-5.9293499000776775</c:v>
                </c:pt>
                <c:pt idx="11">
                  <c:v>-6.0493211385906447</c:v>
                </c:pt>
                <c:pt idx="12">
                  <c:v>-6.1226946036869023</c:v>
                </c:pt>
                <c:pt idx="13">
                  <c:v>-6.1881133600354907</c:v>
                </c:pt>
                <c:pt idx="14">
                  <c:v>-6.2933241442149468</c:v>
                </c:pt>
                <c:pt idx="15">
                  <c:v>-6.3624206687554405</c:v>
                </c:pt>
                <c:pt idx="16">
                  <c:v>-6.439494779550512</c:v>
                </c:pt>
                <c:pt idx="17">
                  <c:v>-6.4587287737370103</c:v>
                </c:pt>
                <c:pt idx="18">
                  <c:v>-6.6083329100549406</c:v>
                </c:pt>
                <c:pt idx="19">
                  <c:v>-6.6536386204230853</c:v>
                </c:pt>
                <c:pt idx="20">
                  <c:v>-6.725962480764248</c:v>
                </c:pt>
                <c:pt idx="21">
                  <c:v>-6.8161015211699647</c:v>
                </c:pt>
                <c:pt idx="22">
                  <c:v>-6.8388422036135852</c:v>
                </c:pt>
                <c:pt idx="23">
                  <c:v>-6.8354276125868578</c:v>
                </c:pt>
                <c:pt idx="24">
                  <c:v>-6.9505800796165076</c:v>
                </c:pt>
                <c:pt idx="25">
                  <c:v>-6.9767227242494245</c:v>
                </c:pt>
                <c:pt idx="26">
                  <c:v>-7.0038372677369365</c:v>
                </c:pt>
                <c:pt idx="27">
                  <c:v>-7.0756500775264337</c:v>
                </c:pt>
                <c:pt idx="28">
                  <c:v>-7.0555686056797233</c:v>
                </c:pt>
                <c:pt idx="29">
                  <c:v>-7.0953474125749576</c:v>
                </c:pt>
                <c:pt idx="30">
                  <c:v>-7.1022409412767535</c:v>
                </c:pt>
                <c:pt idx="31">
                  <c:v>-7.0557450885422552</c:v>
                </c:pt>
                <c:pt idx="32">
                  <c:v>-7.0355100500407168</c:v>
                </c:pt>
                <c:pt idx="33">
                  <c:v>-7.014866458760217</c:v>
                </c:pt>
              </c:numCache>
            </c:numRef>
          </c:val>
          <c:smooth val="0"/>
          <c:extLst>
            <c:ext xmlns:c16="http://schemas.microsoft.com/office/drawing/2014/chart" uri="{C3380CC4-5D6E-409C-BE32-E72D297353CC}">
              <c16:uniqueId val="{00000005-1045-4768-8C90-49413225A1A1}"/>
            </c:ext>
          </c:extLst>
        </c:ser>
        <c:dLbls>
          <c:showLegendKey val="0"/>
          <c:showVal val="0"/>
          <c:showCatName val="0"/>
          <c:showSerName val="0"/>
          <c:showPercent val="0"/>
          <c:showBubbleSize val="0"/>
        </c:dLbls>
        <c:marker val="1"/>
        <c:smooth val="0"/>
        <c:axId val="763958440"/>
        <c:axId val="763958768"/>
      </c:lineChart>
      <c:catAx>
        <c:axId val="763958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crossAx val="763958768"/>
        <c:crosses val="autoZero"/>
        <c:auto val="1"/>
        <c:lblAlgn val="ctr"/>
        <c:lblOffset val="100"/>
        <c:noMultiLvlLbl val="0"/>
      </c:catAx>
      <c:valAx>
        <c:axId val="763958768"/>
        <c:scaling>
          <c:orientation val="minMax"/>
          <c:max val="0.5"/>
          <c:min val="-7.5"/>
        </c:scaling>
        <c:delete val="0"/>
        <c:axPos val="l"/>
        <c:majorGridlines>
          <c:spPr>
            <a:ln w="12700" cap="flat" cmpd="sng" algn="ctr">
              <a:solidFill>
                <a:schemeClr val="tx1"/>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r>
                  <a:rPr lang="en-US"/>
                  <a:t>Million Metric Tons of CO2</a:t>
                </a:r>
              </a:p>
            </c:rich>
          </c:tx>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crossAx val="763958440"/>
        <c:crosses val="autoZero"/>
        <c:crossBetween val="between"/>
        <c:majorUnit val="0.5"/>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sz="1200">
          <a:solidFill>
            <a:sysClr val="windowText" lastClr="000000"/>
          </a:solidFill>
          <a:latin typeface="Aptos" panose="020B0004020202020204" pitchFamily="34" charset="0"/>
        </a:defRPr>
      </a:pPr>
      <a:endParaRPr lang="en-US"/>
    </a:p>
  </c:txPr>
  <c:printSettings>
    <c:headerFooter/>
    <c:pageMargins b="0.75" l="0.7" r="0.7" t="0.75" header="0.3" footer="0.3"/>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Aptos" panose="020B0004020202020204" pitchFamily="34" charset="0"/>
              </a:rPr>
              <a:t>CH</a:t>
            </a:r>
            <a:r>
              <a:rPr lang="en-US" sz="1800" b="1" i="0" u="none" strike="noStrike" baseline="-25000">
                <a:solidFill>
                  <a:srgbClr val="000000"/>
                </a:solidFill>
                <a:latin typeface="Aptos" panose="020B0004020202020204" pitchFamily="34" charset="0"/>
              </a:rPr>
              <a:t>4</a:t>
            </a:r>
            <a:r>
              <a:rPr lang="en-US" sz="1800" b="1" i="0" u="none" strike="noStrike" baseline="0">
                <a:solidFill>
                  <a:srgbClr val="000000"/>
                </a:solidFill>
                <a:latin typeface="Aptos" panose="020B0004020202020204" pitchFamily="34" charset="0"/>
              </a:rPr>
              <a:t> (MMTCO</a:t>
            </a:r>
            <a:r>
              <a:rPr lang="en-US" sz="1800" b="1" i="0" u="none" strike="noStrike" baseline="-25000">
                <a:solidFill>
                  <a:srgbClr val="000000"/>
                </a:solidFill>
                <a:latin typeface="Aptos" panose="020B0004020202020204" pitchFamily="34" charset="0"/>
              </a:rPr>
              <a:t>2</a:t>
            </a:r>
            <a:r>
              <a:rPr lang="en-US" sz="1800" b="1" i="0" u="none" strike="noStrike" baseline="0">
                <a:solidFill>
                  <a:srgbClr val="000000"/>
                </a:solidFill>
                <a:latin typeface="Aptos" panose="020B0004020202020204" pitchFamily="34" charset="0"/>
              </a:rPr>
              <a:t>e)</a:t>
            </a:r>
          </a:p>
        </c:rich>
      </c:tx>
      <c:layout>
        <c:manualLayout>
          <c:xMode val="edge"/>
          <c:yMode val="edge"/>
          <c:x val="0.63454679391687263"/>
          <c:y val="3.0690501525147192E-2"/>
        </c:manualLayout>
      </c:layout>
      <c:overlay val="0"/>
    </c:title>
    <c:autoTitleDeleted val="0"/>
    <c:plotArea>
      <c:layout>
        <c:manualLayout>
          <c:layoutTarget val="inner"/>
          <c:xMode val="edge"/>
          <c:yMode val="edge"/>
          <c:x val="0.10161329833770776"/>
          <c:y val="4.8005316470990968E-2"/>
          <c:w val="0.5039422572178478"/>
          <c:h val="0.83903095233300473"/>
        </c:manualLayout>
      </c:layout>
      <c:barChart>
        <c:barDir val="col"/>
        <c:grouping val="stacked"/>
        <c:varyColors val="0"/>
        <c:ser>
          <c:idx val="1"/>
          <c:order val="0"/>
          <c:tx>
            <c:strRef>
              <c:f>'Summary by Gas'!$A$131</c:f>
              <c:strCache>
                <c:ptCount val="1"/>
                <c:pt idx="0">
                  <c:v>Residential</c:v>
                </c:pt>
              </c:strCache>
            </c:strRef>
          </c:tx>
          <c:spPr>
            <a:solidFill>
              <a:schemeClr val="accent2">
                <a:lumMod val="75000"/>
              </a:schemeClr>
            </a:solidFill>
          </c:spPr>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Gas'!$B$131:$AI$131</c:f>
              <c:numCache>
                <c:formatCode>0.0</c:formatCode>
                <c:ptCount val="34"/>
                <c:pt idx="0">
                  <c:v>0.17554522475000001</c:v>
                </c:pt>
                <c:pt idx="1">
                  <c:v>0.17788976950000004</c:v>
                </c:pt>
                <c:pt idx="2">
                  <c:v>0.19158834499999994</c:v>
                </c:pt>
                <c:pt idx="3">
                  <c:v>0.19633268725</c:v>
                </c:pt>
                <c:pt idx="4">
                  <c:v>0.18773556149999998</c:v>
                </c:pt>
                <c:pt idx="5">
                  <c:v>0.18322357924999996</c:v>
                </c:pt>
                <c:pt idx="6">
                  <c:v>0.18746267324999999</c:v>
                </c:pt>
                <c:pt idx="7">
                  <c:v>0.14596146899999995</c:v>
                </c:pt>
                <c:pt idx="8">
                  <c:v>0.13106362149999998</c:v>
                </c:pt>
                <c:pt idx="9">
                  <c:v>0.1360629065</c:v>
                </c:pt>
                <c:pt idx="10">
                  <c:v>0.14773084999999997</c:v>
                </c:pt>
                <c:pt idx="11">
                  <c:v>0.12960206674999997</c:v>
                </c:pt>
                <c:pt idx="12">
                  <c:v>0.13195689124999999</c:v>
                </c:pt>
                <c:pt idx="13">
                  <c:v>0.13636771899999997</c:v>
                </c:pt>
                <c:pt idx="14">
                  <c:v>0.13400201324999997</c:v>
                </c:pt>
                <c:pt idx="15">
                  <c:v>6.9318095499999996E-2</c:v>
                </c:pt>
                <c:pt idx="16">
                  <c:v>6.0035696249999992E-2</c:v>
                </c:pt>
                <c:pt idx="17">
                  <c:v>6.4219326999999993E-2</c:v>
                </c:pt>
                <c:pt idx="18">
                  <c:v>6.8679364249999986E-2</c:v>
                </c:pt>
                <c:pt idx="19">
                  <c:v>0.11141301849999997</c:v>
                </c:pt>
                <c:pt idx="20">
                  <c:v>0.11619132399999997</c:v>
                </c:pt>
                <c:pt idx="21">
                  <c:v>0.11379180574999997</c:v>
                </c:pt>
                <c:pt idx="22">
                  <c:v>9.5961719499999987E-2</c:v>
                </c:pt>
                <c:pt idx="23">
                  <c:v>0.11691266899999998</c:v>
                </c:pt>
                <c:pt idx="24">
                  <c:v>0.12185968524999999</c:v>
                </c:pt>
                <c:pt idx="25">
                  <c:v>0.11309021799999999</c:v>
                </c:pt>
                <c:pt idx="26">
                  <c:v>9.1454188999999991E-2</c:v>
                </c:pt>
                <c:pt idx="27">
                  <c:v>9.36847445E-2</c:v>
                </c:pt>
                <c:pt idx="28">
                  <c:v>9.6435323499999989E-2</c:v>
                </c:pt>
                <c:pt idx="29">
                  <c:v>0.11064475774999999</c:v>
                </c:pt>
                <c:pt idx="30">
                  <c:v>0.10108987599999998</c:v>
                </c:pt>
                <c:pt idx="31">
                  <c:v>0.10445729925</c:v>
                </c:pt>
                <c:pt idx="32">
                  <c:v>0.12332667824999997</c:v>
                </c:pt>
                <c:pt idx="33">
                  <c:v>0.10759052499999998</c:v>
                </c:pt>
              </c:numCache>
            </c:numRef>
          </c:val>
          <c:extLst>
            <c:ext xmlns:c16="http://schemas.microsoft.com/office/drawing/2014/chart" uri="{C3380CC4-5D6E-409C-BE32-E72D297353CC}">
              <c16:uniqueId val="{00000000-6FDC-4FC8-8293-7ADBB9358410}"/>
            </c:ext>
          </c:extLst>
        </c:ser>
        <c:ser>
          <c:idx val="2"/>
          <c:order val="1"/>
          <c:tx>
            <c:strRef>
              <c:f>'Summary by Gas'!$A$132</c:f>
              <c:strCache>
                <c:ptCount val="1"/>
                <c:pt idx="0">
                  <c:v>Commercial</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Gas'!$B$132:$AI$132</c:f>
              <c:numCache>
                <c:formatCode>0.0</c:formatCode>
                <c:ptCount val="34"/>
                <c:pt idx="0">
                  <c:v>3.9177636249999995E-2</c:v>
                </c:pt>
                <c:pt idx="1">
                  <c:v>4.2314598249999995E-2</c:v>
                </c:pt>
                <c:pt idx="2">
                  <c:v>4.1561888499999991E-2</c:v>
                </c:pt>
                <c:pt idx="3">
                  <c:v>4.2577586749999993E-2</c:v>
                </c:pt>
                <c:pt idx="4">
                  <c:v>4.3600681749999995E-2</c:v>
                </c:pt>
                <c:pt idx="5">
                  <c:v>4.4222040999999997E-2</c:v>
                </c:pt>
                <c:pt idx="6">
                  <c:v>4.4452232499999994E-2</c:v>
                </c:pt>
                <c:pt idx="7">
                  <c:v>4.2709136999999994E-2</c:v>
                </c:pt>
                <c:pt idx="8">
                  <c:v>3.6890897749999992E-2</c:v>
                </c:pt>
                <c:pt idx="9">
                  <c:v>3.2649490499999996E-2</c:v>
                </c:pt>
                <c:pt idx="10">
                  <c:v>3.5957996499999999E-2</c:v>
                </c:pt>
                <c:pt idx="11">
                  <c:v>3.0062046499999995E-2</c:v>
                </c:pt>
                <c:pt idx="12">
                  <c:v>3.0546943499999996E-2</c:v>
                </c:pt>
                <c:pt idx="13">
                  <c:v>3.5501653749999994E-2</c:v>
                </c:pt>
                <c:pt idx="14">
                  <c:v>3.361841225E-2</c:v>
                </c:pt>
                <c:pt idx="15">
                  <c:v>2.3220722956117313E-2</c:v>
                </c:pt>
                <c:pt idx="16">
                  <c:v>1.7667052987004925E-2</c:v>
                </c:pt>
                <c:pt idx="17">
                  <c:v>1.8439023930022589E-2</c:v>
                </c:pt>
                <c:pt idx="18">
                  <c:v>1.8896463256820706E-2</c:v>
                </c:pt>
                <c:pt idx="19">
                  <c:v>2.5534018218213252E-2</c:v>
                </c:pt>
                <c:pt idx="20">
                  <c:v>2.8470562119320569E-2</c:v>
                </c:pt>
                <c:pt idx="21">
                  <c:v>2.6272004448129594E-2</c:v>
                </c:pt>
                <c:pt idx="22">
                  <c:v>2.1831388111690275E-2</c:v>
                </c:pt>
                <c:pt idx="23">
                  <c:v>2.6713130959450791E-2</c:v>
                </c:pt>
                <c:pt idx="24">
                  <c:v>2.7725331932226257E-2</c:v>
                </c:pt>
                <c:pt idx="25">
                  <c:v>2.9315723431362305E-2</c:v>
                </c:pt>
                <c:pt idx="26">
                  <c:v>2.6543115475487863E-2</c:v>
                </c:pt>
                <c:pt idx="27">
                  <c:v>2.7639681503320218E-2</c:v>
                </c:pt>
                <c:pt idx="28">
                  <c:v>2.7206511148869069E-2</c:v>
                </c:pt>
                <c:pt idx="29">
                  <c:v>2.9014087682705521E-2</c:v>
                </c:pt>
                <c:pt idx="30">
                  <c:v>3.1342184294842701E-2</c:v>
                </c:pt>
                <c:pt idx="31">
                  <c:v>3.2191734766105012E-2</c:v>
                </c:pt>
                <c:pt idx="32">
                  <c:v>3.3884970269636841E-2</c:v>
                </c:pt>
                <c:pt idx="33">
                  <c:v>3.2496180186030253E-2</c:v>
                </c:pt>
              </c:numCache>
            </c:numRef>
          </c:val>
          <c:extLst>
            <c:ext xmlns:c16="http://schemas.microsoft.com/office/drawing/2014/chart" uri="{C3380CC4-5D6E-409C-BE32-E72D297353CC}">
              <c16:uniqueId val="{00000001-6FDC-4FC8-8293-7ADBB9358410}"/>
            </c:ext>
          </c:extLst>
        </c:ser>
        <c:ser>
          <c:idx val="3"/>
          <c:order val="2"/>
          <c:tx>
            <c:strRef>
              <c:f>'Summary by Gas'!$A$133</c:f>
              <c:strCache>
                <c:ptCount val="1"/>
                <c:pt idx="0">
                  <c:v>Industrial</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Gas'!$B$133:$AI$133</c:f>
              <c:numCache>
                <c:formatCode>0.0</c:formatCode>
                <c:ptCount val="34"/>
                <c:pt idx="0">
                  <c:v>7.8727429561641672E-3</c:v>
                </c:pt>
                <c:pt idx="1">
                  <c:v>7.0850053161631548E-3</c:v>
                </c:pt>
                <c:pt idx="2">
                  <c:v>8.1680511041348786E-3</c:v>
                </c:pt>
                <c:pt idx="3">
                  <c:v>8.3478540224361953E-3</c:v>
                </c:pt>
                <c:pt idx="4">
                  <c:v>7.8104745774210029E-3</c:v>
                </c:pt>
                <c:pt idx="5">
                  <c:v>7.8612157255448824E-3</c:v>
                </c:pt>
                <c:pt idx="6">
                  <c:v>7.8042632384274207E-3</c:v>
                </c:pt>
                <c:pt idx="7">
                  <c:v>8.2980388368445804E-3</c:v>
                </c:pt>
                <c:pt idx="8">
                  <c:v>7.3101425464369308E-3</c:v>
                </c:pt>
                <c:pt idx="9">
                  <c:v>7.6258818873707465E-3</c:v>
                </c:pt>
                <c:pt idx="10">
                  <c:v>7.5513699012525106E-3</c:v>
                </c:pt>
                <c:pt idx="11">
                  <c:v>7.2828328359169315E-3</c:v>
                </c:pt>
                <c:pt idx="12">
                  <c:v>5.8901945211969672E-3</c:v>
                </c:pt>
                <c:pt idx="13">
                  <c:v>5.1660448405779647E-3</c:v>
                </c:pt>
                <c:pt idx="14">
                  <c:v>5.2505320837883526E-3</c:v>
                </c:pt>
                <c:pt idx="15">
                  <c:v>5.469193248087892E-3</c:v>
                </c:pt>
                <c:pt idx="16">
                  <c:v>5.4733488497328668E-3</c:v>
                </c:pt>
                <c:pt idx="17">
                  <c:v>5.4235194825502453E-3</c:v>
                </c:pt>
                <c:pt idx="18">
                  <c:v>5.1098565326238212E-3</c:v>
                </c:pt>
                <c:pt idx="19">
                  <c:v>4.1252810574241095E-3</c:v>
                </c:pt>
                <c:pt idx="20">
                  <c:v>6.0184990949357581E-3</c:v>
                </c:pt>
                <c:pt idx="21">
                  <c:v>7.4357571063748693E-3</c:v>
                </c:pt>
                <c:pt idx="22">
                  <c:v>7.0275865575262428E-3</c:v>
                </c:pt>
                <c:pt idx="23">
                  <c:v>7.0812299603999302E-3</c:v>
                </c:pt>
                <c:pt idx="24">
                  <c:v>6.8605880144304663E-3</c:v>
                </c:pt>
                <c:pt idx="25">
                  <c:v>6.8545025887443156E-3</c:v>
                </c:pt>
                <c:pt idx="26">
                  <c:v>6.5289199408465007E-3</c:v>
                </c:pt>
                <c:pt idx="27">
                  <c:v>3.7537356801519701E-3</c:v>
                </c:pt>
                <c:pt idx="28">
                  <c:v>3.7114284788285147E-3</c:v>
                </c:pt>
                <c:pt idx="29">
                  <c:v>3.7598358027213993E-3</c:v>
                </c:pt>
                <c:pt idx="30">
                  <c:v>3.6314518442684273E-3</c:v>
                </c:pt>
                <c:pt idx="31">
                  <c:v>3.7260100765123248E-3</c:v>
                </c:pt>
                <c:pt idx="32">
                  <c:v>4.0420135219699392E-3</c:v>
                </c:pt>
                <c:pt idx="33">
                  <c:v>3.9698296704444701E-3</c:v>
                </c:pt>
              </c:numCache>
            </c:numRef>
          </c:val>
          <c:extLst>
            <c:ext xmlns:c16="http://schemas.microsoft.com/office/drawing/2014/chart" uri="{C3380CC4-5D6E-409C-BE32-E72D297353CC}">
              <c16:uniqueId val="{00000002-6FDC-4FC8-8293-7ADBB9358410}"/>
            </c:ext>
          </c:extLst>
        </c:ser>
        <c:ser>
          <c:idx val="4"/>
          <c:order val="3"/>
          <c:tx>
            <c:strRef>
              <c:f>'Summary by Gas'!$A$134</c:f>
              <c:strCache>
                <c:ptCount val="1"/>
                <c:pt idx="0">
                  <c:v>Electric Power</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Gas'!$B$134:$AI$134</c:f>
              <c:numCache>
                <c:formatCode>0.0</c:formatCode>
                <c:ptCount val="34"/>
                <c:pt idx="0">
                  <c:v>1.56693015E-2</c:v>
                </c:pt>
                <c:pt idx="1">
                  <c:v>1.6014031249999998E-2</c:v>
                </c:pt>
                <c:pt idx="2">
                  <c:v>1.5561707249999999E-2</c:v>
                </c:pt>
                <c:pt idx="3">
                  <c:v>1.3937455749999999E-2</c:v>
                </c:pt>
                <c:pt idx="4">
                  <c:v>1.3488590499999998E-2</c:v>
                </c:pt>
                <c:pt idx="5">
                  <c:v>1.1606508749999998E-2</c:v>
                </c:pt>
                <c:pt idx="6">
                  <c:v>1.126862625E-2</c:v>
                </c:pt>
                <c:pt idx="7">
                  <c:v>1.5539340199999996E-2</c:v>
                </c:pt>
                <c:pt idx="8">
                  <c:v>1.7946053090000004E-2</c:v>
                </c:pt>
                <c:pt idx="9">
                  <c:v>1.4511070730000001E-2</c:v>
                </c:pt>
                <c:pt idx="10">
                  <c:v>1.2923773230000001E-2</c:v>
                </c:pt>
                <c:pt idx="11">
                  <c:v>1.287430912E-2</c:v>
                </c:pt>
                <c:pt idx="12">
                  <c:v>1.2206380719999998E-2</c:v>
                </c:pt>
                <c:pt idx="13">
                  <c:v>1.3897390859999997E-2</c:v>
                </c:pt>
                <c:pt idx="14">
                  <c:v>1.313429728E-2</c:v>
                </c:pt>
                <c:pt idx="15">
                  <c:v>1.317687555E-2</c:v>
                </c:pt>
                <c:pt idx="16">
                  <c:v>1.026063E-2</c:v>
                </c:pt>
                <c:pt idx="17">
                  <c:v>1.1255835049999999E-2</c:v>
                </c:pt>
                <c:pt idx="18">
                  <c:v>9.566780149999999E-3</c:v>
                </c:pt>
                <c:pt idx="19">
                  <c:v>7.9512880599999988E-3</c:v>
                </c:pt>
                <c:pt idx="20">
                  <c:v>8.0604868800000003E-3</c:v>
                </c:pt>
                <c:pt idx="21">
                  <c:v>7.0176863799999989E-3</c:v>
                </c:pt>
                <c:pt idx="22">
                  <c:v>6.3283390600000003E-3</c:v>
                </c:pt>
                <c:pt idx="23">
                  <c:v>6.2410814499999998E-3</c:v>
                </c:pt>
                <c:pt idx="24">
                  <c:v>6.5282908200000002E-3</c:v>
                </c:pt>
                <c:pt idx="25">
                  <c:v>6.58452541E-3</c:v>
                </c:pt>
                <c:pt idx="26">
                  <c:v>6.3738951400000004E-3</c:v>
                </c:pt>
                <c:pt idx="27">
                  <c:v>6.2776660200000002E-3</c:v>
                </c:pt>
                <c:pt idx="28">
                  <c:v>5.2001732499999988E-3</c:v>
                </c:pt>
                <c:pt idx="29">
                  <c:v>4.2864332499999991E-3</c:v>
                </c:pt>
                <c:pt idx="30">
                  <c:v>4.2248582399999996E-3</c:v>
                </c:pt>
                <c:pt idx="31">
                  <c:v>3.9260757899999997E-3</c:v>
                </c:pt>
                <c:pt idx="32">
                  <c:v>4.0668780999999999E-3</c:v>
                </c:pt>
                <c:pt idx="33">
                  <c:v>3.3376695299999998E-3</c:v>
                </c:pt>
              </c:numCache>
            </c:numRef>
          </c:val>
          <c:extLst>
            <c:ext xmlns:c16="http://schemas.microsoft.com/office/drawing/2014/chart" uri="{C3380CC4-5D6E-409C-BE32-E72D297353CC}">
              <c16:uniqueId val="{00000003-6FDC-4FC8-8293-7ADBB9358410}"/>
            </c:ext>
          </c:extLst>
        </c:ser>
        <c:ser>
          <c:idx val="5"/>
          <c:order val="4"/>
          <c:tx>
            <c:strRef>
              <c:f>'Summary by Gas'!$A$135</c:f>
              <c:strCache>
                <c:ptCount val="1"/>
                <c:pt idx="0">
                  <c:v>Municipal Solid Waste Combustion (Electric and Industrial)</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Gas'!$B$135:$AI$135</c:f>
              <c:numCache>
                <c:formatCode>0.0</c:formatCode>
                <c:ptCount val="34"/>
                <c:pt idx="0">
                  <c:v>3.2896944712290607E-3</c:v>
                </c:pt>
                <c:pt idx="1">
                  <c:v>3.3679737516997023E-3</c:v>
                </c:pt>
                <c:pt idx="2">
                  <c:v>4.1287847595281027E-3</c:v>
                </c:pt>
                <c:pt idx="3">
                  <c:v>3.5798186538104028E-3</c:v>
                </c:pt>
                <c:pt idx="4">
                  <c:v>3.8261329625114038E-3</c:v>
                </c:pt>
                <c:pt idx="5">
                  <c:v>3.6399243876602642E-3</c:v>
                </c:pt>
                <c:pt idx="6">
                  <c:v>3.9035856511550038E-3</c:v>
                </c:pt>
                <c:pt idx="7">
                  <c:v>3.8478153484161732E-3</c:v>
                </c:pt>
                <c:pt idx="8">
                  <c:v>2.2414865404348132E-3</c:v>
                </c:pt>
                <c:pt idx="9">
                  <c:v>1.7428457391994937E-3</c:v>
                </c:pt>
                <c:pt idx="10">
                  <c:v>1.7145648462192837E-3</c:v>
                </c:pt>
                <c:pt idx="11">
                  <c:v>1.9454842048770083E-3</c:v>
                </c:pt>
                <c:pt idx="12">
                  <c:v>1.6991395782482922E-3</c:v>
                </c:pt>
                <c:pt idx="13">
                  <c:v>1.7118043314205381E-3</c:v>
                </c:pt>
                <c:pt idx="14">
                  <c:v>1.6928802547038571E-3</c:v>
                </c:pt>
                <c:pt idx="15">
                  <c:v>1.7171453454863251E-3</c:v>
                </c:pt>
                <c:pt idx="16">
                  <c:v>2.3853803656492538E-3</c:v>
                </c:pt>
                <c:pt idx="17">
                  <c:v>2.4523931561475473E-3</c:v>
                </c:pt>
                <c:pt idx="18">
                  <c:v>2.554314777305629E-3</c:v>
                </c:pt>
                <c:pt idx="19">
                  <c:v>2.6472070105581927E-3</c:v>
                </c:pt>
                <c:pt idx="20">
                  <c:v>2.3496019999999999E-2</c:v>
                </c:pt>
                <c:pt idx="21">
                  <c:v>2.3588999999999999E-2</c:v>
                </c:pt>
                <c:pt idx="22">
                  <c:v>2.3901499999999999E-2</c:v>
                </c:pt>
                <c:pt idx="23">
                  <c:v>2.5735250000000001E-2</c:v>
                </c:pt>
                <c:pt idx="24">
                  <c:v>2.5750647999999998E-2</c:v>
                </c:pt>
                <c:pt idx="25">
                  <c:v>2.5479999999999999E-2</c:v>
                </c:pt>
                <c:pt idx="26">
                  <c:v>2.5267358E-2</c:v>
                </c:pt>
                <c:pt idx="27">
                  <c:v>2.5188349999999998E-2</c:v>
                </c:pt>
                <c:pt idx="28">
                  <c:v>2.5358153999999997E-2</c:v>
                </c:pt>
                <c:pt idx="29">
                  <c:v>2.4774931999999996E-2</c:v>
                </c:pt>
                <c:pt idx="30">
                  <c:v>2.3303288000000002E-2</c:v>
                </c:pt>
                <c:pt idx="31">
                  <c:v>2.4848349999999995E-2</c:v>
                </c:pt>
                <c:pt idx="32">
                  <c:v>2.4049496000000004E-2</c:v>
                </c:pt>
                <c:pt idx="33">
                  <c:v>2.4105499999999998E-2</c:v>
                </c:pt>
              </c:numCache>
            </c:numRef>
          </c:val>
          <c:extLst>
            <c:ext xmlns:c16="http://schemas.microsoft.com/office/drawing/2014/chart" uri="{C3380CC4-5D6E-409C-BE32-E72D297353CC}">
              <c16:uniqueId val="{00000004-6FDC-4FC8-8293-7ADBB9358410}"/>
            </c:ext>
          </c:extLst>
        </c:ser>
        <c:ser>
          <c:idx val="8"/>
          <c:order val="5"/>
          <c:tx>
            <c:strRef>
              <c:f>'Summary by Gas'!$A$136</c:f>
              <c:strCache>
                <c:ptCount val="1"/>
                <c:pt idx="0">
                  <c:v>Transportation</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Gas'!$B$136:$AI$136</c:f>
              <c:numCache>
                <c:formatCode>0.0</c:formatCode>
                <c:ptCount val="34"/>
                <c:pt idx="0">
                  <c:v>0.13487797667306803</c:v>
                </c:pt>
                <c:pt idx="1">
                  <c:v>0.12614760331183733</c:v>
                </c:pt>
                <c:pt idx="2">
                  <c:v>0.12127463605339153</c:v>
                </c:pt>
                <c:pt idx="3">
                  <c:v>0.11212060879792646</c:v>
                </c:pt>
                <c:pt idx="4">
                  <c:v>0.1115332529058605</c:v>
                </c:pt>
                <c:pt idx="5">
                  <c:v>0.10847444458576416</c:v>
                </c:pt>
                <c:pt idx="6">
                  <c:v>0.11428099175011003</c:v>
                </c:pt>
                <c:pt idx="7">
                  <c:v>0.10755132439178958</c:v>
                </c:pt>
                <c:pt idx="8">
                  <c:v>9.7454713389010558E-2</c:v>
                </c:pt>
                <c:pt idx="9">
                  <c:v>8.5309902678185348E-2</c:v>
                </c:pt>
                <c:pt idx="10">
                  <c:v>8.2035882976545127E-2</c:v>
                </c:pt>
                <c:pt idx="11">
                  <c:v>7.6210210241302839E-2</c:v>
                </c:pt>
                <c:pt idx="12">
                  <c:v>7.0190453788455981E-2</c:v>
                </c:pt>
                <c:pt idx="13">
                  <c:v>6.5132354283911092E-2</c:v>
                </c:pt>
                <c:pt idx="14">
                  <c:v>6.2180365574372364E-2</c:v>
                </c:pt>
                <c:pt idx="15">
                  <c:v>6.2119389164325793E-2</c:v>
                </c:pt>
                <c:pt idx="16">
                  <c:v>5.8641208432079046E-2</c:v>
                </c:pt>
                <c:pt idx="17">
                  <c:v>5.3257355657449996E-2</c:v>
                </c:pt>
                <c:pt idx="18">
                  <c:v>4.9845704508307193E-2</c:v>
                </c:pt>
                <c:pt idx="19">
                  <c:v>4.6857176690034585E-2</c:v>
                </c:pt>
                <c:pt idx="20">
                  <c:v>4.5564454516854522E-2</c:v>
                </c:pt>
                <c:pt idx="21">
                  <c:v>4.5465946200654812E-2</c:v>
                </c:pt>
                <c:pt idx="22">
                  <c:v>4.0966047512666519E-2</c:v>
                </c:pt>
                <c:pt idx="23">
                  <c:v>4.0489274971579489E-2</c:v>
                </c:pt>
                <c:pt idx="24">
                  <c:v>3.8526966597618291E-2</c:v>
                </c:pt>
                <c:pt idx="25">
                  <c:v>3.2943811885327787E-2</c:v>
                </c:pt>
                <c:pt idx="26">
                  <c:v>3.3910644967054537E-2</c:v>
                </c:pt>
                <c:pt idx="27">
                  <c:v>3.2880565496624124E-2</c:v>
                </c:pt>
                <c:pt idx="28">
                  <c:v>3.0367971833976975E-2</c:v>
                </c:pt>
                <c:pt idx="29">
                  <c:v>3.3435581885481208E-2</c:v>
                </c:pt>
                <c:pt idx="30">
                  <c:v>2.784081357399569E-2</c:v>
                </c:pt>
                <c:pt idx="31">
                  <c:v>3.1285589795506469E-2</c:v>
                </c:pt>
                <c:pt idx="32">
                  <c:v>3.1247623204776604E-2</c:v>
                </c:pt>
                <c:pt idx="33">
                  <c:v>2.9274631292007858E-2</c:v>
                </c:pt>
              </c:numCache>
            </c:numRef>
          </c:val>
          <c:extLst>
            <c:ext xmlns:c16="http://schemas.microsoft.com/office/drawing/2014/chart" uri="{C3380CC4-5D6E-409C-BE32-E72D297353CC}">
              <c16:uniqueId val="{00000005-6FDC-4FC8-8293-7ADBB9358410}"/>
            </c:ext>
          </c:extLst>
        </c:ser>
        <c:ser>
          <c:idx val="0"/>
          <c:order val="6"/>
          <c:tx>
            <c:strRef>
              <c:f>'Summary by Gas'!$A$137</c:f>
              <c:strCache>
                <c:ptCount val="1"/>
                <c:pt idx="0">
                  <c:v>Natural Gas Systems (Leaks)</c:v>
                </c:pt>
              </c:strCache>
            </c:strRef>
          </c:tx>
          <c:spPr>
            <a:solidFill>
              <a:schemeClr val="tx2">
                <a:lumMod val="75000"/>
              </a:schemeClr>
            </a:solidFill>
          </c:spPr>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Gas'!$B$137:$AI$137</c:f>
              <c:numCache>
                <c:formatCode>0.0</c:formatCode>
                <c:ptCount val="34"/>
                <c:pt idx="0">
                  <c:v>1.8655661887706061</c:v>
                </c:pt>
                <c:pt idx="1">
                  <c:v>1.8506966378640823</c:v>
                </c:pt>
                <c:pt idx="2">
                  <c:v>1.8375772302978277</c:v>
                </c:pt>
                <c:pt idx="3">
                  <c:v>1.7592393700117972</c:v>
                </c:pt>
                <c:pt idx="4">
                  <c:v>1.7028649067272885</c:v>
                </c:pt>
                <c:pt idx="5">
                  <c:v>1.6689425584369191</c:v>
                </c:pt>
                <c:pt idx="6">
                  <c:v>1.5905385503758946</c:v>
                </c:pt>
                <c:pt idx="7">
                  <c:v>1.5393009272276919</c:v>
                </c:pt>
                <c:pt idx="8">
                  <c:v>1.4801125056209867</c:v>
                </c:pt>
                <c:pt idx="9">
                  <c:v>1.4211809516278173</c:v>
                </c:pt>
                <c:pt idx="10">
                  <c:v>1.3832387647956992</c:v>
                </c:pt>
                <c:pt idx="11">
                  <c:v>1.313270757378195</c:v>
                </c:pt>
                <c:pt idx="12">
                  <c:v>1.2759905436855268</c:v>
                </c:pt>
                <c:pt idx="13">
                  <c:v>1.2233714279685419</c:v>
                </c:pt>
                <c:pt idx="14">
                  <c:v>1.2081602004917313</c:v>
                </c:pt>
                <c:pt idx="15">
                  <c:v>1.1153939489343565</c:v>
                </c:pt>
                <c:pt idx="16">
                  <c:v>1.0760511813442926</c:v>
                </c:pt>
                <c:pt idx="17">
                  <c:v>1.032807889518677</c:v>
                </c:pt>
                <c:pt idx="18">
                  <c:v>1.0163347987265705</c:v>
                </c:pt>
                <c:pt idx="19">
                  <c:v>0.96600872408094329</c:v>
                </c:pt>
                <c:pt idx="20">
                  <c:v>0.96820601380727334</c:v>
                </c:pt>
                <c:pt idx="21">
                  <c:v>0.79898201706304672</c:v>
                </c:pt>
                <c:pt idx="22">
                  <c:v>0.7988121418015206</c:v>
                </c:pt>
                <c:pt idx="23">
                  <c:v>0.78391243041660641</c:v>
                </c:pt>
                <c:pt idx="24">
                  <c:v>0.75886420085410888</c:v>
                </c:pt>
                <c:pt idx="25">
                  <c:v>0.78806436013320413</c:v>
                </c:pt>
                <c:pt idx="26">
                  <c:v>0.76768594207415419</c:v>
                </c:pt>
                <c:pt idx="27">
                  <c:v>0.73437208802783382</c:v>
                </c:pt>
                <c:pt idx="28">
                  <c:v>0.71970269765815287</c:v>
                </c:pt>
                <c:pt idx="29">
                  <c:v>0.71488526092405913</c:v>
                </c:pt>
                <c:pt idx="30">
                  <c:v>0.74112000478251461</c:v>
                </c:pt>
                <c:pt idx="31">
                  <c:v>0.71271061057690666</c:v>
                </c:pt>
                <c:pt idx="32">
                  <c:v>0.73746135953364289</c:v>
                </c:pt>
                <c:pt idx="33">
                  <c:v>0.7055939941976983</c:v>
                </c:pt>
              </c:numCache>
            </c:numRef>
          </c:val>
          <c:extLst>
            <c:ext xmlns:c16="http://schemas.microsoft.com/office/drawing/2014/chart" uri="{C3380CC4-5D6E-409C-BE32-E72D297353CC}">
              <c16:uniqueId val="{00000006-6FDC-4FC8-8293-7ADBB9358410}"/>
            </c:ext>
          </c:extLst>
        </c:ser>
        <c:ser>
          <c:idx val="9"/>
          <c:order val="7"/>
          <c:tx>
            <c:strRef>
              <c:f>'Summary by Gas'!$A$138</c:f>
              <c:strCache>
                <c:ptCount val="1"/>
                <c:pt idx="0">
                  <c:v>Agriculture </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Gas'!$B$138:$AI$138</c:f>
              <c:numCache>
                <c:formatCode>0.0</c:formatCode>
                <c:ptCount val="34"/>
                <c:pt idx="0">
                  <c:v>0.19364782314664009</c:v>
                </c:pt>
                <c:pt idx="1">
                  <c:v>0.18812571027107258</c:v>
                </c:pt>
                <c:pt idx="2">
                  <c:v>0.18759709171804292</c:v>
                </c:pt>
                <c:pt idx="3">
                  <c:v>0.18727145241236376</c:v>
                </c:pt>
                <c:pt idx="4">
                  <c:v>0.17877038988922098</c:v>
                </c:pt>
                <c:pt idx="5">
                  <c:v>0.17279738371161454</c:v>
                </c:pt>
                <c:pt idx="6">
                  <c:v>0.16926969364229741</c:v>
                </c:pt>
                <c:pt idx="7">
                  <c:v>0.16853312219495115</c:v>
                </c:pt>
                <c:pt idx="8">
                  <c:v>0.17010291000362487</c:v>
                </c:pt>
                <c:pt idx="9">
                  <c:v>0.16670487110214308</c:v>
                </c:pt>
                <c:pt idx="10">
                  <c:v>0.15871038622302372</c:v>
                </c:pt>
                <c:pt idx="11">
                  <c:v>0.14015768081693583</c:v>
                </c:pt>
                <c:pt idx="12">
                  <c:v>0.14522906078860071</c:v>
                </c:pt>
                <c:pt idx="13">
                  <c:v>0.14038850041958489</c:v>
                </c:pt>
                <c:pt idx="14">
                  <c:v>0.13099524091882961</c:v>
                </c:pt>
                <c:pt idx="15">
                  <c:v>0.13063478456176927</c:v>
                </c:pt>
                <c:pt idx="16">
                  <c:v>0.12964078739050422</c:v>
                </c:pt>
                <c:pt idx="17">
                  <c:v>0.1256838715820035</c:v>
                </c:pt>
                <c:pt idx="18">
                  <c:v>0.12846411531279736</c:v>
                </c:pt>
                <c:pt idx="19">
                  <c:v>0.12505031022912991</c:v>
                </c:pt>
                <c:pt idx="20">
                  <c:v>0.12253199932295608</c:v>
                </c:pt>
                <c:pt idx="21">
                  <c:v>0.11387849088529813</c:v>
                </c:pt>
                <c:pt idx="22">
                  <c:v>0.11191890542121571</c:v>
                </c:pt>
                <c:pt idx="23">
                  <c:v>0.10998938859399592</c:v>
                </c:pt>
                <c:pt idx="24">
                  <c:v>0.10792816795588726</c:v>
                </c:pt>
                <c:pt idx="25">
                  <c:v>0.11042759993794329</c:v>
                </c:pt>
                <c:pt idx="26">
                  <c:v>0.1073975843088158</c:v>
                </c:pt>
                <c:pt idx="27">
                  <c:v>0.10114147517847505</c:v>
                </c:pt>
                <c:pt idx="28">
                  <c:v>0.10268287973416458</c:v>
                </c:pt>
                <c:pt idx="29">
                  <c:v>9.6619555634330737E-2</c:v>
                </c:pt>
                <c:pt idx="30">
                  <c:v>9.0958272544135604E-2</c:v>
                </c:pt>
                <c:pt idx="31">
                  <c:v>9.4423107879375121E-2</c:v>
                </c:pt>
                <c:pt idx="32">
                  <c:v>9.4577999180296704E-2</c:v>
                </c:pt>
                <c:pt idx="33">
                  <c:v>9.292292744602583E-2</c:v>
                </c:pt>
              </c:numCache>
            </c:numRef>
          </c:val>
          <c:extLst>
            <c:ext xmlns:c16="http://schemas.microsoft.com/office/drawing/2014/chart" uri="{C3380CC4-5D6E-409C-BE32-E72D297353CC}">
              <c16:uniqueId val="{00000007-6FDC-4FC8-8293-7ADBB9358410}"/>
            </c:ext>
          </c:extLst>
        </c:ser>
        <c:ser>
          <c:idx val="10"/>
          <c:order val="8"/>
          <c:tx>
            <c:strRef>
              <c:f>'Summary by Gas'!$A$139</c:f>
              <c:strCache>
                <c:ptCount val="1"/>
                <c:pt idx="0">
                  <c:v>Solid Waste (Landfill)</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Gas'!$B$139:$AI$139</c:f>
              <c:numCache>
                <c:formatCode>0.0</c:formatCode>
                <c:ptCount val="34"/>
                <c:pt idx="0">
                  <c:v>2.2601835020631844</c:v>
                </c:pt>
                <c:pt idx="1">
                  <c:v>2.3269894666793713</c:v>
                </c:pt>
                <c:pt idx="2">
                  <c:v>2.2262192096728053</c:v>
                </c:pt>
                <c:pt idx="3">
                  <c:v>2.1085588571841871</c:v>
                </c:pt>
                <c:pt idx="4">
                  <c:v>2.0924738403488514</c:v>
                </c:pt>
                <c:pt idx="5">
                  <c:v>2.103652464643941</c:v>
                </c:pt>
                <c:pt idx="6">
                  <c:v>1.7209673343795986</c:v>
                </c:pt>
                <c:pt idx="7">
                  <c:v>1.2539532356920571</c:v>
                </c:pt>
                <c:pt idx="8">
                  <c:v>1.1706352062367344</c:v>
                </c:pt>
                <c:pt idx="9">
                  <c:v>1.1778919344362087</c:v>
                </c:pt>
                <c:pt idx="10">
                  <c:v>0.80462307594293714</c:v>
                </c:pt>
                <c:pt idx="11">
                  <c:v>0.45974826949539027</c:v>
                </c:pt>
                <c:pt idx="12">
                  <c:v>0.83890015757074898</c:v>
                </c:pt>
                <c:pt idx="13">
                  <c:v>1.3235380540079063</c:v>
                </c:pt>
                <c:pt idx="14">
                  <c:v>1.135695870487013</c:v>
                </c:pt>
                <c:pt idx="15">
                  <c:v>1.1455078981811242</c:v>
                </c:pt>
                <c:pt idx="16">
                  <c:v>0.961441169770472</c:v>
                </c:pt>
                <c:pt idx="17">
                  <c:v>0.87961171315885189</c:v>
                </c:pt>
                <c:pt idx="18">
                  <c:v>0.88976236768751571</c:v>
                </c:pt>
                <c:pt idx="19">
                  <c:v>0.93481484197799958</c:v>
                </c:pt>
                <c:pt idx="20">
                  <c:v>0.44999630000000002</c:v>
                </c:pt>
                <c:pt idx="21">
                  <c:v>0.46108462380952381</c:v>
                </c:pt>
                <c:pt idx="22">
                  <c:v>0.50753907857142855</c:v>
                </c:pt>
                <c:pt idx="23">
                  <c:v>0.40803812317999999</c:v>
                </c:pt>
                <c:pt idx="24">
                  <c:v>0.3528539</c:v>
                </c:pt>
                <c:pt idx="25">
                  <c:v>0.3609733</c:v>
                </c:pt>
                <c:pt idx="26">
                  <c:v>0.32664349999999998</c:v>
                </c:pt>
                <c:pt idx="27">
                  <c:v>0.31026300000000001</c:v>
                </c:pt>
                <c:pt idx="28">
                  <c:v>0.304452</c:v>
                </c:pt>
                <c:pt idx="29">
                  <c:v>0.304172</c:v>
                </c:pt>
                <c:pt idx="30">
                  <c:v>0.27229040000000004</c:v>
                </c:pt>
                <c:pt idx="31">
                  <c:v>0.17716119999999999</c:v>
                </c:pt>
                <c:pt idx="32">
                  <c:v>0.1642256</c:v>
                </c:pt>
                <c:pt idx="33">
                  <c:v>0.14990019999999998</c:v>
                </c:pt>
              </c:numCache>
            </c:numRef>
          </c:val>
          <c:extLst>
            <c:ext xmlns:c16="http://schemas.microsoft.com/office/drawing/2014/chart" uri="{C3380CC4-5D6E-409C-BE32-E72D297353CC}">
              <c16:uniqueId val="{00000008-6FDC-4FC8-8293-7ADBB9358410}"/>
            </c:ext>
          </c:extLst>
        </c:ser>
        <c:ser>
          <c:idx val="6"/>
          <c:order val="9"/>
          <c:tx>
            <c:strRef>
              <c:f>'Summary by Gas'!$A$140</c:f>
              <c:strCache>
                <c:ptCount val="1"/>
                <c:pt idx="0">
                  <c:v>Wastewater</c:v>
                </c:pt>
              </c:strCache>
            </c:strRef>
          </c:tx>
          <c:spPr>
            <a:solidFill>
              <a:schemeClr val="accent3">
                <a:lumMod val="50000"/>
              </a:schemeClr>
            </a:solidFill>
          </c:spPr>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Gas'!$B$140:$AI$140</c:f>
              <c:numCache>
                <c:formatCode>0.0</c:formatCode>
                <c:ptCount val="34"/>
                <c:pt idx="0">
                  <c:v>0.48032331311249982</c:v>
                </c:pt>
                <c:pt idx="1">
                  <c:v>0.52022709604799988</c:v>
                </c:pt>
                <c:pt idx="2">
                  <c:v>0.51977803917599996</c:v>
                </c:pt>
                <c:pt idx="3">
                  <c:v>0.52128790401599989</c:v>
                </c:pt>
                <c:pt idx="4">
                  <c:v>0.52306297084799991</c:v>
                </c:pt>
                <c:pt idx="5">
                  <c:v>0.52574994054000013</c:v>
                </c:pt>
                <c:pt idx="6">
                  <c:v>0.52774962253199997</c:v>
                </c:pt>
                <c:pt idx="7">
                  <c:v>0.5303585406239999</c:v>
                </c:pt>
                <c:pt idx="8">
                  <c:v>0.5328675526679999</c:v>
                </c:pt>
                <c:pt idx="9">
                  <c:v>0.53553535635600003</c:v>
                </c:pt>
                <c:pt idx="10">
                  <c:v>0.2952990252043875</c:v>
                </c:pt>
                <c:pt idx="11">
                  <c:v>0.29737298357008318</c:v>
                </c:pt>
                <c:pt idx="12">
                  <c:v>0.29856920169024265</c:v>
                </c:pt>
                <c:pt idx="13">
                  <c:v>0.29895892170091132</c:v>
                </c:pt>
                <c:pt idx="14">
                  <c:v>0.29877206773366688</c:v>
                </c:pt>
                <c:pt idx="15">
                  <c:v>0.29863571786838483</c:v>
                </c:pt>
                <c:pt idx="16">
                  <c:v>0.30012054681658556</c:v>
                </c:pt>
                <c:pt idx="17">
                  <c:v>0.30164500012206114</c:v>
                </c:pt>
                <c:pt idx="18">
                  <c:v>0.30370150347378322</c:v>
                </c:pt>
                <c:pt idx="19">
                  <c:v>0.30602161692036522</c:v>
                </c:pt>
                <c:pt idx="20">
                  <c:v>0.30375472125424513</c:v>
                </c:pt>
                <c:pt idx="21">
                  <c:v>0.30537926427558215</c:v>
                </c:pt>
                <c:pt idx="22">
                  <c:v>0.30700527827738122</c:v>
                </c:pt>
                <c:pt idx="23">
                  <c:v>0.30863075151797859</c:v>
                </c:pt>
                <c:pt idx="24">
                  <c:v>0.30559615128146161</c:v>
                </c:pt>
                <c:pt idx="25">
                  <c:v>0.30719126821157544</c:v>
                </c:pt>
                <c:pt idx="26">
                  <c:v>0.30878831662112022</c:v>
                </c:pt>
                <c:pt idx="27">
                  <c:v>0.31038370272612481</c:v>
                </c:pt>
                <c:pt idx="28">
                  <c:v>0.31197918480969755</c:v>
                </c:pt>
                <c:pt idx="29">
                  <c:v>0.31357701518346753</c:v>
                </c:pt>
                <c:pt idx="30">
                  <c:v>0.32052787527845111</c:v>
                </c:pt>
                <c:pt idx="31">
                  <c:v>0.31884968772864064</c:v>
                </c:pt>
                <c:pt idx="32">
                  <c:v>0.31879191230340648</c:v>
                </c:pt>
                <c:pt idx="33">
                  <c:v>0.31959146188578752</c:v>
                </c:pt>
              </c:numCache>
            </c:numRef>
          </c:val>
          <c:extLst>
            <c:ext xmlns:c16="http://schemas.microsoft.com/office/drawing/2014/chart" uri="{C3380CC4-5D6E-409C-BE32-E72D297353CC}">
              <c16:uniqueId val="{00000000-C9D9-4417-B74D-5D44266846B5}"/>
            </c:ext>
          </c:extLst>
        </c:ser>
        <c:dLbls>
          <c:showLegendKey val="0"/>
          <c:showVal val="0"/>
          <c:showCatName val="0"/>
          <c:showSerName val="0"/>
          <c:showPercent val="0"/>
          <c:showBubbleSize val="0"/>
        </c:dLbls>
        <c:gapWidth val="150"/>
        <c:overlap val="100"/>
        <c:axId val="50740608"/>
        <c:axId val="50754688"/>
      </c:barChart>
      <c:catAx>
        <c:axId val="50740608"/>
        <c:scaling>
          <c:orientation val="minMax"/>
        </c:scaling>
        <c:delete val="0"/>
        <c:axPos val="b"/>
        <c:numFmt formatCode="General" sourceLinked="1"/>
        <c:majorTickMark val="out"/>
        <c:minorTickMark val="none"/>
        <c:tickLblPos val="nextTo"/>
        <c:txPr>
          <a:bodyPr rot="-540000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50754688"/>
        <c:crosses val="autoZero"/>
        <c:auto val="1"/>
        <c:lblAlgn val="ctr"/>
        <c:lblOffset val="100"/>
        <c:noMultiLvlLbl val="0"/>
      </c:catAx>
      <c:valAx>
        <c:axId val="50754688"/>
        <c:scaling>
          <c:orientation val="minMax"/>
          <c:max val="5.5"/>
        </c:scaling>
        <c:delete val="0"/>
        <c:axPos val="l"/>
        <c:majorGridlines/>
        <c:numFmt formatCode="0.0" sourceLinked="0"/>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50740608"/>
        <c:crosses val="autoZero"/>
        <c:crossBetween val="between"/>
        <c:majorUnit val="0.5"/>
      </c:valAx>
    </c:plotArea>
    <c:legend>
      <c:legendPos val="r"/>
      <c:layout>
        <c:manualLayout>
          <c:xMode val="edge"/>
          <c:yMode val="edge"/>
          <c:x val="0.66599261811023625"/>
          <c:y val="0.1044977098947089"/>
          <c:w val="0.33202678147560039"/>
          <c:h val="0.88730005700239067"/>
        </c:manualLayout>
      </c:layout>
      <c:overlay val="0"/>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Aptos" panose="020B0004020202020204" pitchFamily="34" charset="0"/>
              </a:rPr>
              <a:t>N</a:t>
            </a:r>
            <a:r>
              <a:rPr lang="en-US" sz="1800" b="1" i="0" u="none" strike="noStrike" baseline="-25000">
                <a:solidFill>
                  <a:srgbClr val="000000"/>
                </a:solidFill>
                <a:latin typeface="Aptos" panose="020B0004020202020204" pitchFamily="34" charset="0"/>
              </a:rPr>
              <a:t>2</a:t>
            </a:r>
            <a:r>
              <a:rPr lang="en-US" sz="1800" b="1" i="0" u="none" strike="noStrike" baseline="0">
                <a:solidFill>
                  <a:srgbClr val="000000"/>
                </a:solidFill>
                <a:latin typeface="Aptos" panose="020B0004020202020204" pitchFamily="34" charset="0"/>
              </a:rPr>
              <a:t>O (MMTCO</a:t>
            </a:r>
            <a:r>
              <a:rPr lang="en-US" sz="1800" b="1" i="0" u="none" strike="noStrike" baseline="-25000">
                <a:solidFill>
                  <a:srgbClr val="000000"/>
                </a:solidFill>
                <a:latin typeface="Aptos" panose="020B0004020202020204" pitchFamily="34" charset="0"/>
              </a:rPr>
              <a:t>2</a:t>
            </a:r>
            <a:r>
              <a:rPr lang="en-US" sz="1800" b="1" i="0" u="none" strike="noStrike" baseline="0">
                <a:solidFill>
                  <a:srgbClr val="000000"/>
                </a:solidFill>
                <a:latin typeface="Aptos" panose="020B0004020202020204" pitchFamily="34" charset="0"/>
              </a:rPr>
              <a:t>e)</a:t>
            </a:r>
          </a:p>
        </c:rich>
      </c:tx>
      <c:layout>
        <c:manualLayout>
          <c:xMode val="edge"/>
          <c:yMode val="edge"/>
          <c:x val="0.62731938257195929"/>
          <c:y val="3.0690730490371871E-2"/>
        </c:manualLayout>
      </c:layout>
      <c:overlay val="0"/>
    </c:title>
    <c:autoTitleDeleted val="0"/>
    <c:plotArea>
      <c:layout>
        <c:manualLayout>
          <c:layoutTarget val="inner"/>
          <c:xMode val="edge"/>
          <c:yMode val="edge"/>
          <c:x val="0.10161329833770773"/>
          <c:y val="4.8005316470990954E-2"/>
          <c:w val="0.52342730645099422"/>
          <c:h val="0.8357306203061251"/>
        </c:manualLayout>
      </c:layout>
      <c:barChart>
        <c:barDir val="col"/>
        <c:grouping val="stacked"/>
        <c:varyColors val="0"/>
        <c:ser>
          <c:idx val="1"/>
          <c:order val="0"/>
          <c:tx>
            <c:strRef>
              <c:f>'Summary by Gas'!$A$146</c:f>
              <c:strCache>
                <c:ptCount val="1"/>
                <c:pt idx="0">
                  <c:v>Residential</c:v>
                </c:pt>
              </c:strCache>
            </c:strRef>
          </c:tx>
          <c:spPr>
            <a:solidFill>
              <a:schemeClr val="accent2">
                <a:lumMod val="50000"/>
              </a:schemeClr>
            </a:solidFill>
          </c:spPr>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Gas'!$B$146:$AI$146</c:f>
              <c:numCache>
                <c:formatCode>0.0</c:formatCode>
                <c:ptCount val="34"/>
                <c:pt idx="0">
                  <c:v>4.5917890239999988E-2</c:v>
                </c:pt>
                <c:pt idx="1">
                  <c:v>4.5307249499999994E-2</c:v>
                </c:pt>
                <c:pt idx="2">
                  <c:v>4.971481551999999E-2</c:v>
                </c:pt>
                <c:pt idx="3">
                  <c:v>5.0596505139999984E-2</c:v>
                </c:pt>
                <c:pt idx="4">
                  <c:v>4.933890937999999E-2</c:v>
                </c:pt>
                <c:pt idx="5">
                  <c:v>4.6910510359999991E-2</c:v>
                </c:pt>
                <c:pt idx="6">
                  <c:v>4.6404565959999991E-2</c:v>
                </c:pt>
                <c:pt idx="7">
                  <c:v>3.975857591999999E-2</c:v>
                </c:pt>
                <c:pt idx="8">
                  <c:v>3.6152147139999993E-2</c:v>
                </c:pt>
                <c:pt idx="9">
                  <c:v>3.767082665999999E-2</c:v>
                </c:pt>
                <c:pt idx="10">
                  <c:v>4.1927270919999995E-2</c:v>
                </c:pt>
                <c:pt idx="11">
                  <c:v>4.0406633539999993E-2</c:v>
                </c:pt>
                <c:pt idx="12">
                  <c:v>4.0248267399999989E-2</c:v>
                </c:pt>
                <c:pt idx="13">
                  <c:v>4.0487528619999991E-2</c:v>
                </c:pt>
                <c:pt idx="14">
                  <c:v>3.8758350839999997E-2</c:v>
                </c:pt>
                <c:pt idx="15">
                  <c:v>2.7945306109999998E-2</c:v>
                </c:pt>
                <c:pt idx="16">
                  <c:v>2.4063201999999992E-2</c:v>
                </c:pt>
                <c:pt idx="17">
                  <c:v>2.4921111219999993E-2</c:v>
                </c:pt>
                <c:pt idx="18">
                  <c:v>2.5725596489999995E-2</c:v>
                </c:pt>
                <c:pt idx="19">
                  <c:v>3.1276224950000001E-2</c:v>
                </c:pt>
                <c:pt idx="20">
                  <c:v>3.2176330969999993E-2</c:v>
                </c:pt>
                <c:pt idx="21">
                  <c:v>3.1588153469999998E-2</c:v>
                </c:pt>
                <c:pt idx="22">
                  <c:v>2.6550082030000002E-2</c:v>
                </c:pt>
                <c:pt idx="23">
                  <c:v>3.0741426699999998E-2</c:v>
                </c:pt>
                <c:pt idx="24">
                  <c:v>3.3182119709999992E-2</c:v>
                </c:pt>
                <c:pt idx="25">
                  <c:v>3.1611381079999994E-2</c:v>
                </c:pt>
                <c:pt idx="26">
                  <c:v>2.5405911029999992E-2</c:v>
                </c:pt>
                <c:pt idx="27">
                  <c:v>2.6766516449999996E-2</c:v>
                </c:pt>
                <c:pt idx="28">
                  <c:v>2.8194602479999997E-2</c:v>
                </c:pt>
                <c:pt idx="29">
                  <c:v>3.0629457669999992E-2</c:v>
                </c:pt>
                <c:pt idx="30">
                  <c:v>2.7667661E-2</c:v>
                </c:pt>
                <c:pt idx="31">
                  <c:v>2.8653783229999993E-2</c:v>
                </c:pt>
                <c:pt idx="32">
                  <c:v>3.1573657259999999E-2</c:v>
                </c:pt>
                <c:pt idx="33">
                  <c:v>2.8928691209999993E-2</c:v>
                </c:pt>
              </c:numCache>
            </c:numRef>
          </c:val>
          <c:extLst>
            <c:ext xmlns:c16="http://schemas.microsoft.com/office/drawing/2014/chart" uri="{C3380CC4-5D6E-409C-BE32-E72D297353CC}">
              <c16:uniqueId val="{00000000-5ACD-432C-9621-D2F384CD7865}"/>
            </c:ext>
          </c:extLst>
        </c:ser>
        <c:ser>
          <c:idx val="2"/>
          <c:order val="1"/>
          <c:tx>
            <c:strRef>
              <c:f>'Summary by Gas'!$A$147</c:f>
              <c:strCache>
                <c:ptCount val="1"/>
                <c:pt idx="0">
                  <c:v>Commercial</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Gas'!$B$147:$AI$147</c:f>
              <c:numCache>
                <c:formatCode>0.0</c:formatCode>
                <c:ptCount val="34"/>
                <c:pt idx="0">
                  <c:v>1.7459787219999998E-2</c:v>
                </c:pt>
                <c:pt idx="1">
                  <c:v>1.8995366319999998E-2</c:v>
                </c:pt>
                <c:pt idx="2">
                  <c:v>1.7514631139999997E-2</c:v>
                </c:pt>
                <c:pt idx="3">
                  <c:v>1.5742106279999998E-2</c:v>
                </c:pt>
                <c:pt idx="4">
                  <c:v>1.5752128019999999E-2</c:v>
                </c:pt>
                <c:pt idx="5">
                  <c:v>1.6254365299999997E-2</c:v>
                </c:pt>
                <c:pt idx="6">
                  <c:v>1.5220326159999997E-2</c:v>
                </c:pt>
                <c:pt idx="7">
                  <c:v>1.4817111299999998E-2</c:v>
                </c:pt>
                <c:pt idx="8">
                  <c:v>1.2826024299999999E-2</c:v>
                </c:pt>
                <c:pt idx="9">
                  <c:v>1.0733101759999999E-2</c:v>
                </c:pt>
                <c:pt idx="10">
                  <c:v>1.3812663559999999E-2</c:v>
                </c:pt>
                <c:pt idx="11">
                  <c:v>1.1020263499999997E-2</c:v>
                </c:pt>
                <c:pt idx="12">
                  <c:v>1.1823573159999998E-2</c:v>
                </c:pt>
                <c:pt idx="13">
                  <c:v>1.4761280999999998E-2</c:v>
                </c:pt>
                <c:pt idx="14">
                  <c:v>1.5637451659999999E-2</c:v>
                </c:pt>
                <c:pt idx="15">
                  <c:v>1.292140729643314E-2</c:v>
                </c:pt>
                <c:pt idx="16">
                  <c:v>9.3378826831631689E-3</c:v>
                </c:pt>
                <c:pt idx="17">
                  <c:v>9.1655424515551063E-3</c:v>
                </c:pt>
                <c:pt idx="18">
                  <c:v>8.6231428131900486E-3</c:v>
                </c:pt>
                <c:pt idx="19">
                  <c:v>1.0064609999669535E-2</c:v>
                </c:pt>
                <c:pt idx="20">
                  <c:v>1.2078737435780551E-2</c:v>
                </c:pt>
                <c:pt idx="21">
                  <c:v>1.0330833415856321E-2</c:v>
                </c:pt>
                <c:pt idx="22">
                  <c:v>8.2301132604665796E-3</c:v>
                </c:pt>
                <c:pt idx="23">
                  <c:v>9.4496570871615178E-3</c:v>
                </c:pt>
                <c:pt idx="24">
                  <c:v>9.8799037263947957E-3</c:v>
                </c:pt>
                <c:pt idx="25">
                  <c:v>1.0922616042995017E-2</c:v>
                </c:pt>
                <c:pt idx="26">
                  <c:v>9.432159834761554E-3</c:v>
                </c:pt>
                <c:pt idx="27">
                  <c:v>9.857170416042272E-3</c:v>
                </c:pt>
                <c:pt idx="28">
                  <c:v>9.9701373256807571E-3</c:v>
                </c:pt>
                <c:pt idx="29">
                  <c:v>1.0336713708058012E-2</c:v>
                </c:pt>
                <c:pt idx="30">
                  <c:v>1.0156094930732416E-2</c:v>
                </c:pt>
                <c:pt idx="31">
                  <c:v>1.1140774630244162E-2</c:v>
                </c:pt>
                <c:pt idx="32">
                  <c:v>1.1470754813583783E-2</c:v>
                </c:pt>
                <c:pt idx="33">
                  <c:v>1.1167178066101699E-2</c:v>
                </c:pt>
              </c:numCache>
            </c:numRef>
          </c:val>
          <c:extLst>
            <c:ext xmlns:c16="http://schemas.microsoft.com/office/drawing/2014/chart" uri="{C3380CC4-5D6E-409C-BE32-E72D297353CC}">
              <c16:uniqueId val="{00000001-5ACD-432C-9621-D2F384CD7865}"/>
            </c:ext>
          </c:extLst>
        </c:ser>
        <c:ser>
          <c:idx val="3"/>
          <c:order val="2"/>
          <c:tx>
            <c:strRef>
              <c:f>'Summary by Gas'!$A$148</c:f>
              <c:strCache>
                <c:ptCount val="1"/>
                <c:pt idx="0">
                  <c:v>Industrial</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Gas'!$B$148:$AI$148</c:f>
              <c:numCache>
                <c:formatCode>0.0</c:formatCode>
                <c:ptCount val="34"/>
                <c:pt idx="0">
                  <c:v>1.4131042393452437E-2</c:v>
                </c:pt>
                <c:pt idx="1">
                  <c:v>1.1798719047612063E-2</c:v>
                </c:pt>
                <c:pt idx="2">
                  <c:v>1.3981592148201697E-2</c:v>
                </c:pt>
                <c:pt idx="3">
                  <c:v>1.4383048774321845E-2</c:v>
                </c:pt>
                <c:pt idx="4">
                  <c:v>1.3243259798291301E-2</c:v>
                </c:pt>
                <c:pt idx="5">
                  <c:v>1.2900280240725721E-2</c:v>
                </c:pt>
                <c:pt idx="6">
                  <c:v>1.2860582151410097E-2</c:v>
                </c:pt>
                <c:pt idx="7">
                  <c:v>1.3583672526152798E-2</c:v>
                </c:pt>
                <c:pt idx="8">
                  <c:v>1.1959765118774161E-2</c:v>
                </c:pt>
                <c:pt idx="9">
                  <c:v>1.2089303684920694E-2</c:v>
                </c:pt>
                <c:pt idx="10">
                  <c:v>1.2037363500875758E-2</c:v>
                </c:pt>
                <c:pt idx="11">
                  <c:v>1.2135733100120335E-2</c:v>
                </c:pt>
                <c:pt idx="12">
                  <c:v>9.6167330617361862E-3</c:v>
                </c:pt>
                <c:pt idx="13">
                  <c:v>9.022496454110825E-3</c:v>
                </c:pt>
                <c:pt idx="14">
                  <c:v>9.0945846823994956E-3</c:v>
                </c:pt>
                <c:pt idx="15">
                  <c:v>9.4306639920072582E-3</c:v>
                </c:pt>
                <c:pt idx="16">
                  <c:v>9.4533686237641239E-3</c:v>
                </c:pt>
                <c:pt idx="17">
                  <c:v>9.1393633571863944E-3</c:v>
                </c:pt>
                <c:pt idx="18">
                  <c:v>8.5473600798076348E-3</c:v>
                </c:pt>
                <c:pt idx="19">
                  <c:v>6.6950594278552458E-3</c:v>
                </c:pt>
                <c:pt idx="20">
                  <c:v>9.8233150264161254E-3</c:v>
                </c:pt>
                <c:pt idx="21">
                  <c:v>1.2090165123953049E-2</c:v>
                </c:pt>
                <c:pt idx="22">
                  <c:v>1.1250646045110993E-2</c:v>
                </c:pt>
                <c:pt idx="23">
                  <c:v>1.1294841342125054E-2</c:v>
                </c:pt>
                <c:pt idx="24">
                  <c:v>1.093149803757865E-2</c:v>
                </c:pt>
                <c:pt idx="25">
                  <c:v>1.0991207329667489E-2</c:v>
                </c:pt>
                <c:pt idx="26">
                  <c:v>1.0392812129476485E-2</c:v>
                </c:pt>
                <c:pt idx="27">
                  <c:v>6.0226165029398119E-3</c:v>
                </c:pt>
                <c:pt idx="28">
                  <c:v>5.9091424146074734E-3</c:v>
                </c:pt>
                <c:pt idx="29">
                  <c:v>5.9493758465305555E-3</c:v>
                </c:pt>
                <c:pt idx="30">
                  <c:v>5.7599800512178742E-3</c:v>
                </c:pt>
                <c:pt idx="31">
                  <c:v>5.9459999147150298E-3</c:v>
                </c:pt>
                <c:pt idx="32">
                  <c:v>6.4566722812285137E-3</c:v>
                </c:pt>
                <c:pt idx="33">
                  <c:v>6.3736271006569452E-3</c:v>
                </c:pt>
              </c:numCache>
            </c:numRef>
          </c:val>
          <c:extLst>
            <c:ext xmlns:c16="http://schemas.microsoft.com/office/drawing/2014/chart" uri="{C3380CC4-5D6E-409C-BE32-E72D297353CC}">
              <c16:uniqueId val="{00000002-5ACD-432C-9621-D2F384CD7865}"/>
            </c:ext>
          </c:extLst>
        </c:ser>
        <c:ser>
          <c:idx val="4"/>
          <c:order val="3"/>
          <c:tx>
            <c:strRef>
              <c:f>'Summary by Gas'!$A$149</c:f>
              <c:strCache>
                <c:ptCount val="1"/>
                <c:pt idx="0">
                  <c:v>Electric Power</c:v>
                </c:pt>
              </c:strCache>
            </c:strRef>
          </c:tx>
          <c:spPr>
            <a:solidFill>
              <a:schemeClr val="accent5">
                <a:lumMod val="75000"/>
              </a:schemeClr>
            </a:solidFill>
          </c:spPr>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Gas'!$B$149:$AI$149</c:f>
              <c:numCache>
                <c:formatCode>0.0</c:formatCode>
                <c:ptCount val="34"/>
                <c:pt idx="0">
                  <c:v>7.8214987199999988E-2</c:v>
                </c:pt>
                <c:pt idx="1">
                  <c:v>8.0808928199999977E-2</c:v>
                </c:pt>
                <c:pt idx="2">
                  <c:v>7.5352592899999987E-2</c:v>
                </c:pt>
                <c:pt idx="3">
                  <c:v>6.7173708740000004E-2</c:v>
                </c:pt>
                <c:pt idx="4">
                  <c:v>6.6989053039999982E-2</c:v>
                </c:pt>
                <c:pt idx="5">
                  <c:v>6.3268731639999992E-2</c:v>
                </c:pt>
                <c:pt idx="6">
                  <c:v>6.6510543264999999E-2</c:v>
                </c:pt>
                <c:pt idx="7">
                  <c:v>8.0656856415999997E-2</c:v>
                </c:pt>
                <c:pt idx="8">
                  <c:v>8.176536438519999E-2</c:v>
                </c:pt>
                <c:pt idx="9">
                  <c:v>7.659398239189999E-2</c:v>
                </c:pt>
                <c:pt idx="10">
                  <c:v>7.3115124431899992E-2</c:v>
                </c:pt>
                <c:pt idx="11">
                  <c:v>7.1260801298599977E-2</c:v>
                </c:pt>
                <c:pt idx="12">
                  <c:v>7.1432957686600004E-2</c:v>
                </c:pt>
                <c:pt idx="13">
                  <c:v>7.1238774300800001E-2</c:v>
                </c:pt>
                <c:pt idx="14">
                  <c:v>6.80834552984E-2</c:v>
                </c:pt>
                <c:pt idx="15">
                  <c:v>7.3876555093999985E-2</c:v>
                </c:pt>
                <c:pt idx="16">
                  <c:v>6.3625319929999993E-2</c:v>
                </c:pt>
                <c:pt idx="17">
                  <c:v>6.8698711968999987E-2</c:v>
                </c:pt>
                <c:pt idx="18">
                  <c:v>6.0880237501999994E-2</c:v>
                </c:pt>
                <c:pt idx="19">
                  <c:v>5.1477328801800004E-2</c:v>
                </c:pt>
                <c:pt idx="20">
                  <c:v>4.7443401201399997E-2</c:v>
                </c:pt>
                <c:pt idx="21">
                  <c:v>2.9138240131400001E-2</c:v>
                </c:pt>
                <c:pt idx="22">
                  <c:v>2.0343217071799997E-2</c:v>
                </c:pt>
                <c:pt idx="23">
                  <c:v>2.8207791810999996E-2</c:v>
                </c:pt>
                <c:pt idx="24">
                  <c:v>2.4583695564599998E-2</c:v>
                </c:pt>
                <c:pt idx="25">
                  <c:v>2.1759399044799996E-2</c:v>
                </c:pt>
                <c:pt idx="26">
                  <c:v>2.0412107609199995E-2</c:v>
                </c:pt>
                <c:pt idx="27">
                  <c:v>1.6455033940599998E-2</c:v>
                </c:pt>
                <c:pt idx="28">
                  <c:v>1.0484336574999999E-2</c:v>
                </c:pt>
                <c:pt idx="29">
                  <c:v>8.7161736899999988E-3</c:v>
                </c:pt>
                <c:pt idx="30">
                  <c:v>8.660073372199999E-3</c:v>
                </c:pt>
                <c:pt idx="31">
                  <c:v>7.8466080211999998E-3</c:v>
                </c:pt>
                <c:pt idx="32">
                  <c:v>7.7702445079999988E-3</c:v>
                </c:pt>
                <c:pt idx="33">
                  <c:v>5.9874058083999992E-3</c:v>
                </c:pt>
              </c:numCache>
            </c:numRef>
          </c:val>
          <c:extLst>
            <c:ext xmlns:c16="http://schemas.microsoft.com/office/drawing/2014/chart" uri="{C3380CC4-5D6E-409C-BE32-E72D297353CC}">
              <c16:uniqueId val="{00000003-5ACD-432C-9621-D2F384CD7865}"/>
            </c:ext>
          </c:extLst>
        </c:ser>
        <c:ser>
          <c:idx val="5"/>
          <c:order val="4"/>
          <c:tx>
            <c:strRef>
              <c:f>'Summary by Gas'!$A$151</c:f>
              <c:strCache>
                <c:ptCount val="1"/>
                <c:pt idx="0">
                  <c:v>Municipal Solid Waste Combustion (Electric and Industrial)</c:v>
                </c:pt>
              </c:strCache>
            </c:strRef>
          </c:tx>
          <c:spPr>
            <a:solidFill>
              <a:schemeClr val="accent6">
                <a:lumMod val="50000"/>
              </a:schemeClr>
            </a:solidFill>
          </c:spPr>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Gas'!$B$151:$AI$151</c:f>
              <c:numCache>
                <c:formatCode>0.0</c:formatCode>
                <c:ptCount val="34"/>
                <c:pt idx="0">
                  <c:v>3.5949401560400891E-2</c:v>
                </c:pt>
                <c:pt idx="1">
                  <c:v>3.7605465119051149E-2</c:v>
                </c:pt>
                <c:pt idx="2">
                  <c:v>3.9709178233937471E-2</c:v>
                </c:pt>
                <c:pt idx="3">
                  <c:v>4.0948046013550017E-2</c:v>
                </c:pt>
                <c:pt idx="4">
                  <c:v>4.2963787706839833E-2</c:v>
                </c:pt>
                <c:pt idx="5">
                  <c:v>4.1792313742675856E-2</c:v>
                </c:pt>
                <c:pt idx="6">
                  <c:v>4.4292444804419108E-2</c:v>
                </c:pt>
                <c:pt idx="7">
                  <c:v>4.3567908382801973E-2</c:v>
                </c:pt>
                <c:pt idx="8">
                  <c:v>4.190614094495744E-2</c:v>
                </c:pt>
                <c:pt idx="9">
                  <c:v>4.0574837828144902E-2</c:v>
                </c:pt>
                <c:pt idx="10">
                  <c:v>4.2149026017334661E-2</c:v>
                </c:pt>
                <c:pt idx="11">
                  <c:v>4.3154268603580452E-2</c:v>
                </c:pt>
                <c:pt idx="12">
                  <c:v>4.1921690860370543E-2</c:v>
                </c:pt>
                <c:pt idx="13">
                  <c:v>4.2469246894513861E-2</c:v>
                </c:pt>
                <c:pt idx="14">
                  <c:v>4.1987449044720411E-2</c:v>
                </c:pt>
                <c:pt idx="15">
                  <c:v>4.2377589866921063E-2</c:v>
                </c:pt>
                <c:pt idx="16">
                  <c:v>4.333280256368531E-2</c:v>
                </c:pt>
                <c:pt idx="17">
                  <c:v>4.1578456784550397E-2</c:v>
                </c:pt>
                <c:pt idx="18">
                  <c:v>4.5059552682703376E-2</c:v>
                </c:pt>
                <c:pt idx="19">
                  <c:v>4.4560465072743506E-2</c:v>
                </c:pt>
                <c:pt idx="20">
                  <c:v>3.5849970000000002E-2</c:v>
                </c:pt>
                <c:pt idx="21">
                  <c:v>3.6069299999999999E-2</c:v>
                </c:pt>
                <c:pt idx="22">
                  <c:v>3.6054300000000004E-2</c:v>
                </c:pt>
                <c:pt idx="23">
                  <c:v>3.9425384000000008E-2</c:v>
                </c:pt>
                <c:pt idx="24">
                  <c:v>3.9561898000000005E-2</c:v>
                </c:pt>
                <c:pt idx="25">
                  <c:v>3.9070508000000004E-2</c:v>
                </c:pt>
                <c:pt idx="26">
                  <c:v>3.8712384000000002E-2</c:v>
                </c:pt>
                <c:pt idx="27">
                  <c:v>3.8581198000000004E-2</c:v>
                </c:pt>
                <c:pt idx="28">
                  <c:v>3.8857443999999998E-2</c:v>
                </c:pt>
                <c:pt idx="29">
                  <c:v>3.7999893999999992E-2</c:v>
                </c:pt>
                <c:pt idx="30">
                  <c:v>3.5801962E-2</c:v>
                </c:pt>
                <c:pt idx="31">
                  <c:v>3.8258695999999995E-2</c:v>
                </c:pt>
                <c:pt idx="32">
                  <c:v>3.7439196000000001E-2</c:v>
                </c:pt>
                <c:pt idx="33">
                  <c:v>3.7713092000000004E-2</c:v>
                </c:pt>
              </c:numCache>
            </c:numRef>
          </c:val>
          <c:extLst>
            <c:ext xmlns:c16="http://schemas.microsoft.com/office/drawing/2014/chart" uri="{C3380CC4-5D6E-409C-BE32-E72D297353CC}">
              <c16:uniqueId val="{00000004-5ACD-432C-9621-D2F384CD7865}"/>
            </c:ext>
          </c:extLst>
        </c:ser>
        <c:ser>
          <c:idx val="6"/>
          <c:order val="5"/>
          <c:tx>
            <c:strRef>
              <c:f>'Summary by Gas'!$A$152</c:f>
              <c:strCache>
                <c:ptCount val="1"/>
                <c:pt idx="0">
                  <c:v>Solid Waste (Landfill)</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Gas'!$C$152:$AI$152</c:f>
              <c:numCache>
                <c:formatCode>0.0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1.8445E-3</c:v>
                </c:pt>
                <c:pt idx="20">
                  <c:v>2.878E-4</c:v>
                </c:pt>
                <c:pt idx="21">
                  <c:v>3.658E-4</c:v>
                </c:pt>
                <c:pt idx="22">
                  <c:v>3.6720938000000001E-4</c:v>
                </c:pt>
                <c:pt idx="23">
                  <c:v>3.2930000000000004E-4</c:v>
                </c:pt>
                <c:pt idx="24">
                  <c:v>8.7599999999999988E-5</c:v>
                </c:pt>
                <c:pt idx="25">
                  <c:v>1.1129999999999999E-4</c:v>
                </c:pt>
                <c:pt idx="26">
                  <c:v>1.0640000000000001E-4</c:v>
                </c:pt>
                <c:pt idx="27">
                  <c:v>1.03E-4</c:v>
                </c:pt>
                <c:pt idx="28">
                  <c:v>9.3999999999999994E-5</c:v>
                </c:pt>
                <c:pt idx="29">
                  <c:v>1.0180000000000001E-4</c:v>
                </c:pt>
                <c:pt idx="30">
                  <c:v>1.015E-4</c:v>
                </c:pt>
                <c:pt idx="31">
                  <c:v>9.5199999999999997E-5</c:v>
                </c:pt>
                <c:pt idx="32">
                  <c:v>8.7300000000000008E-5</c:v>
                </c:pt>
              </c:numCache>
            </c:numRef>
          </c:val>
          <c:extLst>
            <c:ext xmlns:c16="http://schemas.microsoft.com/office/drawing/2014/chart" uri="{C3380CC4-5D6E-409C-BE32-E72D297353CC}">
              <c16:uniqueId val="{00000005-5ACD-432C-9621-D2F384CD7865}"/>
            </c:ext>
          </c:extLst>
        </c:ser>
        <c:ser>
          <c:idx val="8"/>
          <c:order val="6"/>
          <c:tx>
            <c:strRef>
              <c:f>'Summary by Gas'!$A$153</c:f>
              <c:strCache>
                <c:ptCount val="1"/>
                <c:pt idx="0">
                  <c:v>Transportation</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Gas'!$B$153:$AI$153</c:f>
              <c:numCache>
                <c:formatCode>0.0</c:formatCode>
                <c:ptCount val="34"/>
                <c:pt idx="0">
                  <c:v>0.94042969926652131</c:v>
                </c:pt>
                <c:pt idx="1">
                  <c:v>0.95718070417084877</c:v>
                </c:pt>
                <c:pt idx="2">
                  <c:v>0.99349981768698803</c:v>
                </c:pt>
                <c:pt idx="3">
                  <c:v>0.97528365828476216</c:v>
                </c:pt>
                <c:pt idx="4">
                  <c:v>1.0261439910709922</c:v>
                </c:pt>
                <c:pt idx="5">
                  <c:v>1.0523225444835502</c:v>
                </c:pt>
                <c:pt idx="6">
                  <c:v>1.1000740972505845</c:v>
                </c:pt>
                <c:pt idx="7">
                  <c:v>1.0983093276268416</c:v>
                </c:pt>
                <c:pt idx="8">
                  <c:v>1.1024305601051254</c:v>
                </c:pt>
                <c:pt idx="9">
                  <c:v>1.0368495369478887</c:v>
                </c:pt>
                <c:pt idx="10">
                  <c:v>1.0108412164547531</c:v>
                </c:pt>
                <c:pt idx="11">
                  <c:v>0.96294238079410477</c:v>
                </c:pt>
                <c:pt idx="12">
                  <c:v>0.90512651620790219</c:v>
                </c:pt>
                <c:pt idx="13">
                  <c:v>0.86561918201869115</c:v>
                </c:pt>
                <c:pt idx="14">
                  <c:v>0.81110821118726084</c:v>
                </c:pt>
                <c:pt idx="15">
                  <c:v>0.76483095102972021</c:v>
                </c:pt>
                <c:pt idx="16">
                  <c:v>0.75466183810210707</c:v>
                </c:pt>
                <c:pt idx="17">
                  <c:v>0.65890082343545109</c:v>
                </c:pt>
                <c:pt idx="18">
                  <c:v>0.61871786389594752</c:v>
                </c:pt>
                <c:pt idx="19">
                  <c:v>0.55308303379694479</c:v>
                </c:pt>
                <c:pt idx="20">
                  <c:v>0.5371799726292481</c:v>
                </c:pt>
                <c:pt idx="21">
                  <c:v>0.52847404759398531</c:v>
                </c:pt>
                <c:pt idx="22">
                  <c:v>0.47859412030416021</c:v>
                </c:pt>
                <c:pt idx="23">
                  <c:v>0.45466121454592706</c:v>
                </c:pt>
                <c:pt idx="24">
                  <c:v>0.42618783820849893</c:v>
                </c:pt>
                <c:pt idx="25">
                  <c:v>0.3570635060760049</c:v>
                </c:pt>
                <c:pt idx="26">
                  <c:v>0.34522303921971254</c:v>
                </c:pt>
                <c:pt idx="27">
                  <c:v>0.3208044301971345</c:v>
                </c:pt>
                <c:pt idx="28">
                  <c:v>0.29088756805459126</c:v>
                </c:pt>
                <c:pt idx="29">
                  <c:v>0.3252485601887169</c:v>
                </c:pt>
                <c:pt idx="30">
                  <c:v>0.2723925328301624</c:v>
                </c:pt>
                <c:pt idx="31">
                  <c:v>0.27442207026690141</c:v>
                </c:pt>
                <c:pt idx="32">
                  <c:v>0.289969273264159</c:v>
                </c:pt>
                <c:pt idx="33">
                  <c:v>0.2797398583008387</c:v>
                </c:pt>
              </c:numCache>
            </c:numRef>
          </c:val>
          <c:extLst>
            <c:ext xmlns:c16="http://schemas.microsoft.com/office/drawing/2014/chart" uri="{C3380CC4-5D6E-409C-BE32-E72D297353CC}">
              <c16:uniqueId val="{00000006-5ACD-432C-9621-D2F384CD7865}"/>
            </c:ext>
          </c:extLst>
        </c:ser>
        <c:ser>
          <c:idx val="0"/>
          <c:order val="7"/>
          <c:tx>
            <c:strRef>
              <c:f>'Summary by Gas'!$A$154</c:f>
              <c:strCache>
                <c:ptCount val="1"/>
                <c:pt idx="0">
                  <c:v>Agriculture</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Gas'!$B$154:$AI$154</c:f>
              <c:numCache>
                <c:formatCode>0.0</c:formatCode>
                <c:ptCount val="34"/>
                <c:pt idx="0">
                  <c:v>0.25245294585933248</c:v>
                </c:pt>
                <c:pt idx="1">
                  <c:v>0.2276748834885759</c:v>
                </c:pt>
                <c:pt idx="2">
                  <c:v>0.23251116430206367</c:v>
                </c:pt>
                <c:pt idx="3">
                  <c:v>0.21797474482989096</c:v>
                </c:pt>
                <c:pt idx="4">
                  <c:v>0.23136492259910554</c:v>
                </c:pt>
                <c:pt idx="5">
                  <c:v>0.22813769186366192</c:v>
                </c:pt>
                <c:pt idx="6">
                  <c:v>0.21303085362467608</c:v>
                </c:pt>
                <c:pt idx="7">
                  <c:v>0.210293201967784</c:v>
                </c:pt>
                <c:pt idx="8">
                  <c:v>0.21172184433918079</c:v>
                </c:pt>
                <c:pt idx="9">
                  <c:v>0.21940179030256191</c:v>
                </c:pt>
                <c:pt idx="10">
                  <c:v>0.21538890027668642</c:v>
                </c:pt>
                <c:pt idx="11">
                  <c:v>0.2084492716434615</c:v>
                </c:pt>
                <c:pt idx="12">
                  <c:v>0.22582514717464938</c:v>
                </c:pt>
                <c:pt idx="13">
                  <c:v>0.20538298886844275</c:v>
                </c:pt>
                <c:pt idx="14">
                  <c:v>0.20272013437271591</c:v>
                </c:pt>
                <c:pt idx="15">
                  <c:v>0.20695385928991772</c:v>
                </c:pt>
                <c:pt idx="16">
                  <c:v>0.20457148903786743</c:v>
                </c:pt>
                <c:pt idx="17">
                  <c:v>0.18867225143689445</c:v>
                </c:pt>
                <c:pt idx="18">
                  <c:v>0.19512210080668033</c:v>
                </c:pt>
                <c:pt idx="19">
                  <c:v>0.18727028804429899</c:v>
                </c:pt>
                <c:pt idx="20">
                  <c:v>0.18477690278487491</c:v>
                </c:pt>
                <c:pt idx="21">
                  <c:v>0.18945896686949254</c:v>
                </c:pt>
                <c:pt idx="22">
                  <c:v>0.18363894609438997</c:v>
                </c:pt>
                <c:pt idx="23">
                  <c:v>0.18271780533323154</c:v>
                </c:pt>
                <c:pt idx="24">
                  <c:v>0.17226162877818765</c:v>
                </c:pt>
                <c:pt idx="25">
                  <c:v>0.17906828842750927</c:v>
                </c:pt>
                <c:pt idx="26">
                  <c:v>0.15889213981986369</c:v>
                </c:pt>
                <c:pt idx="27">
                  <c:v>0.18359938835078363</c:v>
                </c:pt>
                <c:pt idx="28">
                  <c:v>0.16962973941650661</c:v>
                </c:pt>
                <c:pt idx="29">
                  <c:v>0.16690409531299946</c:v>
                </c:pt>
                <c:pt idx="30">
                  <c:v>0.16167055319027038</c:v>
                </c:pt>
                <c:pt idx="31">
                  <c:v>0.16414901146076524</c:v>
                </c:pt>
                <c:pt idx="32">
                  <c:v>0.16181899238413336</c:v>
                </c:pt>
                <c:pt idx="33">
                  <c:v>0.16302593314879782</c:v>
                </c:pt>
              </c:numCache>
            </c:numRef>
          </c:val>
          <c:extLst>
            <c:ext xmlns:c16="http://schemas.microsoft.com/office/drawing/2014/chart" uri="{C3380CC4-5D6E-409C-BE32-E72D297353CC}">
              <c16:uniqueId val="{00000007-5ACD-432C-9621-D2F384CD7865}"/>
            </c:ext>
          </c:extLst>
        </c:ser>
        <c:ser>
          <c:idx val="10"/>
          <c:order val="8"/>
          <c:tx>
            <c:strRef>
              <c:f>'Summary by Gas'!$A$155</c:f>
              <c:strCache>
                <c:ptCount val="1"/>
                <c:pt idx="0">
                  <c:v>Wastewater</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Gas'!$B$155:$AI$155</c:f>
              <c:numCache>
                <c:formatCode>0.0</c:formatCode>
                <c:ptCount val="34"/>
                <c:pt idx="0">
                  <c:v>0.18122741030105799</c:v>
                </c:pt>
                <c:pt idx="1">
                  <c:v>0.13685131582196558</c:v>
                </c:pt>
                <c:pt idx="2">
                  <c:v>0.13789038401122017</c:v>
                </c:pt>
                <c:pt idx="3">
                  <c:v>0.13814161801325001</c:v>
                </c:pt>
                <c:pt idx="4">
                  <c:v>0.1407904719956673</c:v>
                </c:pt>
                <c:pt idx="5">
                  <c:v>0.14047200821907316</c:v>
                </c:pt>
                <c:pt idx="6">
                  <c:v>0.14201733345614834</c:v>
                </c:pt>
                <c:pt idx="7">
                  <c:v>0.14154358980099166</c:v>
                </c:pt>
                <c:pt idx="8">
                  <c:v>0.1435482760129069</c:v>
                </c:pt>
                <c:pt idx="9">
                  <c:v>0.14669867857732383</c:v>
                </c:pt>
                <c:pt idx="10">
                  <c:v>0.13724669762543037</c:v>
                </c:pt>
                <c:pt idx="11">
                  <c:v>0.14031091803426723</c:v>
                </c:pt>
                <c:pt idx="12">
                  <c:v>0.13750133296223838</c:v>
                </c:pt>
                <c:pt idx="13">
                  <c:v>0.13768081236147198</c:v>
                </c:pt>
                <c:pt idx="14">
                  <c:v>0.13886087030184319</c:v>
                </c:pt>
                <c:pt idx="15">
                  <c:v>0.15201657574147243</c:v>
                </c:pt>
                <c:pt idx="16">
                  <c:v>0.14210558742539106</c:v>
                </c:pt>
                <c:pt idx="17">
                  <c:v>0.1432213562596332</c:v>
                </c:pt>
                <c:pt idx="18">
                  <c:v>0.13989674780201619</c:v>
                </c:pt>
                <c:pt idx="19">
                  <c:v>0.14182735159591114</c:v>
                </c:pt>
                <c:pt idx="20">
                  <c:v>0.10692658875003828</c:v>
                </c:pt>
                <c:pt idx="21">
                  <c:v>0.11053732814670433</c:v>
                </c:pt>
                <c:pt idx="22">
                  <c:v>0.10722656031356345</c:v>
                </c:pt>
                <c:pt idx="23">
                  <c:v>0.10783184158392389</c:v>
                </c:pt>
                <c:pt idx="24">
                  <c:v>0.11060562483599516</c:v>
                </c:pt>
                <c:pt idx="25">
                  <c:v>0.11151127934726791</c:v>
                </c:pt>
                <c:pt idx="26">
                  <c:v>0.11246571472071676</c:v>
                </c:pt>
                <c:pt idx="27">
                  <c:v>0.1013752239134358</c:v>
                </c:pt>
                <c:pt idx="28">
                  <c:v>0.10358943539630652</c:v>
                </c:pt>
                <c:pt idx="29">
                  <c:v>0.1039177477908225</c:v>
                </c:pt>
                <c:pt idx="30">
                  <c:v>0.1043386834888289</c:v>
                </c:pt>
                <c:pt idx="31">
                  <c:v>0.10052830938235693</c:v>
                </c:pt>
                <c:pt idx="32">
                  <c:v>0.10048056851063271</c:v>
                </c:pt>
                <c:pt idx="33">
                  <c:v>0.10075618833430272</c:v>
                </c:pt>
              </c:numCache>
            </c:numRef>
          </c:val>
          <c:extLst>
            <c:ext xmlns:c16="http://schemas.microsoft.com/office/drawing/2014/chart" uri="{C3380CC4-5D6E-409C-BE32-E72D297353CC}">
              <c16:uniqueId val="{00000008-5ACD-432C-9621-D2F384CD7865}"/>
            </c:ext>
          </c:extLst>
        </c:ser>
        <c:dLbls>
          <c:showLegendKey val="0"/>
          <c:showVal val="0"/>
          <c:showCatName val="0"/>
          <c:showSerName val="0"/>
          <c:showPercent val="0"/>
          <c:showBubbleSize val="0"/>
        </c:dLbls>
        <c:gapWidth val="150"/>
        <c:overlap val="100"/>
        <c:axId val="50809856"/>
        <c:axId val="50823936"/>
      </c:barChart>
      <c:catAx>
        <c:axId val="50809856"/>
        <c:scaling>
          <c:orientation val="minMax"/>
        </c:scaling>
        <c:delete val="0"/>
        <c:axPos val="b"/>
        <c:numFmt formatCode="General" sourceLinked="1"/>
        <c:majorTickMark val="out"/>
        <c:minorTickMark val="none"/>
        <c:tickLblPos val="nextTo"/>
        <c:txPr>
          <a:bodyPr rot="-540000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50823936"/>
        <c:crosses val="autoZero"/>
        <c:auto val="1"/>
        <c:lblAlgn val="ctr"/>
        <c:lblOffset val="100"/>
        <c:noMultiLvlLbl val="0"/>
      </c:catAx>
      <c:valAx>
        <c:axId val="50823936"/>
        <c:scaling>
          <c:orientation val="minMax"/>
        </c:scaling>
        <c:delete val="0"/>
        <c:axPos val="l"/>
        <c:majorGridlines/>
        <c:numFmt formatCode="0.0" sourceLinked="1"/>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50809856"/>
        <c:crosses val="autoZero"/>
        <c:crossBetween val="between"/>
      </c:valAx>
    </c:plotArea>
    <c:legend>
      <c:legendPos val="r"/>
      <c:layout>
        <c:manualLayout>
          <c:xMode val="edge"/>
          <c:yMode val="edge"/>
          <c:x val="0.6648514372965737"/>
          <c:y val="9.8297321897214018E-2"/>
          <c:w val="0.3320263672677658"/>
          <c:h val="0.90170267810278604"/>
        </c:manualLayout>
      </c:layout>
      <c:overlay val="0"/>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ptos" panose="020B0004020202020204" pitchFamily="34" charset="0"/>
                <a:ea typeface="Calibri"/>
                <a:cs typeface="Calibri"/>
              </a:defRPr>
            </a:pPr>
            <a:r>
              <a:rPr lang="en-US" sz="1800" b="1" i="0" u="none" strike="noStrike" baseline="0">
                <a:solidFill>
                  <a:srgbClr val="000000"/>
                </a:solidFill>
                <a:latin typeface="Aptos" panose="020B0004020202020204" pitchFamily="34" charset="0"/>
              </a:rPr>
              <a:t>SF</a:t>
            </a:r>
            <a:r>
              <a:rPr lang="en-US" sz="1800" b="1" i="0" u="none" strike="noStrike" baseline="-25000">
                <a:solidFill>
                  <a:srgbClr val="000000"/>
                </a:solidFill>
                <a:latin typeface="Aptos" panose="020B0004020202020204" pitchFamily="34" charset="0"/>
              </a:rPr>
              <a:t>6</a:t>
            </a:r>
            <a:r>
              <a:rPr lang="en-US" sz="1800" b="1" i="0" u="none" strike="noStrike" baseline="0">
                <a:solidFill>
                  <a:srgbClr val="000000"/>
                </a:solidFill>
                <a:latin typeface="Aptos" panose="020B0004020202020204" pitchFamily="34" charset="0"/>
              </a:rPr>
              <a:t> and </a:t>
            </a:r>
          </a:p>
          <a:p>
            <a:pPr>
              <a:defRPr sz="1000" b="0" i="0" u="none" strike="noStrike" baseline="0">
                <a:solidFill>
                  <a:srgbClr val="000000"/>
                </a:solidFill>
                <a:latin typeface="Aptos" panose="020B0004020202020204" pitchFamily="34" charset="0"/>
                <a:ea typeface="Calibri"/>
                <a:cs typeface="Calibri"/>
              </a:defRPr>
            </a:pPr>
            <a:r>
              <a:rPr lang="en-US" sz="1800" b="1" i="0" u="none" strike="noStrike" baseline="0">
                <a:solidFill>
                  <a:srgbClr val="000000"/>
                </a:solidFill>
                <a:latin typeface="Aptos" panose="020B0004020202020204" pitchFamily="34" charset="0"/>
              </a:rPr>
              <a:t>Other GHGs</a:t>
            </a:r>
          </a:p>
          <a:p>
            <a:pPr>
              <a:defRPr sz="1000" b="0" i="0" u="none" strike="noStrike" baseline="0">
                <a:solidFill>
                  <a:srgbClr val="000000"/>
                </a:solidFill>
                <a:latin typeface="Aptos" panose="020B0004020202020204" pitchFamily="34" charset="0"/>
                <a:ea typeface="Calibri"/>
                <a:cs typeface="Calibri"/>
              </a:defRPr>
            </a:pPr>
            <a:r>
              <a:rPr lang="en-US" sz="1800" b="1" i="0" u="none" strike="noStrike" baseline="0">
                <a:solidFill>
                  <a:srgbClr val="000000"/>
                </a:solidFill>
                <a:latin typeface="Aptos" panose="020B0004020202020204" pitchFamily="34" charset="0"/>
              </a:rPr>
              <a:t>(MMTCO</a:t>
            </a:r>
            <a:r>
              <a:rPr lang="en-US" sz="1800" b="1" i="0" u="none" strike="noStrike" baseline="-25000">
                <a:solidFill>
                  <a:srgbClr val="000000"/>
                </a:solidFill>
                <a:latin typeface="Aptos" panose="020B0004020202020204" pitchFamily="34" charset="0"/>
              </a:rPr>
              <a:t>2</a:t>
            </a:r>
            <a:r>
              <a:rPr lang="en-US" sz="1800" b="1" i="0" u="none" strike="noStrike" baseline="0">
                <a:solidFill>
                  <a:srgbClr val="000000"/>
                </a:solidFill>
                <a:latin typeface="Aptos" panose="020B0004020202020204" pitchFamily="34" charset="0"/>
              </a:rPr>
              <a:t>e)</a:t>
            </a:r>
          </a:p>
        </c:rich>
      </c:tx>
      <c:layout>
        <c:manualLayout>
          <c:xMode val="edge"/>
          <c:yMode val="edge"/>
          <c:x val="0.69745822397200352"/>
          <c:y val="3.7820539812202625E-2"/>
        </c:manualLayout>
      </c:layout>
      <c:overlay val="0"/>
    </c:title>
    <c:autoTitleDeleted val="0"/>
    <c:plotArea>
      <c:layout>
        <c:manualLayout>
          <c:layoutTarget val="inner"/>
          <c:xMode val="edge"/>
          <c:yMode val="edge"/>
          <c:x val="0.1016132983377077"/>
          <c:y val="4.8005316470990933E-2"/>
          <c:w val="0.5039422572178478"/>
          <c:h val="0.83903095233300529"/>
        </c:manualLayout>
      </c:layout>
      <c:barChart>
        <c:barDir val="col"/>
        <c:grouping val="stacked"/>
        <c:varyColors val="0"/>
        <c:ser>
          <c:idx val="1"/>
          <c:order val="0"/>
          <c:tx>
            <c:strRef>
              <c:f>'Summary by Gas'!$A$162</c:f>
              <c:strCache>
                <c:ptCount val="1"/>
                <c:pt idx="0">
                  <c:v>Micro-Electro-Mechanical Devices</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Gas'!$B$162:$AI$162</c:f>
              <c:numCache>
                <c:formatCode>0.0</c:formatCode>
                <c:ptCount val="34"/>
                <c:pt idx="0">
                  <c:v>0</c:v>
                </c:pt>
                <c:pt idx="1">
                  <c:v>1.6364135714285721E-4</c:v>
                </c:pt>
                <c:pt idx="2">
                  <c:v>3.2728271428571432E-4</c:v>
                </c:pt>
                <c:pt idx="3">
                  <c:v>4.909240714285714E-4</c:v>
                </c:pt>
                <c:pt idx="4">
                  <c:v>6.5456542857142864E-4</c:v>
                </c:pt>
                <c:pt idx="5">
                  <c:v>8.1820678571428577E-4</c:v>
                </c:pt>
                <c:pt idx="6">
                  <c:v>9.8184814285714279E-4</c:v>
                </c:pt>
                <c:pt idx="7">
                  <c:v>1.1454895000000001E-3</c:v>
                </c:pt>
                <c:pt idx="8">
                  <c:v>1.3091308571428573E-3</c:v>
                </c:pt>
                <c:pt idx="9">
                  <c:v>1.4727722142857144E-3</c:v>
                </c:pt>
                <c:pt idx="10">
                  <c:v>1.636413571428572E-3</c:v>
                </c:pt>
                <c:pt idx="11">
                  <c:v>1.800054928571428E-3</c:v>
                </c:pt>
                <c:pt idx="12">
                  <c:v>1.9636962857142856E-3</c:v>
                </c:pt>
                <c:pt idx="13">
                  <c:v>2.1273376428571425E-3</c:v>
                </c:pt>
                <c:pt idx="14">
                  <c:v>2.2909789999999998E-3</c:v>
                </c:pt>
                <c:pt idx="15">
                  <c:v>2.4546203571428572E-3</c:v>
                </c:pt>
                <c:pt idx="16">
                  <c:v>2.618261714285715E-3</c:v>
                </c:pt>
                <c:pt idx="17">
                  <c:v>2.781903071428571E-3</c:v>
                </c:pt>
                <c:pt idx="18">
                  <c:v>2.9455444285714288E-3</c:v>
                </c:pt>
                <c:pt idx="19">
                  <c:v>3.1091857857142853E-3</c:v>
                </c:pt>
                <c:pt idx="20">
                  <c:v>3.2728271428571431E-3</c:v>
                </c:pt>
                <c:pt idx="21">
                  <c:v>3.4364685E-3</c:v>
                </c:pt>
                <c:pt idx="22">
                  <c:v>6.5313817999999996E-3</c:v>
                </c:pt>
                <c:pt idx="23">
                  <c:v>3.2220270000000001E-3</c:v>
                </c:pt>
                <c:pt idx="24">
                  <c:v>2.8764900000000002E-3</c:v>
                </c:pt>
                <c:pt idx="25">
                  <c:v>2.9949580000000003E-3</c:v>
                </c:pt>
                <c:pt idx="26">
                  <c:v>3.3405940000000001E-3</c:v>
                </c:pt>
                <c:pt idx="27">
                  <c:v>3.4004080000000002E-3</c:v>
                </c:pt>
                <c:pt idx="28">
                  <c:v>5.8286259999999999E-3</c:v>
                </c:pt>
                <c:pt idx="29">
                  <c:v>8.5352089999999985E-3</c:v>
                </c:pt>
                <c:pt idx="30">
                  <c:v>8.9923800000000012E-3</c:v>
                </c:pt>
                <c:pt idx="31">
                  <c:v>1.0436013000000001E-2</c:v>
                </c:pt>
                <c:pt idx="32">
                  <c:v>9.9901940000000009E-3</c:v>
                </c:pt>
                <c:pt idx="33">
                  <c:v>8.564216999999999E-3</c:v>
                </c:pt>
              </c:numCache>
            </c:numRef>
          </c:val>
          <c:extLst>
            <c:ext xmlns:c16="http://schemas.microsoft.com/office/drawing/2014/chart" uri="{C3380CC4-5D6E-409C-BE32-E72D297353CC}">
              <c16:uniqueId val="{00000000-6EE1-4E3C-94F9-33BE94C02696}"/>
            </c:ext>
          </c:extLst>
        </c:ser>
        <c:ser>
          <c:idx val="2"/>
          <c:order val="1"/>
          <c:tx>
            <c:strRef>
              <c:f>'Summary by Gas'!$A$166</c:f>
              <c:strCache>
                <c:ptCount val="1"/>
                <c:pt idx="0">
                  <c:v>Substitution of Ozone Depleting Substances</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Gas'!$B$166:$AI$166</c:f>
              <c:numCache>
                <c:formatCode>0.0</c:formatCode>
                <c:ptCount val="34"/>
                <c:pt idx="0">
                  <c:v>5.4099844792000005E-3</c:v>
                </c:pt>
                <c:pt idx="1">
                  <c:v>1.2456725928918428E-2</c:v>
                </c:pt>
                <c:pt idx="2">
                  <c:v>3.0509953018260268E-2</c:v>
                </c:pt>
                <c:pt idx="3">
                  <c:v>9.5349548969635795E-2</c:v>
                </c:pt>
                <c:pt idx="4">
                  <c:v>0.22864032793701461</c:v>
                </c:pt>
                <c:pt idx="5">
                  <c:v>0.50324444906125565</c:v>
                </c:pt>
                <c:pt idx="6">
                  <c:v>0.71329043101121559</c:v>
                </c:pt>
                <c:pt idx="7">
                  <c:v>0.90981376063792474</c:v>
                </c:pt>
                <c:pt idx="8">
                  <c:v>1.0514312798421779</c:v>
                </c:pt>
                <c:pt idx="9">
                  <c:v>1.1950754627345945</c:v>
                </c:pt>
                <c:pt idx="10">
                  <c:v>1.3146361249262182</c:v>
                </c:pt>
                <c:pt idx="11">
                  <c:v>1.4303274014756053</c:v>
                </c:pt>
                <c:pt idx="12">
                  <c:v>1.5153649915778933</c:v>
                </c:pt>
                <c:pt idx="13">
                  <c:v>1.5917099985965057</c:v>
                </c:pt>
                <c:pt idx="14">
                  <c:v>1.6509303100036388</c:v>
                </c:pt>
                <c:pt idx="15">
                  <c:v>1.7231731184963863</c:v>
                </c:pt>
                <c:pt idx="16">
                  <c:v>1.8308076928199013</c:v>
                </c:pt>
                <c:pt idx="17">
                  <c:v>1.9570017674197022</c:v>
                </c:pt>
                <c:pt idx="18">
                  <c:v>2.1094862459690829</c:v>
                </c:pt>
                <c:pt idx="19">
                  <c:v>2.6590095271709338</c:v>
                </c:pt>
                <c:pt idx="20">
                  <c:v>2.2597988369627764</c:v>
                </c:pt>
                <c:pt idx="21">
                  <c:v>2.2708428574691961</c:v>
                </c:pt>
                <c:pt idx="22">
                  <c:v>2.6031911555602658</c:v>
                </c:pt>
                <c:pt idx="23">
                  <c:v>3.2742537401804706</c:v>
                </c:pt>
                <c:pt idx="24">
                  <c:v>3.6942114882698167</c:v>
                </c:pt>
                <c:pt idx="25">
                  <c:v>3.2104104472265025</c:v>
                </c:pt>
                <c:pt idx="26">
                  <c:v>3.2756330705315864</c:v>
                </c:pt>
                <c:pt idx="27">
                  <c:v>2.7811078029878629</c:v>
                </c:pt>
                <c:pt idx="28">
                  <c:v>3.264582590080308</c:v>
                </c:pt>
                <c:pt idx="29">
                  <c:v>3.1527951508113641</c:v>
                </c:pt>
                <c:pt idx="30">
                  <c:v>3.553206468307883</c:v>
                </c:pt>
                <c:pt idx="31">
                  <c:v>3.4826192950711334</c:v>
                </c:pt>
                <c:pt idx="32">
                  <c:v>2.9370750188921164</c:v>
                </c:pt>
                <c:pt idx="33">
                  <c:v>3.164009787859476</c:v>
                </c:pt>
              </c:numCache>
            </c:numRef>
          </c:val>
          <c:extLst>
            <c:ext xmlns:c16="http://schemas.microsoft.com/office/drawing/2014/chart" uri="{C3380CC4-5D6E-409C-BE32-E72D297353CC}">
              <c16:uniqueId val="{00000001-6EE1-4E3C-94F9-33BE94C02696}"/>
            </c:ext>
          </c:extLst>
        </c:ser>
        <c:ser>
          <c:idx val="0"/>
          <c:order val="2"/>
          <c:tx>
            <c:strRef>
              <c:f>'Summary by Gas'!$A$161</c:f>
              <c:strCache>
                <c:ptCount val="1"/>
                <c:pt idx="0">
                  <c:v>Electrical Equipment</c:v>
                </c:pt>
              </c:strCache>
            </c:strRef>
          </c:tx>
          <c:invertIfNegative val="0"/>
          <c:cat>
            <c:strRef>
              <c:f>'Summary by Gas'!$B$116:$AI$116</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 by Gas'!$B$161:$AI$161</c:f>
              <c:numCache>
                <c:formatCode>0.0</c:formatCode>
                <c:ptCount val="34"/>
                <c:pt idx="0">
                  <c:v>0.38789975619760453</c:v>
                </c:pt>
                <c:pt idx="1">
                  <c:v>0.15040000000000001</c:v>
                </c:pt>
                <c:pt idx="2">
                  <c:v>0.14899000000000001</c:v>
                </c:pt>
                <c:pt idx="3">
                  <c:v>0.14429</c:v>
                </c:pt>
                <c:pt idx="4">
                  <c:v>0.13583000000000001</c:v>
                </c:pt>
                <c:pt idx="5">
                  <c:v>0.12454999999999999</c:v>
                </c:pt>
                <c:pt idx="6">
                  <c:v>0.11421000000000001</c:v>
                </c:pt>
                <c:pt idx="7">
                  <c:v>0.105045</c:v>
                </c:pt>
                <c:pt idx="8">
                  <c:v>8.8830000000000006E-2</c:v>
                </c:pt>
                <c:pt idx="9">
                  <c:v>8.9300000000000004E-2</c:v>
                </c:pt>
                <c:pt idx="10">
                  <c:v>8.5775000000000004E-2</c:v>
                </c:pt>
                <c:pt idx="11">
                  <c:v>8.4599999999999995E-2</c:v>
                </c:pt>
                <c:pt idx="12">
                  <c:v>7.8490000000000004E-2</c:v>
                </c:pt>
                <c:pt idx="13">
                  <c:v>7.6609999999999998E-2</c:v>
                </c:pt>
                <c:pt idx="14">
                  <c:v>7.4730000000000005E-2</c:v>
                </c:pt>
                <c:pt idx="15">
                  <c:v>7.1910000000000002E-2</c:v>
                </c:pt>
                <c:pt idx="16">
                  <c:v>6.6269999999999996E-2</c:v>
                </c:pt>
                <c:pt idx="17">
                  <c:v>6.2509999999999996E-2</c:v>
                </c:pt>
                <c:pt idx="18">
                  <c:v>5.9924999999999999E-2</c:v>
                </c:pt>
                <c:pt idx="19">
                  <c:v>5.5225000000000003E-2</c:v>
                </c:pt>
                <c:pt idx="20">
                  <c:v>4.6530000000000002E-2</c:v>
                </c:pt>
                <c:pt idx="21">
                  <c:v>4.4179999999999997E-2</c:v>
                </c:pt>
                <c:pt idx="22">
                  <c:v>3.8539999999999998E-2</c:v>
                </c:pt>
                <c:pt idx="23">
                  <c:v>3.5720000000000002E-2</c:v>
                </c:pt>
                <c:pt idx="24">
                  <c:v>3.619E-2</c:v>
                </c:pt>
                <c:pt idx="25">
                  <c:v>3.243E-2</c:v>
                </c:pt>
                <c:pt idx="26">
                  <c:v>3.1725000000000003E-2</c:v>
                </c:pt>
                <c:pt idx="27">
                  <c:v>3.1725000000000003E-2</c:v>
                </c:pt>
                <c:pt idx="28">
                  <c:v>3.243E-2</c:v>
                </c:pt>
                <c:pt idx="29">
                  <c:v>3.4544999999999999E-2</c:v>
                </c:pt>
                <c:pt idx="30">
                  <c:v>3.3605000000000003E-2</c:v>
                </c:pt>
                <c:pt idx="31">
                  <c:v>3.5485000000000003E-2</c:v>
                </c:pt>
                <c:pt idx="32">
                  <c:v>3.4075000000000001E-2</c:v>
                </c:pt>
                <c:pt idx="33">
                  <c:v>3.3840000000000002E-2</c:v>
                </c:pt>
              </c:numCache>
            </c:numRef>
          </c:val>
          <c:extLst>
            <c:ext xmlns:c16="http://schemas.microsoft.com/office/drawing/2014/chart" uri="{C3380CC4-5D6E-409C-BE32-E72D297353CC}">
              <c16:uniqueId val="{00000002-6EE1-4E3C-94F9-33BE94C02696}"/>
            </c:ext>
          </c:extLst>
        </c:ser>
        <c:dLbls>
          <c:showLegendKey val="0"/>
          <c:showVal val="0"/>
          <c:showCatName val="0"/>
          <c:showSerName val="0"/>
          <c:showPercent val="0"/>
          <c:showBubbleSize val="0"/>
        </c:dLbls>
        <c:gapWidth val="150"/>
        <c:overlap val="100"/>
        <c:axId val="50465792"/>
        <c:axId val="50467584"/>
      </c:barChart>
      <c:catAx>
        <c:axId val="50465792"/>
        <c:scaling>
          <c:orientation val="minMax"/>
        </c:scaling>
        <c:delete val="0"/>
        <c:axPos val="b"/>
        <c:numFmt formatCode="General" sourceLinked="1"/>
        <c:majorTickMark val="out"/>
        <c:minorTickMark val="none"/>
        <c:tickLblPos val="nextTo"/>
        <c:txPr>
          <a:bodyPr rot="-540000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50467584"/>
        <c:crosses val="autoZero"/>
        <c:auto val="1"/>
        <c:lblAlgn val="ctr"/>
        <c:lblOffset val="100"/>
        <c:noMultiLvlLbl val="0"/>
      </c:catAx>
      <c:valAx>
        <c:axId val="50467584"/>
        <c:scaling>
          <c:orientation val="minMax"/>
          <c:max val="4"/>
        </c:scaling>
        <c:delete val="0"/>
        <c:axPos val="l"/>
        <c:majorGridlines/>
        <c:numFmt formatCode="0.0" sourceLinked="1"/>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50465792"/>
        <c:crosses val="autoZero"/>
        <c:crossBetween val="between"/>
      </c:valAx>
    </c:plotArea>
    <c:legend>
      <c:legendPos val="r"/>
      <c:layout>
        <c:manualLayout>
          <c:xMode val="edge"/>
          <c:yMode val="edge"/>
          <c:x val="0.6664361387074963"/>
          <c:y val="0.34269930182887626"/>
          <c:w val="0.33356386129250365"/>
          <c:h val="0.22021785049184031"/>
        </c:manualLayout>
      </c:layout>
      <c:overlay val="0"/>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9"/>
    </mc:Choice>
    <mc:Fallback>
      <c:style val="9"/>
    </mc:Fallback>
  </mc:AlternateContent>
  <c:chart>
    <c:title>
      <c:tx>
        <c:rich>
          <a:bodyPr/>
          <a:lstStyle/>
          <a:p>
            <a:pPr>
              <a:defRPr sz="1800" b="1" i="0" u="none" strike="noStrike" baseline="0">
                <a:solidFill>
                  <a:srgbClr val="000000"/>
                </a:solidFill>
                <a:latin typeface="Calibri"/>
                <a:ea typeface="Calibri"/>
                <a:cs typeface="Calibri"/>
              </a:defRPr>
            </a:pPr>
            <a:r>
              <a:rPr lang="en-US">
                <a:latin typeface="Aptos" panose="020B0004020202020204" pitchFamily="34" charset="0"/>
              </a:rPr>
              <a:t>2023 Methane Emissions in MA: Overlay</a:t>
            </a:r>
          </a:p>
        </c:rich>
      </c:tx>
      <c:layout>
        <c:manualLayout>
          <c:xMode val="edge"/>
          <c:yMode val="edge"/>
          <c:x val="5.8501544249465312E-2"/>
          <c:y val="4.775540575058583E-2"/>
        </c:manualLayout>
      </c:layout>
      <c:overlay val="0"/>
    </c:title>
    <c:autoTitleDeleted val="0"/>
    <c:plotArea>
      <c:layout/>
      <c:doughnutChart>
        <c:varyColors val="1"/>
        <c:ser>
          <c:idx val="0"/>
          <c:order val="0"/>
          <c:tx>
            <c:strRef>
              <c:f>'Summary by Gas'!$Z$77</c:f>
              <c:strCache>
                <c:ptCount val="1"/>
              </c:strCache>
            </c:strRef>
          </c:tx>
          <c:dPt>
            <c:idx val="0"/>
            <c:bubble3D val="0"/>
            <c:spPr>
              <a:pattFill prst="smGrid">
                <a:fgClr>
                  <a:schemeClr val="bg1">
                    <a:lumMod val="50000"/>
                  </a:schemeClr>
                </a:fgClr>
                <a:bgClr>
                  <a:schemeClr val="bg1"/>
                </a:bgClr>
              </a:pattFill>
            </c:spPr>
            <c:extLst>
              <c:ext xmlns:c16="http://schemas.microsoft.com/office/drawing/2014/chart" uri="{C3380CC4-5D6E-409C-BE32-E72D297353CC}">
                <c16:uniqueId val="{00000000-34CE-4497-A598-A39B60D02BE0}"/>
              </c:ext>
            </c:extLst>
          </c:dPt>
          <c:dPt>
            <c:idx val="1"/>
            <c:bubble3D val="0"/>
            <c:spPr>
              <a:solidFill>
                <a:schemeClr val="bg1">
                  <a:lumMod val="75000"/>
                </a:schemeClr>
              </a:solidFill>
            </c:spPr>
            <c:extLst>
              <c:ext xmlns:c16="http://schemas.microsoft.com/office/drawing/2014/chart" uri="{C3380CC4-5D6E-409C-BE32-E72D297353CC}">
                <c16:uniqueId val="{00000001-34CE-4497-A598-A39B60D02BE0}"/>
              </c:ext>
            </c:extLst>
          </c:dPt>
          <c:dPt>
            <c:idx val="2"/>
            <c:bubble3D val="0"/>
            <c:spPr>
              <a:pattFill prst="wave">
                <a:fgClr>
                  <a:schemeClr val="bg1">
                    <a:lumMod val="50000"/>
                  </a:schemeClr>
                </a:fgClr>
                <a:bgClr>
                  <a:schemeClr val="bg1"/>
                </a:bgClr>
              </a:pattFill>
            </c:spPr>
            <c:extLst>
              <c:ext xmlns:c16="http://schemas.microsoft.com/office/drawing/2014/chart" uri="{C3380CC4-5D6E-409C-BE32-E72D297353CC}">
                <c16:uniqueId val="{00000002-34CE-4497-A598-A39B60D02BE0}"/>
              </c:ext>
            </c:extLst>
          </c:dPt>
          <c:dPt>
            <c:idx val="3"/>
            <c:bubble3D val="0"/>
            <c:extLst>
              <c:ext xmlns:c16="http://schemas.microsoft.com/office/drawing/2014/chart" uri="{C3380CC4-5D6E-409C-BE32-E72D297353CC}">
                <c16:uniqueId val="{00000003-34CE-4497-A598-A39B60D02BE0}"/>
              </c:ext>
            </c:extLst>
          </c:dPt>
          <c:dLbls>
            <c:dLbl>
              <c:idx val="0"/>
              <c:layout>
                <c:manualLayout>
                  <c:x val="3.748698778442381E-2"/>
                  <c:y val="-7.8396447524184593E-2"/>
                </c:manualLayout>
              </c:layout>
              <c:spPr>
                <a:solidFill>
                  <a:srgbClr val="FFFFFF"/>
                </a:solidFill>
                <a:ln w="25400">
                  <a:solidFill>
                    <a:srgbClr val="000000"/>
                  </a:solidFill>
                  <a:prstDash val="solid"/>
                </a:ln>
              </c:spPr>
              <c:txPr>
                <a:bodyPr/>
                <a:lstStyle/>
                <a:p>
                  <a:pPr>
                    <a:defRPr sz="1200" b="1" i="0" u="none" strike="noStrike" baseline="0">
                      <a:solidFill>
                        <a:srgbClr val="000000"/>
                      </a:solidFill>
                      <a:latin typeface="Aptos" panose="020B0004020202020204" pitchFamily="34" charset="0"/>
                      <a:ea typeface="Calibri"/>
                      <a:cs typeface="Calibri"/>
                    </a:defRPr>
                  </a:pPr>
                  <a:endParaRPr lang="en-US"/>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4CE-4497-A598-A39B60D02BE0}"/>
                </c:ext>
              </c:extLst>
            </c:dLbl>
            <c:dLbl>
              <c:idx val="1"/>
              <c:layout>
                <c:manualLayout>
                  <c:x val="-2.1589072209624628E-2"/>
                  <c:y val="0.13457322618216863"/>
                </c:manualLayout>
              </c:layout>
              <c:tx>
                <c:rich>
                  <a:bodyPr/>
                  <a:lstStyle/>
                  <a:p>
                    <a:pPr>
                      <a:defRPr sz="1200" b="1" i="0" u="none" strike="noStrike" baseline="0">
                        <a:solidFill>
                          <a:srgbClr val="000000"/>
                        </a:solidFill>
                        <a:latin typeface="Aptos" panose="020B0004020202020204" pitchFamily="34" charset="0"/>
                        <a:ea typeface="Calibri"/>
                        <a:cs typeface="Calibri"/>
                      </a:defRPr>
                    </a:pPr>
                    <a:r>
                      <a:rPr lang="en-US" sz="1200">
                        <a:latin typeface="Aptos" panose="020B0004020202020204" pitchFamily="34" charset="0"/>
                      </a:rPr>
                      <a:t>Natural Gas Systems 48%</a:t>
                    </a:r>
                  </a:p>
                </c:rich>
              </c:tx>
              <c:spPr>
                <a:solidFill>
                  <a:srgbClr val="FFFFFF"/>
                </a:solidFill>
                <a:ln w="25400">
                  <a:solidFill>
                    <a:srgbClr val="000000"/>
                  </a:solidFill>
                  <a:prstDash val="solid"/>
                </a:ln>
              </c:spPr>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1-34CE-4497-A598-A39B60D02BE0}"/>
                </c:ext>
              </c:extLst>
            </c:dLbl>
            <c:dLbl>
              <c:idx val="2"/>
              <c:layout>
                <c:manualLayout>
                  <c:x val="-0.10727272727272728"/>
                  <c:y val="5.2199130014499759E-2"/>
                </c:manualLayout>
              </c:layout>
              <c:tx>
                <c:rich>
                  <a:bodyPr/>
                  <a:lstStyle/>
                  <a:p>
                    <a:pPr>
                      <a:defRPr sz="1200" b="1" i="0" u="none" strike="noStrike" baseline="0">
                        <a:solidFill>
                          <a:srgbClr val="000000"/>
                        </a:solidFill>
                        <a:latin typeface="Aptos" panose="020B0004020202020204" pitchFamily="34" charset="0"/>
                        <a:ea typeface="Calibri"/>
                        <a:cs typeface="Calibri"/>
                      </a:defRPr>
                    </a:pPr>
                    <a:r>
                      <a:rPr lang="en-US" sz="1200">
                        <a:latin typeface="Aptos" panose="020B0004020202020204" pitchFamily="34" charset="0"/>
                      </a:rPr>
                      <a:t>Agriculture 6%</a:t>
                    </a:r>
                  </a:p>
                </c:rich>
              </c:tx>
              <c:spPr>
                <a:solidFill>
                  <a:srgbClr val="FFFFFF"/>
                </a:solidFill>
                <a:ln w="25400">
                  <a:solidFill>
                    <a:srgbClr val="000000"/>
                  </a:solidFill>
                  <a:prstDash val="solid"/>
                </a:ln>
              </c:spPr>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2-34CE-4497-A598-A39B60D02BE0}"/>
                </c:ext>
              </c:extLst>
            </c:dLbl>
            <c:dLbl>
              <c:idx val="3"/>
              <c:layout>
                <c:manualLayout>
                  <c:x val="-8.5454545454545477E-2"/>
                  <c:y val="3.8666022232962782E-2"/>
                </c:manualLayout>
              </c:layout>
              <c:tx>
                <c:rich>
                  <a:bodyPr/>
                  <a:lstStyle/>
                  <a:p>
                    <a:pPr>
                      <a:defRPr sz="1200" b="1" i="0" u="none" strike="noStrike" baseline="0">
                        <a:solidFill>
                          <a:srgbClr val="000000"/>
                        </a:solidFill>
                        <a:latin typeface="Aptos" panose="020B0004020202020204" pitchFamily="34" charset="0"/>
                        <a:ea typeface="Calibri"/>
                        <a:cs typeface="Calibri"/>
                      </a:defRPr>
                    </a:pPr>
                    <a:r>
                      <a:rPr lang="en-US" sz="1200">
                        <a:latin typeface="Aptos" panose="020B0004020202020204" pitchFamily="34" charset="0"/>
                      </a:rPr>
                      <a:t>Waste 32%</a:t>
                    </a:r>
                  </a:p>
                </c:rich>
              </c:tx>
              <c:spPr>
                <a:solidFill>
                  <a:srgbClr val="FFFFFF"/>
                </a:solidFill>
                <a:ln w="25400">
                  <a:solidFill>
                    <a:srgbClr val="000000"/>
                  </a:solidFill>
                  <a:prstDash val="solid"/>
                </a:ln>
              </c:spPr>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34CE-4497-A598-A39B60D02BE0}"/>
                </c:ext>
              </c:extLst>
            </c:dLbl>
            <c:spPr>
              <a:solidFill>
                <a:sysClr val="window" lastClr="FFFFFF"/>
              </a:solidFill>
              <a:ln>
                <a:solidFill>
                  <a:sysClr val="windowText" lastClr="000000">
                    <a:lumMod val="65000"/>
                    <a:lumOff val="35000"/>
                  </a:sysClr>
                </a:solidFill>
              </a:ln>
              <a:effectLst/>
            </c:spPr>
            <c:txPr>
              <a:bodyPr wrap="square" lIns="38100" tIns="19050" rIns="38100" bIns="19050" anchor="ctr">
                <a:spAutoFit/>
              </a:bodyPr>
              <a:lstStyle/>
              <a:p>
                <a:pPr>
                  <a:defRPr sz="1200">
                    <a:latin typeface="Aptos" panose="020B0004020202020204" pitchFamily="34" charset="0"/>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c15:spPr>
              </c:ext>
            </c:extLst>
          </c:dLbls>
          <c:cat>
            <c:strRef>
              <c:f>'Summary by Gas'!$Z$72:$Z$75</c:f>
              <c:strCache>
                <c:ptCount val="4"/>
                <c:pt idx="0">
                  <c:v>Combustion of Fuels</c:v>
                </c:pt>
                <c:pt idx="1">
                  <c:v>Natural Gas Systems</c:v>
                </c:pt>
                <c:pt idx="2">
                  <c:v>Agriculture</c:v>
                </c:pt>
                <c:pt idx="3">
                  <c:v>Waste</c:v>
                </c:pt>
              </c:strCache>
            </c:strRef>
          </c:cat>
          <c:val>
            <c:numRef>
              <c:f>'Summary by Gas'!$X$72:$X$75</c:f>
              <c:numCache>
                <c:formatCode>0.0</c:formatCode>
                <c:ptCount val="4"/>
                <c:pt idx="0">
                  <c:v>0.20077433567848255</c:v>
                </c:pt>
                <c:pt idx="1">
                  <c:v>0.7055939941976983</c:v>
                </c:pt>
                <c:pt idx="2">
                  <c:v>9.292292744602583E-2</c:v>
                </c:pt>
                <c:pt idx="3">
                  <c:v>0.4694916618857875</c:v>
                </c:pt>
              </c:numCache>
            </c:numRef>
          </c:val>
          <c:extLst>
            <c:ext xmlns:c16="http://schemas.microsoft.com/office/drawing/2014/chart" uri="{C3380CC4-5D6E-409C-BE32-E72D297353CC}">
              <c16:uniqueId val="{00000004-34CE-4497-A598-A39B60D02BE0}"/>
            </c:ext>
          </c:extLst>
        </c:ser>
        <c:dLbls>
          <c:showLegendKey val="0"/>
          <c:showVal val="0"/>
          <c:showCatName val="0"/>
          <c:showSerName val="0"/>
          <c:showPercent val="0"/>
          <c:showBubbleSize val="0"/>
          <c:showLeaderLines val="0"/>
        </c:dLbls>
        <c:firstSliceAng val="0"/>
        <c:holeSize val="50"/>
      </c:doughnut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400" b="1">
                <a:latin typeface="Aptos" panose="020B0004020202020204" pitchFamily="34" charset="0"/>
              </a:rPr>
              <a:t>2023 Methane Emissions in MA (MMTCO2e):</a:t>
            </a:r>
            <a:r>
              <a:rPr lang="en-US" sz="1400" b="1" baseline="0">
                <a:latin typeface="Aptos" panose="020B0004020202020204" pitchFamily="34" charset="0"/>
              </a:rPr>
              <a:t> </a:t>
            </a:r>
          </a:p>
          <a:p>
            <a:pPr>
              <a:defRPr sz="1000" b="0" i="0" u="none" strike="noStrike" baseline="0">
                <a:solidFill>
                  <a:srgbClr val="000000"/>
                </a:solidFill>
                <a:latin typeface="Calibri"/>
                <a:ea typeface="Calibri"/>
                <a:cs typeface="Calibri"/>
              </a:defRPr>
            </a:pPr>
            <a:r>
              <a:rPr lang="en-US" sz="1400" b="1" baseline="0">
                <a:latin typeface="Aptos" panose="020B0004020202020204" pitchFamily="34" charset="0"/>
              </a:rPr>
              <a:t>By Sector</a:t>
            </a:r>
            <a:endParaRPr lang="en-US" sz="1400" b="1">
              <a:latin typeface="Aptos" panose="020B0004020202020204" pitchFamily="34" charset="0"/>
            </a:endParaRPr>
          </a:p>
        </c:rich>
      </c:tx>
      <c:layout>
        <c:manualLayout>
          <c:xMode val="edge"/>
          <c:yMode val="edge"/>
          <c:x val="5.7942474807229409E-2"/>
          <c:y val="1.7491955644975861E-2"/>
        </c:manualLayout>
      </c:layout>
      <c:overlay val="0"/>
    </c:title>
    <c:autoTitleDeleted val="0"/>
    <c:plotArea>
      <c:layout>
        <c:manualLayout>
          <c:layoutTarget val="inner"/>
          <c:xMode val="edge"/>
          <c:yMode val="edge"/>
          <c:x val="0.1016132983377077"/>
          <c:y val="4.8005316470990933E-2"/>
          <c:w val="0.5039422572178478"/>
          <c:h val="0.83903095233300529"/>
        </c:manualLayout>
      </c:layout>
      <c:pieChart>
        <c:varyColors val="1"/>
        <c:ser>
          <c:idx val="0"/>
          <c:order val="0"/>
          <c:tx>
            <c:strRef>
              <c:f>'Summary by Gas'!$AI$116</c:f>
              <c:strCache>
                <c:ptCount val="1"/>
                <c:pt idx="0">
                  <c:v>2023</c:v>
                </c:pt>
              </c:strCache>
            </c:strRef>
          </c:tx>
          <c:dPt>
            <c:idx val="1"/>
            <c:bubble3D val="0"/>
            <c:spPr>
              <a:pattFill prst="wave">
                <a:fgClr>
                  <a:srgbClr val="C00000"/>
                </a:fgClr>
                <a:bgClr>
                  <a:schemeClr val="bg1"/>
                </a:bgClr>
              </a:pattFill>
            </c:spPr>
            <c:extLst>
              <c:ext xmlns:c16="http://schemas.microsoft.com/office/drawing/2014/chart" uri="{C3380CC4-5D6E-409C-BE32-E72D297353CC}">
                <c16:uniqueId val="{00000005-F504-4215-8AB4-3EB720C5A6E9}"/>
              </c:ext>
            </c:extLst>
          </c:dPt>
          <c:dPt>
            <c:idx val="2"/>
            <c:bubble3D val="0"/>
            <c:spPr>
              <a:solidFill>
                <a:schemeClr val="accent3">
                  <a:lumMod val="50000"/>
                </a:schemeClr>
              </a:solidFill>
            </c:spPr>
            <c:extLst>
              <c:ext xmlns:c16="http://schemas.microsoft.com/office/drawing/2014/chart" uri="{C3380CC4-5D6E-409C-BE32-E72D297353CC}">
                <c16:uniqueId val="{00000006-F504-4215-8AB4-3EB720C5A6E9}"/>
              </c:ext>
            </c:extLst>
          </c:dPt>
          <c:dPt>
            <c:idx val="3"/>
            <c:bubble3D val="0"/>
            <c:spPr>
              <a:solidFill>
                <a:srgbClr val="FF99FF"/>
              </a:solidFill>
            </c:spPr>
            <c:extLst>
              <c:ext xmlns:c16="http://schemas.microsoft.com/office/drawing/2014/chart" uri="{C3380CC4-5D6E-409C-BE32-E72D297353CC}">
                <c16:uniqueId val="{00000000-F504-4215-8AB4-3EB720C5A6E9}"/>
              </c:ext>
            </c:extLst>
          </c:dPt>
          <c:dPt>
            <c:idx val="4"/>
            <c:bubble3D val="0"/>
            <c:spPr>
              <a:pattFill prst="lgCheck">
                <a:fgClr>
                  <a:schemeClr val="accent3">
                    <a:lumMod val="40000"/>
                    <a:lumOff val="60000"/>
                  </a:schemeClr>
                </a:fgClr>
                <a:bgClr>
                  <a:schemeClr val="bg1"/>
                </a:bgClr>
              </a:pattFill>
            </c:spPr>
            <c:extLst>
              <c:ext xmlns:c16="http://schemas.microsoft.com/office/drawing/2014/chart" uri="{C3380CC4-5D6E-409C-BE32-E72D297353CC}">
                <c16:uniqueId val="{00000002-F504-4215-8AB4-3EB720C5A6E9}"/>
              </c:ext>
            </c:extLst>
          </c:dPt>
          <c:dPt>
            <c:idx val="5"/>
            <c:bubble3D val="0"/>
            <c:spPr>
              <a:solidFill>
                <a:schemeClr val="accent4">
                  <a:lumMod val="40000"/>
                  <a:lumOff val="60000"/>
                </a:schemeClr>
              </a:solidFill>
            </c:spPr>
            <c:extLst>
              <c:ext xmlns:c16="http://schemas.microsoft.com/office/drawing/2014/chart" uri="{C3380CC4-5D6E-409C-BE32-E72D297353CC}">
                <c16:uniqueId val="{00000001-F504-4215-8AB4-3EB720C5A6E9}"/>
              </c:ext>
            </c:extLst>
          </c:dPt>
          <c:dPt>
            <c:idx val="6"/>
            <c:bubble3D val="0"/>
            <c:spPr>
              <a:pattFill prst="pct80">
                <a:fgClr>
                  <a:schemeClr val="tx2">
                    <a:lumMod val="40000"/>
                    <a:lumOff val="60000"/>
                  </a:schemeClr>
                </a:fgClr>
                <a:bgClr>
                  <a:schemeClr val="bg1"/>
                </a:bgClr>
              </a:pattFill>
            </c:spPr>
            <c:extLst>
              <c:ext xmlns:c16="http://schemas.microsoft.com/office/drawing/2014/chart" uri="{C3380CC4-5D6E-409C-BE32-E72D297353CC}">
                <c16:uniqueId val="{00000003-F504-4215-8AB4-3EB720C5A6E9}"/>
              </c:ext>
            </c:extLst>
          </c:dPt>
          <c:dPt>
            <c:idx val="7"/>
            <c:bubble3D val="0"/>
            <c:spPr>
              <a:pattFill prst="ltHorz">
                <a:fgClr>
                  <a:schemeClr val="accent6">
                    <a:lumMod val="75000"/>
                  </a:schemeClr>
                </a:fgClr>
                <a:bgClr>
                  <a:schemeClr val="bg1"/>
                </a:bgClr>
              </a:pattFill>
            </c:spPr>
            <c:extLst>
              <c:ext xmlns:c16="http://schemas.microsoft.com/office/drawing/2014/chart" uri="{C3380CC4-5D6E-409C-BE32-E72D297353CC}">
                <c16:uniqueId val="{00000007-F504-4215-8AB4-3EB720C5A6E9}"/>
              </c:ext>
            </c:extLst>
          </c:dPt>
          <c:dPt>
            <c:idx val="9"/>
            <c:bubble3D val="0"/>
            <c:spPr>
              <a:pattFill prst="smCheck">
                <a:fgClr>
                  <a:schemeClr val="bg2">
                    <a:lumMod val="25000"/>
                  </a:schemeClr>
                </a:fgClr>
                <a:bgClr>
                  <a:schemeClr val="bg1"/>
                </a:bgClr>
              </a:pattFill>
            </c:spPr>
            <c:extLst>
              <c:ext xmlns:c16="http://schemas.microsoft.com/office/drawing/2014/chart" uri="{C3380CC4-5D6E-409C-BE32-E72D297353CC}">
                <c16:uniqueId val="{00000004-F504-4215-8AB4-3EB720C5A6E9}"/>
              </c:ext>
            </c:extLst>
          </c:dPt>
          <c:dLbls>
            <c:delete val="1"/>
          </c:dLbls>
          <c:cat>
            <c:strRef>
              <c:f>'Summary by Gas'!$A$131:$A$140</c:f>
              <c:strCache>
                <c:ptCount val="10"/>
                <c:pt idx="0">
                  <c:v>Residential</c:v>
                </c:pt>
                <c:pt idx="1">
                  <c:v>Commercial</c:v>
                </c:pt>
                <c:pt idx="2">
                  <c:v>Industrial</c:v>
                </c:pt>
                <c:pt idx="3">
                  <c:v>Electric Power</c:v>
                </c:pt>
                <c:pt idx="4">
                  <c:v>Municipal Solid Waste Combustion (Electric and Industrial)</c:v>
                </c:pt>
                <c:pt idx="5">
                  <c:v>Transportation</c:v>
                </c:pt>
                <c:pt idx="6">
                  <c:v>Natural Gas Systems (Leaks)</c:v>
                </c:pt>
                <c:pt idx="7">
                  <c:v>Agriculture </c:v>
                </c:pt>
                <c:pt idx="8">
                  <c:v>Solid Waste (Landfill)</c:v>
                </c:pt>
                <c:pt idx="9">
                  <c:v>Wastewater</c:v>
                </c:pt>
              </c:strCache>
            </c:strRef>
          </c:cat>
          <c:val>
            <c:numRef>
              <c:f>'Summary by Gas'!$AI$131:$AI$140</c:f>
              <c:numCache>
                <c:formatCode>0.0</c:formatCode>
                <c:ptCount val="10"/>
                <c:pt idx="0">
                  <c:v>0.10759052499999998</c:v>
                </c:pt>
                <c:pt idx="1">
                  <c:v>3.2496180186030253E-2</c:v>
                </c:pt>
                <c:pt idx="2">
                  <c:v>3.9698296704444701E-3</c:v>
                </c:pt>
                <c:pt idx="3">
                  <c:v>3.3376695299999998E-3</c:v>
                </c:pt>
                <c:pt idx="4">
                  <c:v>2.4105499999999998E-2</c:v>
                </c:pt>
                <c:pt idx="5">
                  <c:v>2.9274631292007858E-2</c:v>
                </c:pt>
                <c:pt idx="6">
                  <c:v>0.7055939941976983</c:v>
                </c:pt>
                <c:pt idx="7">
                  <c:v>9.292292744602583E-2</c:v>
                </c:pt>
                <c:pt idx="8">
                  <c:v>0.14990019999999998</c:v>
                </c:pt>
                <c:pt idx="9">
                  <c:v>0.31959146188578752</c:v>
                </c:pt>
              </c:numCache>
            </c:numRef>
          </c:val>
          <c:extLst>
            <c:ext xmlns:c16="http://schemas.microsoft.com/office/drawing/2014/chart" uri="{C3380CC4-5D6E-409C-BE32-E72D297353CC}">
              <c16:uniqueId val="{0000000A-2281-4D4F-84D3-4D3A111755F9}"/>
            </c:ext>
          </c:extLst>
        </c:ser>
        <c:dLbls>
          <c:dLblPos val="bestFit"/>
          <c:showLegendKey val="0"/>
          <c:showVal val="1"/>
          <c:showCatName val="0"/>
          <c:showSerName val="0"/>
          <c:showPercent val="0"/>
          <c:showBubbleSize val="0"/>
          <c:showLeaderLines val="1"/>
        </c:dLbls>
        <c:firstSliceAng val="0"/>
      </c:pieChart>
      <c:spPr>
        <a:noFill/>
        <a:ln w="25400">
          <a:noFill/>
        </a:ln>
      </c:spPr>
    </c:plotArea>
    <c:legend>
      <c:legendPos val="r"/>
      <c:layout>
        <c:manualLayout>
          <c:xMode val="edge"/>
          <c:yMode val="edge"/>
          <c:x val="0.68907207453028774"/>
          <c:y val="3.4613798275215601E-2"/>
          <c:w val="0.31092803907532951"/>
          <c:h val="0.94362482284357929"/>
        </c:manualLayout>
      </c:layout>
      <c:overlay val="0"/>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'Summary by Gas'!$AI$116</c:f>
              <c:strCache>
                <c:ptCount val="1"/>
                <c:pt idx="0">
                  <c:v>2023</c:v>
                </c:pt>
              </c:strCache>
            </c:strRef>
          </c:tx>
          <c:dPt>
            <c:idx val="1"/>
            <c:bubble3D val="0"/>
            <c:spPr>
              <a:pattFill prst="wave">
                <a:fgClr>
                  <a:srgbClr val="C00000"/>
                </a:fgClr>
                <a:bgClr>
                  <a:schemeClr val="bg1"/>
                </a:bgClr>
              </a:pattFill>
            </c:spPr>
            <c:extLst>
              <c:ext xmlns:c16="http://schemas.microsoft.com/office/drawing/2014/chart" uri="{C3380CC4-5D6E-409C-BE32-E72D297353CC}">
                <c16:uniqueId val="{00000001-D867-4680-A9FC-85BC7E814B55}"/>
              </c:ext>
            </c:extLst>
          </c:dPt>
          <c:dPt>
            <c:idx val="2"/>
            <c:bubble3D val="0"/>
            <c:spPr>
              <a:solidFill>
                <a:schemeClr val="accent3">
                  <a:lumMod val="50000"/>
                </a:schemeClr>
              </a:solidFill>
            </c:spPr>
            <c:extLst>
              <c:ext xmlns:c16="http://schemas.microsoft.com/office/drawing/2014/chart" uri="{C3380CC4-5D6E-409C-BE32-E72D297353CC}">
                <c16:uniqueId val="{00000003-D867-4680-A9FC-85BC7E814B55}"/>
              </c:ext>
            </c:extLst>
          </c:dPt>
          <c:dPt>
            <c:idx val="3"/>
            <c:bubble3D val="0"/>
            <c:spPr>
              <a:solidFill>
                <a:srgbClr val="FF99FF"/>
              </a:solidFill>
            </c:spPr>
            <c:extLst>
              <c:ext xmlns:c16="http://schemas.microsoft.com/office/drawing/2014/chart" uri="{C3380CC4-5D6E-409C-BE32-E72D297353CC}">
                <c16:uniqueId val="{00000005-D867-4680-A9FC-85BC7E814B55}"/>
              </c:ext>
            </c:extLst>
          </c:dPt>
          <c:dPt>
            <c:idx val="4"/>
            <c:bubble3D val="0"/>
            <c:spPr>
              <a:pattFill prst="lgCheck">
                <a:fgClr>
                  <a:schemeClr val="accent3">
                    <a:lumMod val="40000"/>
                    <a:lumOff val="60000"/>
                  </a:schemeClr>
                </a:fgClr>
                <a:bgClr>
                  <a:schemeClr val="bg1"/>
                </a:bgClr>
              </a:pattFill>
            </c:spPr>
            <c:extLst>
              <c:ext xmlns:c16="http://schemas.microsoft.com/office/drawing/2014/chart" uri="{C3380CC4-5D6E-409C-BE32-E72D297353CC}">
                <c16:uniqueId val="{00000007-D867-4680-A9FC-85BC7E814B55}"/>
              </c:ext>
            </c:extLst>
          </c:dPt>
          <c:dPt>
            <c:idx val="5"/>
            <c:bubble3D val="0"/>
            <c:spPr>
              <a:solidFill>
                <a:schemeClr val="accent4">
                  <a:lumMod val="40000"/>
                  <a:lumOff val="60000"/>
                </a:schemeClr>
              </a:solidFill>
            </c:spPr>
            <c:extLst>
              <c:ext xmlns:c16="http://schemas.microsoft.com/office/drawing/2014/chart" uri="{C3380CC4-5D6E-409C-BE32-E72D297353CC}">
                <c16:uniqueId val="{00000009-D867-4680-A9FC-85BC7E814B55}"/>
              </c:ext>
            </c:extLst>
          </c:dPt>
          <c:dPt>
            <c:idx val="6"/>
            <c:bubble3D val="0"/>
            <c:spPr>
              <a:pattFill prst="pct80">
                <a:fgClr>
                  <a:schemeClr val="tx2">
                    <a:lumMod val="40000"/>
                    <a:lumOff val="60000"/>
                  </a:schemeClr>
                </a:fgClr>
                <a:bgClr>
                  <a:schemeClr val="bg1"/>
                </a:bgClr>
              </a:pattFill>
            </c:spPr>
            <c:extLst>
              <c:ext xmlns:c16="http://schemas.microsoft.com/office/drawing/2014/chart" uri="{C3380CC4-5D6E-409C-BE32-E72D297353CC}">
                <c16:uniqueId val="{0000000B-D867-4680-A9FC-85BC7E814B55}"/>
              </c:ext>
            </c:extLst>
          </c:dPt>
          <c:dPt>
            <c:idx val="7"/>
            <c:bubble3D val="0"/>
            <c:spPr>
              <a:pattFill prst="ltHorz">
                <a:fgClr>
                  <a:schemeClr val="accent6">
                    <a:lumMod val="75000"/>
                  </a:schemeClr>
                </a:fgClr>
                <a:bgClr>
                  <a:schemeClr val="bg1"/>
                </a:bgClr>
              </a:pattFill>
            </c:spPr>
            <c:extLst>
              <c:ext xmlns:c16="http://schemas.microsoft.com/office/drawing/2014/chart" uri="{C3380CC4-5D6E-409C-BE32-E72D297353CC}">
                <c16:uniqueId val="{0000000D-D867-4680-A9FC-85BC7E814B55}"/>
              </c:ext>
            </c:extLst>
          </c:dPt>
          <c:dPt>
            <c:idx val="9"/>
            <c:bubble3D val="0"/>
            <c:spPr>
              <a:pattFill prst="smCheck">
                <a:fgClr>
                  <a:schemeClr val="bg2">
                    <a:lumMod val="25000"/>
                  </a:schemeClr>
                </a:fgClr>
                <a:bgClr>
                  <a:schemeClr val="bg1"/>
                </a:bgClr>
              </a:pattFill>
            </c:spPr>
            <c:extLst>
              <c:ext xmlns:c16="http://schemas.microsoft.com/office/drawing/2014/chart" uri="{C3380CC4-5D6E-409C-BE32-E72D297353CC}">
                <c16:uniqueId val="{0000000F-D867-4680-A9FC-85BC7E814B55}"/>
              </c:ext>
            </c:extLst>
          </c:dPt>
          <c:dLbls>
            <c:delete val="1"/>
          </c:dLbls>
          <c:cat>
            <c:strRef>
              <c:f>'Summary by Gas'!$A$131:$A$140</c:f>
              <c:strCache>
                <c:ptCount val="10"/>
                <c:pt idx="0">
                  <c:v>Residential</c:v>
                </c:pt>
                <c:pt idx="1">
                  <c:v>Commercial</c:v>
                </c:pt>
                <c:pt idx="2">
                  <c:v>Industrial</c:v>
                </c:pt>
                <c:pt idx="3">
                  <c:v>Electric Power</c:v>
                </c:pt>
                <c:pt idx="4">
                  <c:v>Municipal Solid Waste Combustion (Electric and Industrial)</c:v>
                </c:pt>
                <c:pt idx="5">
                  <c:v>Transportation</c:v>
                </c:pt>
                <c:pt idx="6">
                  <c:v>Natural Gas Systems (Leaks)</c:v>
                </c:pt>
                <c:pt idx="7">
                  <c:v>Agriculture </c:v>
                </c:pt>
                <c:pt idx="8">
                  <c:v>Solid Waste (Landfill)</c:v>
                </c:pt>
                <c:pt idx="9">
                  <c:v>Wastewater</c:v>
                </c:pt>
              </c:strCache>
            </c:strRef>
          </c:cat>
          <c:val>
            <c:numRef>
              <c:f>'Summary by Gas'!$AI$131:$AI$140</c:f>
              <c:numCache>
                <c:formatCode>0.0</c:formatCode>
                <c:ptCount val="10"/>
                <c:pt idx="0">
                  <c:v>0.10759052499999998</c:v>
                </c:pt>
                <c:pt idx="1">
                  <c:v>3.2496180186030253E-2</c:v>
                </c:pt>
                <c:pt idx="2">
                  <c:v>3.9698296704444701E-3</c:v>
                </c:pt>
                <c:pt idx="3">
                  <c:v>3.3376695299999998E-3</c:v>
                </c:pt>
                <c:pt idx="4">
                  <c:v>2.4105499999999998E-2</c:v>
                </c:pt>
                <c:pt idx="5">
                  <c:v>2.9274631292007858E-2</c:v>
                </c:pt>
                <c:pt idx="6">
                  <c:v>0.7055939941976983</c:v>
                </c:pt>
                <c:pt idx="7">
                  <c:v>9.292292744602583E-2</c:v>
                </c:pt>
                <c:pt idx="8">
                  <c:v>0.14990019999999998</c:v>
                </c:pt>
                <c:pt idx="9">
                  <c:v>0.31959146188578752</c:v>
                </c:pt>
              </c:numCache>
            </c:numRef>
          </c:val>
          <c:extLst>
            <c:ext xmlns:c16="http://schemas.microsoft.com/office/drawing/2014/chart" uri="{C3380CC4-5D6E-409C-BE32-E72D297353CC}">
              <c16:uniqueId val="{00000010-D867-4680-A9FC-85BC7E814B55}"/>
            </c:ext>
          </c:extLst>
        </c:ser>
        <c:dLbls>
          <c:showLegendKey val="0"/>
          <c:showVal val="1"/>
          <c:showCatName val="1"/>
          <c:showSerName val="0"/>
          <c:showPercent val="0"/>
          <c:showBubbleSize val="0"/>
          <c:showLeaderLines val="1"/>
        </c:dLbls>
        <c:firstSliceAng val="0"/>
      </c:pie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9"/>
    </mc:Choice>
    <mc:Fallback>
      <c:style val="9"/>
    </mc:Fallback>
  </mc:AlternateContent>
  <c:chart>
    <c:title>
      <c:tx>
        <c:rich>
          <a:bodyPr/>
          <a:lstStyle/>
          <a:p>
            <a:pPr>
              <a:defRPr sz="1800" b="1" i="0" u="none" strike="noStrike" baseline="0">
                <a:solidFill>
                  <a:srgbClr val="000000"/>
                </a:solidFill>
                <a:latin typeface="Calibri"/>
                <a:ea typeface="Calibri"/>
                <a:cs typeface="Calibri"/>
              </a:defRPr>
            </a:pPr>
            <a:r>
              <a:rPr lang="en-US" sz="1800">
                <a:latin typeface="Aptos" panose="020B0004020202020204" pitchFamily="34" charset="0"/>
              </a:rPr>
              <a:t>2023 Methane Emissions in MA:</a:t>
            </a:r>
            <a:r>
              <a:rPr lang="en-US" sz="1800" baseline="0">
                <a:latin typeface="Aptos" panose="020B0004020202020204" pitchFamily="34" charset="0"/>
              </a:rPr>
              <a:t> </a:t>
            </a:r>
          </a:p>
          <a:p>
            <a:pPr>
              <a:defRPr sz="1800" b="1" i="0" u="none" strike="noStrike" baseline="0">
                <a:solidFill>
                  <a:srgbClr val="000000"/>
                </a:solidFill>
                <a:latin typeface="Calibri"/>
                <a:ea typeface="Calibri"/>
                <a:cs typeface="Calibri"/>
              </a:defRPr>
            </a:pPr>
            <a:r>
              <a:rPr lang="en-US" sz="1800" baseline="0">
                <a:latin typeface="Aptos" panose="020B0004020202020204" pitchFamily="34" charset="0"/>
              </a:rPr>
              <a:t>C</a:t>
            </a:r>
            <a:r>
              <a:rPr lang="en-US" sz="1800">
                <a:latin typeface="Aptos" panose="020B0004020202020204" pitchFamily="34" charset="0"/>
              </a:rPr>
              <a:t>ombustion and Non-Combustion</a:t>
            </a:r>
          </a:p>
        </c:rich>
      </c:tx>
      <c:layout>
        <c:manualLayout>
          <c:xMode val="edge"/>
          <c:yMode val="edge"/>
          <c:x val="0.2095180309624898"/>
          <c:y val="3.8208896322327254E-2"/>
        </c:manualLayout>
      </c:layout>
      <c:overlay val="0"/>
    </c:title>
    <c:autoTitleDeleted val="0"/>
    <c:plotArea>
      <c:layout/>
      <c:doughnutChart>
        <c:varyColors val="1"/>
        <c:ser>
          <c:idx val="0"/>
          <c:order val="0"/>
          <c:tx>
            <c:strRef>
              <c:f>'Summary by Gas'!$Z$77</c:f>
              <c:strCache>
                <c:ptCount val="1"/>
              </c:strCache>
            </c:strRef>
          </c:tx>
          <c:dPt>
            <c:idx val="0"/>
            <c:bubble3D val="0"/>
            <c:spPr>
              <a:pattFill prst="smGrid">
                <a:fgClr>
                  <a:schemeClr val="bg1">
                    <a:lumMod val="50000"/>
                  </a:schemeClr>
                </a:fgClr>
                <a:bgClr>
                  <a:schemeClr val="bg1"/>
                </a:bgClr>
              </a:pattFill>
            </c:spPr>
            <c:extLst>
              <c:ext xmlns:c16="http://schemas.microsoft.com/office/drawing/2014/chart" uri="{C3380CC4-5D6E-409C-BE32-E72D297353CC}">
                <c16:uniqueId val="{00000001-DC13-4F5D-BA33-4C2594DA219F}"/>
              </c:ext>
            </c:extLst>
          </c:dPt>
          <c:dPt>
            <c:idx val="1"/>
            <c:bubble3D val="0"/>
            <c:spPr>
              <a:solidFill>
                <a:schemeClr val="bg1">
                  <a:lumMod val="75000"/>
                </a:schemeClr>
              </a:solidFill>
            </c:spPr>
            <c:extLst>
              <c:ext xmlns:c16="http://schemas.microsoft.com/office/drawing/2014/chart" uri="{C3380CC4-5D6E-409C-BE32-E72D297353CC}">
                <c16:uniqueId val="{00000003-DC13-4F5D-BA33-4C2594DA219F}"/>
              </c:ext>
            </c:extLst>
          </c:dPt>
          <c:dPt>
            <c:idx val="2"/>
            <c:bubble3D val="0"/>
            <c:spPr>
              <a:pattFill prst="wave">
                <a:fgClr>
                  <a:schemeClr val="bg1">
                    <a:lumMod val="50000"/>
                  </a:schemeClr>
                </a:fgClr>
                <a:bgClr>
                  <a:schemeClr val="bg1"/>
                </a:bgClr>
              </a:pattFill>
            </c:spPr>
            <c:extLst>
              <c:ext xmlns:c16="http://schemas.microsoft.com/office/drawing/2014/chart" uri="{C3380CC4-5D6E-409C-BE32-E72D297353CC}">
                <c16:uniqueId val="{00000005-DC13-4F5D-BA33-4C2594DA219F}"/>
              </c:ext>
            </c:extLst>
          </c:dPt>
          <c:dPt>
            <c:idx val="3"/>
            <c:bubble3D val="0"/>
            <c:extLst>
              <c:ext xmlns:c16="http://schemas.microsoft.com/office/drawing/2014/chart" uri="{C3380CC4-5D6E-409C-BE32-E72D297353CC}">
                <c16:uniqueId val="{00000006-DC13-4F5D-BA33-4C2594DA219F}"/>
              </c:ext>
            </c:extLst>
          </c:dPt>
          <c:dLbls>
            <c:dLbl>
              <c:idx val="0"/>
              <c:layout>
                <c:manualLayout>
                  <c:x val="5.0314465408804958E-2"/>
                  <c:y val="-7.1556350626118093E-2"/>
                </c:manualLayout>
              </c:layout>
              <c:spPr>
                <a:solidFill>
                  <a:srgbClr val="FFFFFF"/>
                </a:solidFill>
                <a:ln w="25400">
                  <a:solidFill>
                    <a:srgbClr val="000000"/>
                  </a:solidFill>
                  <a:prstDash val="solid"/>
                </a:ln>
              </c:spPr>
              <c:txPr>
                <a:bodyPr/>
                <a:lstStyle/>
                <a:p>
                  <a:pPr>
                    <a:defRPr sz="1200" b="1" i="0" u="none" strike="noStrike" baseline="0">
                      <a:solidFill>
                        <a:srgbClr val="000000"/>
                      </a:solidFill>
                      <a:latin typeface="Aptos" panose="020B0004020202020204" pitchFamily="34" charset="0"/>
                      <a:ea typeface="Calibri"/>
                      <a:cs typeface="Calibri"/>
                    </a:defRPr>
                  </a:pPr>
                  <a:endParaRPr lang="en-US"/>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C13-4F5D-BA33-4C2594DA219F}"/>
                </c:ext>
              </c:extLst>
            </c:dLbl>
            <c:dLbl>
              <c:idx val="1"/>
              <c:layout>
                <c:manualLayout>
                  <c:x val="9.9430038589153127E-2"/>
                  <c:y val="2.5485705163419869E-2"/>
                </c:manualLayout>
              </c:layout>
              <c:tx>
                <c:rich>
                  <a:bodyPr/>
                  <a:lstStyle/>
                  <a:p>
                    <a:pPr>
                      <a:defRPr sz="1200" b="1" i="0" u="none" strike="noStrike" baseline="0">
                        <a:solidFill>
                          <a:srgbClr val="000000"/>
                        </a:solidFill>
                        <a:latin typeface="Aptos" panose="020B0004020202020204" pitchFamily="34" charset="0"/>
                        <a:ea typeface="Calibri"/>
                        <a:cs typeface="Calibri"/>
                      </a:defRPr>
                    </a:pPr>
                    <a:r>
                      <a:rPr lang="en-US" sz="1200">
                        <a:latin typeface="Aptos" panose="020B0004020202020204" pitchFamily="34" charset="0"/>
                      </a:rPr>
                      <a:t>Natural Gas Systems 48%</a:t>
                    </a:r>
                  </a:p>
                </c:rich>
              </c:tx>
              <c:spPr>
                <a:solidFill>
                  <a:srgbClr val="FFFFFF"/>
                </a:solidFill>
                <a:ln w="25400">
                  <a:solidFill>
                    <a:srgbClr val="000000"/>
                  </a:solidFill>
                  <a:prstDash val="solid"/>
                </a:ln>
              </c:spPr>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3-DC13-4F5D-BA33-4C2594DA219F}"/>
                </c:ext>
              </c:extLst>
            </c:dLbl>
            <c:dLbl>
              <c:idx val="2"/>
              <c:layout>
                <c:manualLayout>
                  <c:x val="-0.10727272727272728"/>
                  <c:y val="5.2199130014499759E-2"/>
                </c:manualLayout>
              </c:layout>
              <c:tx>
                <c:rich>
                  <a:bodyPr/>
                  <a:lstStyle/>
                  <a:p>
                    <a:pPr>
                      <a:defRPr sz="1200" b="1" i="0" u="none" strike="noStrike" baseline="0">
                        <a:solidFill>
                          <a:srgbClr val="000000"/>
                        </a:solidFill>
                        <a:latin typeface="Aptos" panose="020B0004020202020204" pitchFamily="34" charset="0"/>
                        <a:ea typeface="Calibri"/>
                        <a:cs typeface="Calibri"/>
                      </a:defRPr>
                    </a:pPr>
                    <a:r>
                      <a:rPr lang="en-US" sz="1200">
                        <a:latin typeface="Aptos" panose="020B0004020202020204" pitchFamily="34" charset="0"/>
                      </a:rPr>
                      <a:t>Agriculture 6%</a:t>
                    </a:r>
                  </a:p>
                </c:rich>
              </c:tx>
              <c:spPr>
                <a:solidFill>
                  <a:srgbClr val="FFFFFF"/>
                </a:solidFill>
                <a:ln w="25400">
                  <a:solidFill>
                    <a:srgbClr val="000000"/>
                  </a:solidFill>
                  <a:prstDash val="solid"/>
                </a:ln>
              </c:spPr>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5-DC13-4F5D-BA33-4C2594DA219F}"/>
                </c:ext>
              </c:extLst>
            </c:dLbl>
            <c:dLbl>
              <c:idx val="3"/>
              <c:layout>
                <c:manualLayout>
                  <c:x val="-8.5454545454545477E-2"/>
                  <c:y val="3.8666022232962782E-2"/>
                </c:manualLayout>
              </c:layout>
              <c:tx>
                <c:rich>
                  <a:bodyPr/>
                  <a:lstStyle/>
                  <a:p>
                    <a:pPr>
                      <a:defRPr sz="1200" b="1" i="0" u="none" strike="noStrike" baseline="0">
                        <a:solidFill>
                          <a:srgbClr val="000000"/>
                        </a:solidFill>
                        <a:latin typeface="Aptos" panose="020B0004020202020204" pitchFamily="34" charset="0"/>
                        <a:ea typeface="Calibri"/>
                        <a:cs typeface="Calibri"/>
                      </a:defRPr>
                    </a:pPr>
                    <a:r>
                      <a:rPr lang="en-US" sz="1200">
                        <a:latin typeface="Aptos" panose="020B0004020202020204" pitchFamily="34" charset="0"/>
                      </a:rPr>
                      <a:t>Waste 32%</a:t>
                    </a:r>
                  </a:p>
                </c:rich>
              </c:tx>
              <c:spPr>
                <a:solidFill>
                  <a:srgbClr val="FFFFFF"/>
                </a:solidFill>
                <a:ln w="25400">
                  <a:solidFill>
                    <a:srgbClr val="000000"/>
                  </a:solidFill>
                  <a:prstDash val="solid"/>
                </a:ln>
              </c:spPr>
              <c:showLegendKey val="0"/>
              <c:showVal val="0"/>
              <c:showCatName val="1"/>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6-DC13-4F5D-BA33-4C2594DA219F}"/>
                </c:ext>
              </c:extLst>
            </c:dLbl>
            <c:spPr>
              <a:solidFill>
                <a:sysClr val="window" lastClr="FFFFFF"/>
              </a:solidFill>
              <a:ln>
                <a:solidFill>
                  <a:sysClr val="windowText" lastClr="000000">
                    <a:lumMod val="65000"/>
                    <a:lumOff val="35000"/>
                  </a:sysClr>
                </a:solidFill>
              </a:ln>
              <a:effectLst/>
            </c:spPr>
            <c:txPr>
              <a:bodyPr wrap="square" lIns="38100" tIns="19050" rIns="38100" bIns="19050" anchor="ctr">
                <a:spAutoFit/>
              </a:bodyPr>
              <a:lstStyle/>
              <a:p>
                <a:pPr>
                  <a:defRPr sz="1200">
                    <a:latin typeface="Aptos" panose="020B0004020202020204" pitchFamily="34" charset="0"/>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c15:spPr>
              </c:ext>
            </c:extLst>
          </c:dLbls>
          <c:cat>
            <c:strRef>
              <c:f>'Summary by Gas'!$Z$72:$Z$75</c:f>
              <c:strCache>
                <c:ptCount val="4"/>
                <c:pt idx="0">
                  <c:v>Combustion of Fuels</c:v>
                </c:pt>
                <c:pt idx="1">
                  <c:v>Natural Gas Systems</c:v>
                </c:pt>
                <c:pt idx="2">
                  <c:v>Agriculture</c:v>
                </c:pt>
                <c:pt idx="3">
                  <c:v>Waste</c:v>
                </c:pt>
              </c:strCache>
            </c:strRef>
          </c:cat>
          <c:val>
            <c:numRef>
              <c:f>'Summary by Gas'!$X$72:$X$75</c:f>
              <c:numCache>
                <c:formatCode>0.0</c:formatCode>
                <c:ptCount val="4"/>
                <c:pt idx="0">
                  <c:v>0.20077433567848255</c:v>
                </c:pt>
                <c:pt idx="1">
                  <c:v>0.7055939941976983</c:v>
                </c:pt>
                <c:pt idx="2">
                  <c:v>9.292292744602583E-2</c:v>
                </c:pt>
                <c:pt idx="3">
                  <c:v>0.4694916618857875</c:v>
                </c:pt>
              </c:numCache>
            </c:numRef>
          </c:val>
          <c:extLst>
            <c:ext xmlns:c16="http://schemas.microsoft.com/office/drawing/2014/chart" uri="{C3380CC4-5D6E-409C-BE32-E72D297353CC}">
              <c16:uniqueId val="{00000007-DC13-4F5D-BA33-4C2594DA219F}"/>
            </c:ext>
          </c:extLst>
        </c:ser>
        <c:dLbls>
          <c:showLegendKey val="0"/>
          <c:showVal val="0"/>
          <c:showCatName val="0"/>
          <c:showSerName val="0"/>
          <c:showPercent val="0"/>
          <c:showBubbleSize val="0"/>
          <c:showLeaderLines val="0"/>
        </c:dLbls>
        <c:firstSliceAng val="0"/>
        <c:holeSize val="50"/>
      </c:doughnut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latin typeface="Aptos" panose="020B0004020202020204" pitchFamily="34" charset="0"/>
              </a:rPr>
              <a:t>2023</a:t>
            </a:r>
            <a:r>
              <a:rPr lang="en-US" baseline="0">
                <a:latin typeface="Aptos" panose="020B0004020202020204" pitchFamily="34" charset="0"/>
              </a:rPr>
              <a:t> </a:t>
            </a:r>
            <a:r>
              <a:rPr lang="en-US">
                <a:latin typeface="Aptos" panose="020B0004020202020204" pitchFamily="34" charset="0"/>
              </a:rPr>
              <a:t>MA GHG Emissions by Gas</a:t>
            </a:r>
          </a:p>
        </c:rich>
      </c:tx>
      <c:layout>
        <c:manualLayout>
          <c:xMode val="edge"/>
          <c:yMode val="edge"/>
          <c:x val="1.4524688320209972E-2"/>
          <c:y val="5.765957446808511E-2"/>
        </c:manualLayout>
      </c:layout>
      <c:overlay val="1"/>
    </c:title>
    <c:autoTitleDeleted val="0"/>
    <c:plotArea>
      <c:layout>
        <c:manualLayout>
          <c:layoutTarget val="inner"/>
          <c:xMode val="edge"/>
          <c:yMode val="edge"/>
          <c:x val="6.3645013123359587E-2"/>
          <c:y val="0.25907788141893084"/>
          <c:w val="0.52991972878390203"/>
          <c:h val="0.6623998420821966"/>
        </c:manualLayout>
      </c:layout>
      <c:pieChart>
        <c:varyColors val="1"/>
        <c:ser>
          <c:idx val="0"/>
          <c:order val="0"/>
          <c:tx>
            <c:strRef>
              <c:f>'Summary by Gas'!$H$5</c:f>
              <c:strCache>
                <c:ptCount val="1"/>
                <c:pt idx="0">
                  <c:v>2023 GHG Emissions by Gas in MA</c:v>
                </c:pt>
              </c:strCache>
            </c:strRef>
          </c:tx>
          <c:dPt>
            <c:idx val="0"/>
            <c:bubble3D val="0"/>
            <c:spPr>
              <a:solidFill>
                <a:schemeClr val="accent1">
                  <a:lumMod val="75000"/>
                </a:schemeClr>
              </a:solidFill>
            </c:spPr>
            <c:extLst>
              <c:ext xmlns:c16="http://schemas.microsoft.com/office/drawing/2014/chart" uri="{C3380CC4-5D6E-409C-BE32-E72D297353CC}">
                <c16:uniqueId val="{00000001-DB13-4DBF-9745-D236DBD2B6FD}"/>
              </c:ext>
            </c:extLst>
          </c:dPt>
          <c:dPt>
            <c:idx val="1"/>
            <c:bubble3D val="0"/>
            <c:spPr>
              <a:pattFill prst="smGrid">
                <a:fgClr>
                  <a:schemeClr val="accent3">
                    <a:lumMod val="50000"/>
                  </a:schemeClr>
                </a:fgClr>
                <a:bgClr>
                  <a:schemeClr val="bg1"/>
                </a:bgClr>
              </a:pattFill>
            </c:spPr>
            <c:extLst>
              <c:ext xmlns:c16="http://schemas.microsoft.com/office/drawing/2014/chart" uri="{C3380CC4-5D6E-409C-BE32-E72D297353CC}">
                <c16:uniqueId val="{00000003-DB13-4DBF-9745-D236DBD2B6FD}"/>
              </c:ext>
            </c:extLst>
          </c:dPt>
          <c:dPt>
            <c:idx val="2"/>
            <c:bubble3D val="0"/>
            <c:spPr>
              <a:pattFill prst="pct80">
                <a:fgClr>
                  <a:schemeClr val="accent2">
                    <a:lumMod val="50000"/>
                  </a:schemeClr>
                </a:fgClr>
                <a:bgClr>
                  <a:schemeClr val="bg1"/>
                </a:bgClr>
              </a:pattFill>
            </c:spPr>
            <c:extLst>
              <c:ext xmlns:c16="http://schemas.microsoft.com/office/drawing/2014/chart" uri="{C3380CC4-5D6E-409C-BE32-E72D297353CC}">
                <c16:uniqueId val="{00000005-DB13-4DBF-9745-D236DBD2B6FD}"/>
              </c:ext>
            </c:extLst>
          </c:dPt>
          <c:dPt>
            <c:idx val="3"/>
            <c:bubble3D val="0"/>
            <c:spPr>
              <a:pattFill prst="lgGrid">
                <a:fgClr>
                  <a:schemeClr val="accent4">
                    <a:lumMod val="75000"/>
                  </a:schemeClr>
                </a:fgClr>
                <a:bgClr>
                  <a:schemeClr val="bg1"/>
                </a:bgClr>
              </a:pattFill>
            </c:spPr>
            <c:extLst>
              <c:ext xmlns:c16="http://schemas.microsoft.com/office/drawing/2014/chart" uri="{C3380CC4-5D6E-409C-BE32-E72D297353CC}">
                <c16:uniqueId val="{00000007-DB13-4DBF-9745-D236DBD2B6FD}"/>
              </c:ext>
            </c:extLst>
          </c:dPt>
          <c:dPt>
            <c:idx val="4"/>
            <c:bubble3D val="0"/>
            <c:spPr>
              <a:pattFill prst="wdUpDiag">
                <a:fgClr>
                  <a:schemeClr val="accent6">
                    <a:lumMod val="75000"/>
                  </a:schemeClr>
                </a:fgClr>
                <a:bgClr>
                  <a:schemeClr val="bg1"/>
                </a:bgClr>
              </a:pattFill>
            </c:spPr>
            <c:extLst>
              <c:ext xmlns:c16="http://schemas.microsoft.com/office/drawing/2014/chart" uri="{C3380CC4-5D6E-409C-BE32-E72D297353CC}">
                <c16:uniqueId val="{00000009-DB13-4DBF-9745-D236DBD2B6FD}"/>
              </c:ext>
            </c:extLst>
          </c:dPt>
          <c:dLbls>
            <c:dLbl>
              <c:idx val="0"/>
              <c:layout>
                <c:manualLayout>
                  <c:x val="5.2345561600537056E-2"/>
                  <c:y val="-4.8790158797702175E-2"/>
                </c:manualLayout>
              </c:layout>
              <c:spPr/>
              <c:txPr>
                <a:bodyPr/>
                <a:lstStyle/>
                <a:p>
                  <a:pPr>
                    <a:defRPr sz="1400" b="1" i="0" u="none" strike="noStrike" baseline="0">
                      <a:solidFill>
                        <a:srgbClr val="000000"/>
                      </a:solidFill>
                      <a:latin typeface="Aptos" panose="020B0004020202020204" pitchFamily="34" charset="0"/>
                      <a:ea typeface="Calibri"/>
                      <a:cs typeface="Calibri"/>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13-4DBF-9745-D236DBD2B6FD}"/>
                </c:ext>
              </c:extLst>
            </c:dLbl>
            <c:dLbl>
              <c:idx val="1"/>
              <c:layout>
                <c:manualLayout>
                  <c:x val="-2.7427411417322835E-2"/>
                  <c:y val="4.3363489138325793E-2"/>
                </c:manualLayout>
              </c:layout>
              <c:spPr/>
              <c:txPr>
                <a:bodyPr/>
                <a:lstStyle/>
                <a:p>
                  <a:pPr>
                    <a:defRPr sz="1400" b="1" i="0" u="none" strike="noStrike" baseline="0">
                      <a:solidFill>
                        <a:srgbClr val="000000"/>
                      </a:solidFill>
                      <a:latin typeface="Aptos" panose="020B0004020202020204" pitchFamily="34" charset="0"/>
                      <a:ea typeface="Calibri"/>
                      <a:cs typeface="Calibri"/>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13-4DBF-9745-D236DBD2B6FD}"/>
                </c:ext>
              </c:extLst>
            </c:dLbl>
            <c:dLbl>
              <c:idx val="2"/>
              <c:layout>
                <c:manualLayout>
                  <c:x val="-1.4831576059970576E-2"/>
                  <c:y val="-3.2401748750478354E-2"/>
                </c:manualLayout>
              </c:layout>
              <c:spPr/>
              <c:txPr>
                <a:bodyPr/>
                <a:lstStyle/>
                <a:p>
                  <a:pPr>
                    <a:defRPr sz="1400" b="1" i="0" u="none" strike="noStrike" baseline="0">
                      <a:solidFill>
                        <a:srgbClr val="000000"/>
                      </a:solidFill>
                      <a:latin typeface="Aptos" panose="020B0004020202020204" pitchFamily="34" charset="0"/>
                      <a:ea typeface="Calibri"/>
                      <a:cs typeface="Calibri"/>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13-4DBF-9745-D236DBD2B6FD}"/>
                </c:ext>
              </c:extLst>
            </c:dLbl>
            <c:dLbl>
              <c:idx val="3"/>
              <c:layout>
                <c:manualLayout>
                  <c:x val="5.4967814954708719E-2"/>
                  <c:y val="-5.9164357032690504E-2"/>
                </c:manualLayout>
              </c:layout>
              <c:spPr/>
              <c:txPr>
                <a:bodyPr/>
                <a:lstStyle/>
                <a:p>
                  <a:pPr>
                    <a:defRPr sz="1400" b="1" i="0" u="none" strike="noStrike" baseline="0">
                      <a:solidFill>
                        <a:srgbClr val="000000"/>
                      </a:solidFill>
                      <a:latin typeface="Aptos" panose="020B0004020202020204" pitchFamily="34" charset="0"/>
                      <a:ea typeface="Calibri"/>
                      <a:cs typeface="Calibri"/>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B13-4DBF-9745-D236DBD2B6FD}"/>
                </c:ext>
              </c:extLst>
            </c:dLbl>
            <c:dLbl>
              <c:idx val="4"/>
              <c:layout>
                <c:manualLayout>
                  <c:x val="5.3052308891076115E-2"/>
                  <c:y val="5.1873568995364945E-3"/>
                </c:manualLayout>
              </c:layout>
              <c:spPr/>
              <c:txPr>
                <a:bodyPr/>
                <a:lstStyle/>
                <a:p>
                  <a:pPr>
                    <a:defRPr sz="1400" b="1" i="0" u="none" strike="noStrike" baseline="0">
                      <a:solidFill>
                        <a:srgbClr val="000000"/>
                      </a:solidFill>
                      <a:latin typeface="Aptos" panose="020B0004020202020204" pitchFamily="34" charset="0"/>
                      <a:ea typeface="Calibri"/>
                      <a:cs typeface="Calibri"/>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B13-4DBF-9745-D236DBD2B6FD}"/>
                </c:ext>
              </c:extLst>
            </c:dLbl>
            <c:spPr>
              <a:noFill/>
              <a:ln>
                <a:noFill/>
              </a:ln>
              <a:effectLst/>
            </c:spPr>
            <c:txPr>
              <a:bodyPr wrap="square" lIns="38100" tIns="19050" rIns="38100" bIns="19050" anchor="ctr">
                <a:spAutoFit/>
              </a:bodyPr>
              <a:lstStyle/>
              <a:p>
                <a:pPr>
                  <a:defRPr sz="1400">
                    <a:latin typeface="Aptos" panose="020B00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'Summary by Gas'!$J$7:$J$11</c:f>
              <c:strCache>
                <c:ptCount val="5"/>
                <c:pt idx="0">
                  <c:v>CO2 Total</c:v>
                </c:pt>
                <c:pt idx="1">
                  <c:v>CH4 Total</c:v>
                </c:pt>
                <c:pt idx="2">
                  <c:v>N2O Total</c:v>
                </c:pt>
                <c:pt idx="3">
                  <c:v>SF6 and Other GHG Gases Total</c:v>
                </c:pt>
                <c:pt idx="4">
                  <c:v>Imported Electric Power (CO2, CH4 and N2O combined)</c:v>
                </c:pt>
              </c:strCache>
            </c:strRef>
          </c:cat>
          <c:val>
            <c:numRef>
              <c:f>'Summary by Gas'!$I$7:$I$11</c:f>
              <c:numCache>
                <c:formatCode>0.0%</c:formatCode>
                <c:ptCount val="5"/>
                <c:pt idx="0">
                  <c:v>0.85422204714997607</c:v>
                </c:pt>
                <c:pt idx="1">
                  <c:v>2.2548159910925337E-2</c:v>
                </c:pt>
                <c:pt idx="2">
                  <c:v>1.0959679762923544E-2</c:v>
                </c:pt>
                <c:pt idx="3">
                  <c:v>5.0144921600731383E-2</c:v>
                </c:pt>
                <c:pt idx="4">
                  <c:v>6.2125191575443557E-2</c:v>
                </c:pt>
              </c:numCache>
            </c:numRef>
          </c:val>
          <c:extLst>
            <c:ext xmlns:c16="http://schemas.microsoft.com/office/drawing/2014/chart" uri="{C3380CC4-5D6E-409C-BE32-E72D297353CC}">
              <c16:uniqueId val="{0000000A-DB13-4DBF-9745-D236DBD2B6FD}"/>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9828934793452779"/>
          <c:y val="5.0098844027475289E-2"/>
          <c:w val="0.2767107219945642"/>
          <c:h val="0.93492265594460278"/>
        </c:manualLayout>
      </c:layout>
      <c:overlay val="0"/>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ptos" panose="020B0004020202020204" pitchFamily="34" charset="0"/>
                <a:ea typeface="Calibri"/>
                <a:cs typeface="Calibri"/>
              </a:defRPr>
            </a:pPr>
            <a:r>
              <a:rPr lang="en-US">
                <a:latin typeface="Aptos" panose="020B0004020202020204" pitchFamily="34" charset="0"/>
              </a:rPr>
              <a:t>MA electric power MMTCO2E</a:t>
            </a:r>
          </a:p>
        </c:rich>
      </c:tx>
      <c:layout>
        <c:manualLayout>
          <c:xMode val="edge"/>
          <c:yMode val="edge"/>
          <c:x val="5.7030385821655337E-2"/>
          <c:y val="2.7586206896551724E-2"/>
        </c:manualLayout>
      </c:layout>
      <c:overlay val="0"/>
    </c:title>
    <c:autoTitleDeleted val="0"/>
    <c:plotArea>
      <c:layout>
        <c:manualLayout>
          <c:layoutTarget val="inner"/>
          <c:xMode val="edge"/>
          <c:yMode val="edge"/>
          <c:x val="6.1678470075186446E-2"/>
          <c:y val="0.19480351414406533"/>
          <c:w val="0.59587561015606649"/>
          <c:h val="0.65183253135024788"/>
        </c:manualLayout>
      </c:layout>
      <c:lineChart>
        <c:grouping val="standard"/>
        <c:varyColors val="0"/>
        <c:ser>
          <c:idx val="0"/>
          <c:order val="0"/>
          <c:tx>
            <c:strRef>
              <c:f>'Sector Sublimits'!$A$78</c:f>
              <c:strCache>
                <c:ptCount val="1"/>
                <c:pt idx="0">
                  <c:v>Electricity Total CO2e from Fuel Combustion</c:v>
                </c:pt>
              </c:strCache>
            </c:strRef>
          </c:tx>
          <c:spPr>
            <a:ln>
              <a:solidFill>
                <a:srgbClr val="FF99FF"/>
              </a:solidFill>
            </a:ln>
          </c:spPr>
          <c:marker>
            <c:symbol val="diamond"/>
            <c:size val="8"/>
            <c:spPr>
              <a:solidFill>
                <a:srgbClr val="FF99FF"/>
              </a:solidFill>
              <a:ln>
                <a:solidFill>
                  <a:srgbClr val="FF99FF"/>
                </a:solidFill>
              </a:ln>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Sublimits'!$B$78:$AI$78</c:f>
              <c:numCache>
                <c:formatCode>#,##0.0</c:formatCode>
                <c:ptCount val="34"/>
                <c:pt idx="0">
                  <c:v>28.162431330116149</c:v>
                </c:pt>
                <c:pt idx="1">
                  <c:v>28.264086112233116</c:v>
                </c:pt>
                <c:pt idx="2">
                  <c:v>27.083465220071602</c:v>
                </c:pt>
                <c:pt idx="3">
                  <c:v>25.451998051107321</c:v>
                </c:pt>
                <c:pt idx="4">
                  <c:v>25.542371654754771</c:v>
                </c:pt>
                <c:pt idx="5">
                  <c:v>24.730600597448042</c:v>
                </c:pt>
                <c:pt idx="6">
                  <c:v>24.51855665029958</c:v>
                </c:pt>
                <c:pt idx="7">
                  <c:v>28.637910886582169</c:v>
                </c:pt>
                <c:pt idx="8">
                  <c:v>29.274838523518994</c:v>
                </c:pt>
                <c:pt idx="9">
                  <c:v>27.873815963592197</c:v>
                </c:pt>
                <c:pt idx="10">
                  <c:v>27.07555759560249</c:v>
                </c:pt>
                <c:pt idx="11">
                  <c:v>26.559330901711363</c:v>
                </c:pt>
                <c:pt idx="12">
                  <c:v>28.147865813381259</c:v>
                </c:pt>
                <c:pt idx="13">
                  <c:v>29.637443235091379</c:v>
                </c:pt>
                <c:pt idx="14">
                  <c:v>28.52854665158296</c:v>
                </c:pt>
                <c:pt idx="15">
                  <c:v>29.976865531050549</c:v>
                </c:pt>
                <c:pt idx="16">
                  <c:v>26.19038965355578</c:v>
                </c:pt>
                <c:pt idx="17">
                  <c:v>27.844045975987939</c:v>
                </c:pt>
                <c:pt idx="18">
                  <c:v>25.13013800459893</c:v>
                </c:pt>
                <c:pt idx="19">
                  <c:v>22.503797660883695</c:v>
                </c:pt>
                <c:pt idx="20">
                  <c:v>23.211386378367123</c:v>
                </c:pt>
                <c:pt idx="21">
                  <c:v>18.281940644785681</c:v>
                </c:pt>
                <c:pt idx="22">
                  <c:v>15.861730730057928</c:v>
                </c:pt>
                <c:pt idx="23">
                  <c:v>16.4512569723315</c:v>
                </c:pt>
                <c:pt idx="24">
                  <c:v>14.88463344566345</c:v>
                </c:pt>
                <c:pt idx="25">
                  <c:v>15.686193768215984</c:v>
                </c:pt>
                <c:pt idx="26">
                  <c:v>14.734081239424333</c:v>
                </c:pt>
                <c:pt idx="27">
                  <c:v>13.614370068180438</c:v>
                </c:pt>
                <c:pt idx="28">
                  <c:v>12.134257842909928</c:v>
                </c:pt>
                <c:pt idx="29">
                  <c:v>10.722427778971639</c:v>
                </c:pt>
                <c:pt idx="30">
                  <c:v>12.806025714474893</c:v>
                </c:pt>
                <c:pt idx="31">
                  <c:v>12.487184309944796</c:v>
                </c:pt>
                <c:pt idx="32">
                  <c:v>12.230393622083517</c:v>
                </c:pt>
                <c:pt idx="33">
                  <c:v>11.260706072606789</c:v>
                </c:pt>
              </c:numCache>
            </c:numRef>
          </c:val>
          <c:smooth val="0"/>
          <c:extLst>
            <c:ext xmlns:c16="http://schemas.microsoft.com/office/drawing/2014/chart" uri="{C3380CC4-5D6E-409C-BE32-E72D297353CC}">
              <c16:uniqueId val="{00000000-E918-41CA-9C2F-534CA354F5C0}"/>
            </c:ext>
          </c:extLst>
        </c:ser>
        <c:ser>
          <c:idx val="1"/>
          <c:order val="1"/>
          <c:tx>
            <c:strRef>
              <c:f>'Sector Sublimits'!$A$79</c:f>
              <c:strCache>
                <c:ptCount val="1"/>
                <c:pt idx="0">
                  <c:v>Electric Generation CO2</c:v>
                </c:pt>
              </c:strCache>
            </c:strRef>
          </c:tx>
          <c:marker>
            <c:symbol val="square"/>
            <c:size val="5"/>
            <c:spPr>
              <a:solidFill>
                <a:srgbClr val="002060"/>
              </a:solidFill>
              <a:ln>
                <a:solidFill>
                  <a:srgbClr val="002060"/>
                </a:solidFill>
              </a:ln>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Sublimits'!$B$79:$AI$79</c:f>
              <c:numCache>
                <c:formatCode>#,##0.0</c:formatCode>
                <c:ptCount val="34"/>
                <c:pt idx="0">
                  <c:v>25.256636732676711</c:v>
                </c:pt>
                <c:pt idx="1">
                  <c:v>25.914728879913365</c:v>
                </c:pt>
                <c:pt idx="2">
                  <c:v>24.426681636914616</c:v>
                </c:pt>
                <c:pt idx="3">
                  <c:v>21.967535985573292</c:v>
                </c:pt>
                <c:pt idx="4">
                  <c:v>22.308384804598031</c:v>
                </c:pt>
                <c:pt idx="5">
                  <c:v>21.438788153844321</c:v>
                </c:pt>
                <c:pt idx="6">
                  <c:v>20.883901096087193</c:v>
                </c:pt>
                <c:pt idx="7">
                  <c:v>26.163942634042538</c:v>
                </c:pt>
                <c:pt idx="8">
                  <c:v>26.747611926121515</c:v>
                </c:pt>
                <c:pt idx="9">
                  <c:v>24.004093488628136</c:v>
                </c:pt>
                <c:pt idx="10">
                  <c:v>22.176187156381239</c:v>
                </c:pt>
                <c:pt idx="11">
                  <c:v>21.9644181064916</c:v>
                </c:pt>
                <c:pt idx="12">
                  <c:v>22.920165736663847</c:v>
                </c:pt>
                <c:pt idx="13">
                  <c:v>25.00860220508946</c:v>
                </c:pt>
                <c:pt idx="14">
                  <c:v>23.742061768767062</c:v>
                </c:pt>
                <c:pt idx="15">
                  <c:v>24.508508839562417</c:v>
                </c:pt>
                <c:pt idx="16">
                  <c:v>21.605252315219431</c:v>
                </c:pt>
                <c:pt idx="17">
                  <c:v>23.666295740032623</c:v>
                </c:pt>
                <c:pt idx="18">
                  <c:v>20.168912335399149</c:v>
                </c:pt>
                <c:pt idx="19">
                  <c:v>17.585116309401926</c:v>
                </c:pt>
                <c:pt idx="20">
                  <c:v>18.286569094037727</c:v>
                </c:pt>
                <c:pt idx="21">
                  <c:v>14.354837458195698</c:v>
                </c:pt>
                <c:pt idx="22">
                  <c:v>12.131402331331717</c:v>
                </c:pt>
                <c:pt idx="23">
                  <c:v>12.659822445437143</c:v>
                </c:pt>
                <c:pt idx="24">
                  <c:v>10.782306921880684</c:v>
                </c:pt>
                <c:pt idx="25">
                  <c:v>11.311329440348851</c:v>
                </c:pt>
                <c:pt idx="26">
                  <c:v>10.704619766914323</c:v>
                </c:pt>
                <c:pt idx="27">
                  <c:v>10.277411017637217</c:v>
                </c:pt>
                <c:pt idx="28">
                  <c:v>7.6499388544811335</c:v>
                </c:pt>
                <c:pt idx="29">
                  <c:v>6.2240808974230486</c:v>
                </c:pt>
                <c:pt idx="30">
                  <c:v>5.7447834902179773</c:v>
                </c:pt>
                <c:pt idx="31">
                  <c:v>6.1409138216974188</c:v>
                </c:pt>
                <c:pt idx="32">
                  <c:v>6.805501872639649</c:v>
                </c:pt>
                <c:pt idx="33">
                  <c:v>5.9727830458898277</c:v>
                </c:pt>
              </c:numCache>
            </c:numRef>
          </c:val>
          <c:smooth val="0"/>
          <c:extLst>
            <c:ext xmlns:c16="http://schemas.microsoft.com/office/drawing/2014/chart" uri="{C3380CC4-5D6E-409C-BE32-E72D297353CC}">
              <c16:uniqueId val="{00000001-E918-41CA-9C2F-534CA354F5C0}"/>
            </c:ext>
          </c:extLst>
        </c:ser>
        <c:ser>
          <c:idx val="4"/>
          <c:order val="2"/>
          <c:tx>
            <c:strRef>
              <c:f>'Sector Sublimits'!$A$82</c:f>
              <c:strCache>
                <c:ptCount val="1"/>
                <c:pt idx="0">
                  <c:v>Electricity Imports (CO2, CH4 and N2O)</c:v>
                </c:pt>
              </c:strCache>
            </c:strRef>
          </c:tx>
          <c:marker>
            <c:symbol val="star"/>
            <c:size val="6"/>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Sublimits'!$B$82:$AI$82</c:f>
              <c:numCache>
                <c:formatCode>#,##0.0</c:formatCode>
                <c:ptCount val="34"/>
                <c:pt idx="0">
                  <c:v>1.8858940212182027</c:v>
                </c:pt>
                <c:pt idx="1">
                  <c:v>1.1724041159564047</c:v>
                </c:pt>
                <c:pt idx="2">
                  <c:v>1.4752219821672543</c:v>
                </c:pt>
                <c:pt idx="3">
                  <c:v>2.1606319969895238</c:v>
                </c:pt>
                <c:pt idx="4">
                  <c:v>1.8606896976971012</c:v>
                </c:pt>
                <c:pt idx="5">
                  <c:v>1.9424413128723124</c:v>
                </c:pt>
                <c:pt idx="6">
                  <c:v>2.1100141227923412</c:v>
                </c:pt>
                <c:pt idx="7">
                  <c:v>0.92218599359594056</c:v>
                </c:pt>
                <c:pt idx="8">
                  <c:v>0.9110947061645297</c:v>
                </c:pt>
                <c:pt idx="9">
                  <c:v>2.2206927454267458</c:v>
                </c:pt>
                <c:pt idx="10">
                  <c:v>3.1177751602306079</c:v>
                </c:pt>
                <c:pt idx="11">
                  <c:v>2.7304610756268213</c:v>
                </c:pt>
                <c:pt idx="12">
                  <c:v>3.3680431512014977</c:v>
                </c:pt>
                <c:pt idx="13">
                  <c:v>2.7376472247771821</c:v>
                </c:pt>
                <c:pt idx="14">
                  <c:v>2.8617100488563549</c:v>
                </c:pt>
                <c:pt idx="15">
                  <c:v>3.4144696386176672</c:v>
                </c:pt>
                <c:pt idx="16">
                  <c:v>2.5534994899415717</c:v>
                </c:pt>
                <c:pt idx="17">
                  <c:v>2.2266959156511517</c:v>
                </c:pt>
                <c:pt idx="18">
                  <c:v>2.7135384030986245</c:v>
                </c:pt>
                <c:pt idx="19">
                  <c:v>2.7435998839761511</c:v>
                </c:pt>
                <c:pt idx="20">
                  <c:v>2.4424966762479952</c:v>
                </c:pt>
                <c:pt idx="21">
                  <c:v>2.762607960078582</c:v>
                </c:pt>
                <c:pt idx="22">
                  <c:v>2.5791425425944108</c:v>
                </c:pt>
                <c:pt idx="23">
                  <c:v>2.5775033696333551</c:v>
                </c:pt>
                <c:pt idx="24">
                  <c:v>2.8572204393981666</c:v>
                </c:pt>
                <c:pt idx="25">
                  <c:v>3.1280148954123335</c:v>
                </c:pt>
                <c:pt idx="26">
                  <c:v>2.7685856857608093</c:v>
                </c:pt>
                <c:pt idx="27">
                  <c:v>2.1456933025826213</c:v>
                </c:pt>
                <c:pt idx="28">
                  <c:v>3.3046574846037937</c:v>
                </c:pt>
                <c:pt idx="29">
                  <c:v>3.3996567306085903</c:v>
                </c:pt>
                <c:pt idx="30">
                  <c:v>5.8843166806447158</c:v>
                </c:pt>
                <c:pt idx="31">
                  <c:v>5.111868658436177</c:v>
                </c:pt>
                <c:pt idx="32">
                  <c:v>4.1323357808358683</c:v>
                </c:pt>
                <c:pt idx="33">
                  <c:v>4.0468233593785614</c:v>
                </c:pt>
              </c:numCache>
            </c:numRef>
          </c:val>
          <c:smooth val="0"/>
          <c:extLst>
            <c:ext xmlns:c16="http://schemas.microsoft.com/office/drawing/2014/chart" uri="{C3380CC4-5D6E-409C-BE32-E72D297353CC}">
              <c16:uniqueId val="{00000002-E918-41CA-9C2F-534CA354F5C0}"/>
            </c:ext>
          </c:extLst>
        </c:ser>
        <c:ser>
          <c:idx val="3"/>
          <c:order val="3"/>
          <c:tx>
            <c:strRef>
              <c:f>'Sector Sublimits'!$A$81</c:f>
              <c:strCache>
                <c:ptCount val="1"/>
                <c:pt idx="0">
                  <c:v>Electric Generation from MSW (CO2, CH4 and N2O)</c:v>
                </c:pt>
              </c:strCache>
            </c:strRef>
          </c:tx>
          <c:marker>
            <c:symbol val="circle"/>
            <c:size val="5"/>
            <c:spPr>
              <a:solidFill>
                <a:schemeClr val="accent3">
                  <a:lumMod val="50000"/>
                </a:schemeClr>
              </a:solidFill>
              <a:ln>
                <a:solidFill>
                  <a:schemeClr val="accent3">
                    <a:lumMod val="50000"/>
                  </a:schemeClr>
                </a:solidFill>
              </a:ln>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Sublimits'!$B$81:$AI$81</c:f>
              <c:numCache>
                <c:formatCode>#,##0.0</c:formatCode>
                <c:ptCount val="34"/>
                <c:pt idx="0">
                  <c:v>0.92601628752123666</c:v>
                </c:pt>
                <c:pt idx="1">
                  <c:v>1.0801301569133455</c:v>
                </c:pt>
                <c:pt idx="2">
                  <c:v>1.0906473008397313</c:v>
                </c:pt>
                <c:pt idx="3">
                  <c:v>1.242718904054505</c:v>
                </c:pt>
                <c:pt idx="4">
                  <c:v>1.2928195089196404</c:v>
                </c:pt>
                <c:pt idx="5">
                  <c:v>1.2744958903414088</c:v>
                </c:pt>
                <c:pt idx="6">
                  <c:v>1.4468622619050446</c:v>
                </c:pt>
                <c:pt idx="7">
                  <c:v>1.4555860623276906</c:v>
                </c:pt>
                <c:pt idx="8">
                  <c:v>1.5164204737577511</c:v>
                </c:pt>
                <c:pt idx="9">
                  <c:v>1.557924676415414</c:v>
                </c:pt>
                <c:pt idx="10">
                  <c:v>1.6955563813287422</c:v>
                </c:pt>
                <c:pt idx="11">
                  <c:v>1.7803166091743412</c:v>
                </c:pt>
                <c:pt idx="12">
                  <c:v>1.7760175871093165</c:v>
                </c:pt>
                <c:pt idx="13">
                  <c:v>1.8060576400639383</c:v>
                </c:pt>
                <c:pt idx="14">
                  <c:v>1.8435570813811437</c:v>
                </c:pt>
                <c:pt idx="15">
                  <c:v>1.9668336222264622</c:v>
                </c:pt>
                <c:pt idx="16">
                  <c:v>1.9577518984647779</c:v>
                </c:pt>
                <c:pt idx="17">
                  <c:v>1.8710997732851635</c:v>
                </c:pt>
                <c:pt idx="18">
                  <c:v>2.1772402484491562</c:v>
                </c:pt>
                <c:pt idx="19">
                  <c:v>2.1156528506438166</c:v>
                </c:pt>
                <c:pt idx="20">
                  <c:v>2.4268167200000001</c:v>
                </c:pt>
                <c:pt idx="21">
                  <c:v>1.1283393000000002</c:v>
                </c:pt>
                <c:pt idx="22">
                  <c:v>1.1245143</c:v>
                </c:pt>
                <c:pt idx="23">
                  <c:v>1.1794822839999999</c:v>
                </c:pt>
                <c:pt idx="24">
                  <c:v>1.2139940979999999</c:v>
                </c:pt>
                <c:pt idx="25">
                  <c:v>1.218505508</c:v>
                </c:pt>
                <c:pt idx="26">
                  <c:v>1.234089784</c:v>
                </c:pt>
                <c:pt idx="27">
                  <c:v>1.1685330480000002</c:v>
                </c:pt>
                <c:pt idx="28">
                  <c:v>1.163976994</c:v>
                </c:pt>
                <c:pt idx="29">
                  <c:v>1.085687544</c:v>
                </c:pt>
                <c:pt idx="30">
                  <c:v>1.164040612</c:v>
                </c:pt>
                <c:pt idx="31">
                  <c:v>1.2226291460000001</c:v>
                </c:pt>
                <c:pt idx="32">
                  <c:v>1.2807188459999999</c:v>
                </c:pt>
                <c:pt idx="33">
                  <c:v>1.2317745919999998</c:v>
                </c:pt>
              </c:numCache>
            </c:numRef>
          </c:val>
          <c:smooth val="0"/>
          <c:extLst>
            <c:ext xmlns:c16="http://schemas.microsoft.com/office/drawing/2014/chart" uri="{C3380CC4-5D6E-409C-BE32-E72D297353CC}">
              <c16:uniqueId val="{00000003-E918-41CA-9C2F-534CA354F5C0}"/>
            </c:ext>
          </c:extLst>
        </c:ser>
        <c:ser>
          <c:idx val="2"/>
          <c:order val="4"/>
          <c:tx>
            <c:strRef>
              <c:f>'Sector Sublimits'!$A$80</c:f>
              <c:strCache>
                <c:ptCount val="1"/>
                <c:pt idx="0">
                  <c:v>Electric Generation Other Gases (CH4 and N2O)</c:v>
                </c:pt>
              </c:strCache>
            </c:strRef>
          </c:tx>
          <c:marker>
            <c:symbol val="square"/>
            <c:size val="5"/>
            <c:spPr>
              <a:solidFill>
                <a:schemeClr val="bg1">
                  <a:lumMod val="50000"/>
                </a:schemeClr>
              </a:solidFill>
              <a:ln>
                <a:solidFill>
                  <a:schemeClr val="bg1">
                    <a:lumMod val="50000"/>
                  </a:schemeClr>
                </a:solidFill>
              </a:ln>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Sublimits'!$B$80:$AI$80</c:f>
              <c:numCache>
                <c:formatCode>#,##0.0</c:formatCode>
                <c:ptCount val="34"/>
                <c:pt idx="0">
                  <c:v>9.3884288699999999E-2</c:v>
                </c:pt>
                <c:pt idx="1">
                  <c:v>9.6822959449999968E-2</c:v>
                </c:pt>
                <c:pt idx="2">
                  <c:v>9.0914300149999988E-2</c:v>
                </c:pt>
                <c:pt idx="3">
                  <c:v>8.1111164489999998E-2</c:v>
                </c:pt>
                <c:pt idx="4">
                  <c:v>8.0477643539999991E-2</c:v>
                </c:pt>
                <c:pt idx="5">
                  <c:v>7.487524039E-2</c:v>
                </c:pt>
                <c:pt idx="6">
                  <c:v>7.7779169514999996E-2</c:v>
                </c:pt>
                <c:pt idx="7">
                  <c:v>9.6196196615999999E-2</c:v>
                </c:pt>
                <c:pt idx="8">
                  <c:v>9.9711417475199987E-2</c:v>
                </c:pt>
                <c:pt idx="9">
                  <c:v>9.1105053121899982E-2</c:v>
                </c:pt>
                <c:pt idx="10">
                  <c:v>8.6038897661899996E-2</c:v>
                </c:pt>
                <c:pt idx="11">
                  <c:v>8.4135110418599987E-2</c:v>
                </c:pt>
                <c:pt idx="12">
                  <c:v>8.3639338406599997E-2</c:v>
                </c:pt>
                <c:pt idx="13">
                  <c:v>8.5136165160799998E-2</c:v>
                </c:pt>
                <c:pt idx="14">
                  <c:v>8.1217752578399999E-2</c:v>
                </c:pt>
                <c:pt idx="15">
                  <c:v>8.7053430643999993E-2</c:v>
                </c:pt>
                <c:pt idx="16">
                  <c:v>7.388594993E-2</c:v>
                </c:pt>
                <c:pt idx="17">
                  <c:v>7.9954547018999983E-2</c:v>
                </c:pt>
                <c:pt idx="18">
                  <c:v>7.0447017651999996E-2</c:v>
                </c:pt>
                <c:pt idx="19">
                  <c:v>5.9428616861800003E-2</c:v>
                </c:pt>
                <c:pt idx="20">
                  <c:v>5.5503888081399999E-2</c:v>
                </c:pt>
                <c:pt idx="21">
                  <c:v>3.6155926511399997E-2</c:v>
                </c:pt>
                <c:pt idx="22">
                  <c:v>2.6671556131799997E-2</c:v>
                </c:pt>
                <c:pt idx="23">
                  <c:v>3.4448873260999997E-2</c:v>
                </c:pt>
                <c:pt idx="24">
                  <c:v>3.1111986384599999E-2</c:v>
                </c:pt>
                <c:pt idx="25">
                  <c:v>2.8343924454799996E-2</c:v>
                </c:pt>
                <c:pt idx="26">
                  <c:v>2.6786002749199997E-2</c:v>
                </c:pt>
                <c:pt idx="27">
                  <c:v>2.2732699960599997E-2</c:v>
                </c:pt>
                <c:pt idx="28">
                  <c:v>1.5684509824999998E-2</c:v>
                </c:pt>
                <c:pt idx="29">
                  <c:v>1.3002606939999998E-2</c:v>
                </c:pt>
                <c:pt idx="30" formatCode="#,##0.00">
                  <c:v>1.28849316122E-2</c:v>
                </c:pt>
                <c:pt idx="31" formatCode="#,##0.00">
                  <c:v>1.1772683811199999E-2</c:v>
                </c:pt>
                <c:pt idx="32" formatCode="#,##0.00">
                  <c:v>1.1837122608E-2</c:v>
                </c:pt>
                <c:pt idx="33" formatCode="#,##0.00">
                  <c:v>9.3250753383999994E-3</c:v>
                </c:pt>
              </c:numCache>
            </c:numRef>
          </c:val>
          <c:smooth val="0"/>
          <c:extLst>
            <c:ext xmlns:c16="http://schemas.microsoft.com/office/drawing/2014/chart" uri="{C3380CC4-5D6E-409C-BE32-E72D297353CC}">
              <c16:uniqueId val="{00000004-E918-41CA-9C2F-534CA354F5C0}"/>
            </c:ext>
          </c:extLst>
        </c:ser>
        <c:ser>
          <c:idx val="5"/>
          <c:order val="5"/>
          <c:tx>
            <c:strRef>
              <c:f>'Sector Sublimits'!$A$86</c:f>
              <c:strCache>
                <c:ptCount val="1"/>
                <c:pt idx="0">
                  <c:v>2025 CECP Limit (53% below 1990)</c:v>
                </c:pt>
              </c:strCache>
            </c:strRef>
          </c:tx>
          <c:spPr>
            <a:ln>
              <a:noFill/>
              <a:prstDash val="dash"/>
            </a:ln>
          </c:spPr>
          <c:marker>
            <c:symbol val="diamond"/>
            <c:size val="10"/>
            <c:spPr>
              <a:solidFill>
                <a:srgbClr val="FF00FF"/>
              </a:solidFill>
              <a:ln>
                <a:solidFill>
                  <a:schemeClr val="tx1"/>
                </a:solidFill>
              </a:ln>
            </c:spPr>
          </c:marker>
          <c:dPt>
            <c:idx val="35"/>
            <c:bubble3D val="0"/>
            <c:extLst>
              <c:ext xmlns:c16="http://schemas.microsoft.com/office/drawing/2014/chart" uri="{C3380CC4-5D6E-409C-BE32-E72D297353CC}">
                <c16:uniqueId val="{00000005-E918-41CA-9C2F-534CA354F5C0}"/>
              </c:ext>
            </c:extLst>
          </c:dPt>
          <c:dLbls>
            <c:spPr>
              <a:noFill/>
              <a:ln>
                <a:noFill/>
              </a:ln>
              <a:effectLst/>
            </c:spPr>
            <c:txPr>
              <a:bodyPr wrap="square" lIns="38100" tIns="19050" rIns="38100" bIns="19050" anchor="ctr">
                <a:spAutoFit/>
              </a:bodyPr>
              <a:lstStyle/>
              <a:p>
                <a:pPr>
                  <a:defRPr sz="1200">
                    <a:latin typeface="Aptos" panose="020B00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Sublimits'!$B$86:$AK$86</c:f>
              <c:numCache>
                <c:formatCode>#,##0.0</c:formatCode>
                <c:ptCount val="36"/>
                <c:pt idx="35">
                  <c:v>13.2</c:v>
                </c:pt>
              </c:numCache>
            </c:numRef>
          </c:val>
          <c:smooth val="0"/>
          <c:extLst>
            <c:ext xmlns:c16="http://schemas.microsoft.com/office/drawing/2014/chart" uri="{C3380CC4-5D6E-409C-BE32-E72D297353CC}">
              <c16:uniqueId val="{00000006-E918-41CA-9C2F-534CA354F5C0}"/>
            </c:ext>
          </c:extLst>
        </c:ser>
        <c:ser>
          <c:idx val="6"/>
          <c:order val="6"/>
          <c:tx>
            <c:strRef>
              <c:f>'Sector Sublimits'!$A$87</c:f>
              <c:strCache>
                <c:ptCount val="1"/>
                <c:pt idx="0">
                  <c:v>2030 CECP Limit (70% below 1990)</c:v>
                </c:pt>
              </c:strCache>
            </c:strRef>
          </c:tx>
          <c:spPr>
            <a:ln>
              <a:noFill/>
              <a:prstDash val="dash"/>
            </a:ln>
          </c:spPr>
          <c:marker>
            <c:symbol val="diamond"/>
            <c:size val="10"/>
            <c:spPr>
              <a:solidFill>
                <a:srgbClr val="FF00FF"/>
              </a:solidFill>
              <a:ln>
                <a:solidFill>
                  <a:schemeClr val="tx1"/>
                </a:solidFill>
              </a:ln>
            </c:spPr>
          </c:marker>
          <c:dPt>
            <c:idx val="40"/>
            <c:marker>
              <c:spPr>
                <a:solidFill>
                  <a:srgbClr val="FF00FF"/>
                </a:solidFill>
                <a:ln>
                  <a:solidFill>
                    <a:schemeClr val="tx1">
                      <a:alpha val="84000"/>
                    </a:schemeClr>
                  </a:solidFill>
                </a:ln>
              </c:spPr>
            </c:marker>
            <c:bubble3D val="0"/>
            <c:extLst>
              <c:ext xmlns:c16="http://schemas.microsoft.com/office/drawing/2014/chart" uri="{C3380CC4-5D6E-409C-BE32-E72D297353CC}">
                <c16:uniqueId val="{00000007-E918-41CA-9C2F-534CA354F5C0}"/>
              </c:ext>
            </c:extLst>
          </c:dPt>
          <c:dLbls>
            <c:dLbl>
              <c:idx val="35"/>
              <c:layout>
                <c:manualLayout>
                  <c:x val="3.2754325561379319E-2"/>
                  <c:y val="-5.00096171184709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18-41CA-9C2F-534CA354F5C0}"/>
                </c:ext>
              </c:extLst>
            </c:dLbl>
            <c:dLbl>
              <c:idx val="40"/>
              <c:spPr>
                <a:noFill/>
                <a:ln>
                  <a:noFill/>
                </a:ln>
                <a:effectLst/>
              </c:spPr>
              <c:txPr>
                <a:bodyPr wrap="square" lIns="38100" tIns="19050" rIns="38100" bIns="19050" anchor="ctr">
                  <a:noAutofit/>
                </a:bodyPr>
                <a:lstStyle/>
                <a:p>
                  <a:pPr>
                    <a:defRPr sz="1200">
                      <a:latin typeface="Aptos" panose="020B0004020202020204" pitchFamily="34" charset="0"/>
                    </a:defRPr>
                  </a:pPr>
                  <a:endParaRPr lang="en-US"/>
                </a:p>
              </c:txPr>
              <c:dLblPos val="t"/>
              <c:showLegendKey val="0"/>
              <c:showVal val="1"/>
              <c:showCatName val="0"/>
              <c:showSerName val="0"/>
              <c:showPercent val="0"/>
              <c:showBubbleSize val="0"/>
              <c:extLst>
                <c:ext xmlns:c15="http://schemas.microsoft.com/office/drawing/2012/chart" uri="{CE6537A1-D6FC-4f65-9D91-7224C49458BB}">
                  <c15:layout>
                    <c:manualLayout>
                      <c:w val="6.6019411324499164E-2"/>
                      <c:h val="8.0935264771292897E-2"/>
                    </c:manualLayout>
                  </c15:layout>
                </c:ext>
                <c:ext xmlns:c16="http://schemas.microsoft.com/office/drawing/2014/chart" uri="{C3380CC4-5D6E-409C-BE32-E72D297353CC}">
                  <c16:uniqueId val="{00000007-E918-41CA-9C2F-534CA354F5C0}"/>
                </c:ext>
              </c:extLst>
            </c:dLbl>
            <c:spPr>
              <a:noFill/>
              <a:ln>
                <a:noFill/>
              </a:ln>
              <a:effectLst/>
            </c:spPr>
            <c:txPr>
              <a:bodyPr wrap="square" lIns="38100" tIns="19050" rIns="38100" bIns="19050" anchor="ctr">
                <a:spAutoFit/>
              </a:bodyPr>
              <a:lstStyle/>
              <a:p>
                <a:pPr>
                  <a:defRPr sz="1200">
                    <a:latin typeface="Aptos" panose="020B00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Sublimits'!$B$87:$AP$87</c:f>
              <c:numCache>
                <c:formatCode>#,##0.0</c:formatCode>
                <c:ptCount val="41"/>
                <c:pt idx="40">
                  <c:v>8.4</c:v>
                </c:pt>
              </c:numCache>
            </c:numRef>
          </c:val>
          <c:smooth val="0"/>
          <c:extLst>
            <c:ext xmlns:c16="http://schemas.microsoft.com/office/drawing/2014/chart" uri="{C3380CC4-5D6E-409C-BE32-E72D297353CC}">
              <c16:uniqueId val="{00000009-E918-41CA-9C2F-534CA354F5C0}"/>
            </c:ext>
          </c:extLst>
        </c:ser>
        <c:dLbls>
          <c:showLegendKey val="0"/>
          <c:showVal val="0"/>
          <c:showCatName val="0"/>
          <c:showSerName val="0"/>
          <c:showPercent val="0"/>
          <c:showBubbleSize val="0"/>
        </c:dLbls>
        <c:marker val="1"/>
        <c:smooth val="0"/>
        <c:axId val="49015424"/>
        <c:axId val="51003776"/>
      </c:lineChart>
      <c:catAx>
        <c:axId val="49015424"/>
        <c:scaling>
          <c:orientation val="minMax"/>
        </c:scaling>
        <c:delete val="0"/>
        <c:axPos val="b"/>
        <c:numFmt formatCode="General" sourceLinked="1"/>
        <c:majorTickMark val="out"/>
        <c:minorTickMark val="none"/>
        <c:tickLblPos val="nextTo"/>
        <c:txPr>
          <a:bodyPr rot="-540000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51003776"/>
        <c:crosses val="autoZero"/>
        <c:auto val="1"/>
        <c:lblAlgn val="ctr"/>
        <c:lblOffset val="100"/>
        <c:noMultiLvlLbl val="0"/>
      </c:catAx>
      <c:valAx>
        <c:axId val="51003776"/>
        <c:scaling>
          <c:orientation val="minMax"/>
          <c:max val="30"/>
        </c:scaling>
        <c:delete val="0"/>
        <c:axPos val="l"/>
        <c:majorGridlines/>
        <c:numFmt formatCode="#,##0" sourceLinked="0"/>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9015424"/>
        <c:crosses val="autoZero"/>
        <c:crossBetween val="midCat"/>
      </c:valAx>
      <c:spPr>
        <a:noFill/>
        <a:ln w="25400">
          <a:noFill/>
        </a:ln>
      </c:spPr>
    </c:plotArea>
    <c:legend>
      <c:legendPos val="r"/>
      <c:layout>
        <c:manualLayout>
          <c:xMode val="edge"/>
          <c:yMode val="edge"/>
          <c:x val="0.68307461103174294"/>
          <c:y val="2.8892717869150684E-2"/>
          <c:w val="0.30764103821626976"/>
          <c:h val="0.97110728213084929"/>
        </c:manualLayout>
      </c:layout>
      <c:overlay val="0"/>
      <c:txPr>
        <a:bodyPr/>
        <a:lstStyle/>
        <a:p>
          <a:pPr>
            <a:defRPr sz="1200">
              <a:latin typeface="Aptos" panose="020B0004020202020204" pitchFamily="34" charset="0"/>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oddFooter>&amp;R3/3/2017</c:oddFooter>
    </c:headerFooter>
    <c:pageMargins b="0.75" l="0.7" r="0.7" t="0.75" header="0.3" footer="0.3"/>
    <c:pageSetup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ptos" panose="020B0004020202020204" pitchFamily="34" charset="0"/>
                <a:ea typeface="Calibri"/>
                <a:cs typeface="Calibri"/>
              </a:defRPr>
            </a:pPr>
            <a:r>
              <a:rPr lang="en-US">
                <a:latin typeface="Aptos" panose="020B0004020202020204" pitchFamily="34" charset="0"/>
              </a:rPr>
              <a:t>MA transportation MMTCO2E</a:t>
            </a:r>
          </a:p>
        </c:rich>
      </c:tx>
      <c:layout>
        <c:manualLayout>
          <c:xMode val="edge"/>
          <c:yMode val="edge"/>
          <c:x val="5.7030385821655337E-2"/>
          <c:y val="2.7586206896551724E-2"/>
        </c:manualLayout>
      </c:layout>
      <c:overlay val="0"/>
    </c:title>
    <c:autoTitleDeleted val="0"/>
    <c:plotArea>
      <c:layout>
        <c:manualLayout>
          <c:layoutTarget val="inner"/>
          <c:xMode val="edge"/>
          <c:yMode val="edge"/>
          <c:x val="6.1678470075186446E-2"/>
          <c:y val="0.19480351414406533"/>
          <c:w val="0.59587561015606649"/>
          <c:h val="0.65183253135024788"/>
        </c:manualLayout>
      </c:layout>
      <c:lineChart>
        <c:grouping val="standard"/>
        <c:varyColors val="0"/>
        <c:ser>
          <c:idx val="0"/>
          <c:order val="0"/>
          <c:tx>
            <c:strRef>
              <c:f>'Sector Sublimits'!$A$65</c:f>
              <c:strCache>
                <c:ptCount val="1"/>
                <c:pt idx="0">
                  <c:v>Transportation CO2e from Fuel Combustion</c:v>
                </c:pt>
              </c:strCache>
            </c:strRef>
          </c:tx>
          <c:spPr>
            <a:ln>
              <a:solidFill>
                <a:srgbClr val="FF00FF"/>
              </a:solidFill>
            </a:ln>
          </c:spPr>
          <c:marker>
            <c:symbol val="diamond"/>
            <c:size val="8"/>
            <c:spPr>
              <a:solidFill>
                <a:srgbClr val="FF99FF"/>
              </a:solidFill>
              <a:ln>
                <a:solidFill>
                  <a:srgbClr val="FF99FF"/>
                </a:solidFill>
              </a:ln>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Sublimits'!$B$68:$AI$68</c:f>
              <c:numCache>
                <c:formatCode>#,##0.0</c:formatCode>
                <c:ptCount val="34"/>
                <c:pt idx="0">
                  <c:v>29.581745501205152</c:v>
                </c:pt>
                <c:pt idx="1">
                  <c:v>28.007934560130941</c:v>
                </c:pt>
                <c:pt idx="2">
                  <c:v>27.563240820066049</c:v>
                </c:pt>
                <c:pt idx="3">
                  <c:v>27.772344463031306</c:v>
                </c:pt>
                <c:pt idx="4">
                  <c:v>28.042522309337134</c:v>
                </c:pt>
                <c:pt idx="5">
                  <c:v>28.704754954067852</c:v>
                </c:pt>
                <c:pt idx="6">
                  <c:v>29.563067414078876</c:v>
                </c:pt>
                <c:pt idx="7">
                  <c:v>29.897537474524093</c:v>
                </c:pt>
                <c:pt idx="8">
                  <c:v>30.181050408053974</c:v>
                </c:pt>
                <c:pt idx="9">
                  <c:v>30.789867518520762</c:v>
                </c:pt>
                <c:pt idx="10">
                  <c:v>31.933223453237744</c:v>
                </c:pt>
                <c:pt idx="11">
                  <c:v>31.42992969847694</c:v>
                </c:pt>
                <c:pt idx="12">
                  <c:v>31.574075255538787</c:v>
                </c:pt>
                <c:pt idx="13">
                  <c:v>31.97471459221569</c:v>
                </c:pt>
                <c:pt idx="14">
                  <c:v>33.213685399354738</c:v>
                </c:pt>
                <c:pt idx="15">
                  <c:v>33.172330863894125</c:v>
                </c:pt>
                <c:pt idx="16">
                  <c:v>32.279926174657945</c:v>
                </c:pt>
                <c:pt idx="17">
                  <c:v>32.531308872264191</c:v>
                </c:pt>
                <c:pt idx="18">
                  <c:v>31.531388451441796</c:v>
                </c:pt>
                <c:pt idx="19">
                  <c:v>29.577725512467968</c:v>
                </c:pt>
                <c:pt idx="20">
                  <c:v>29.777150721285388</c:v>
                </c:pt>
                <c:pt idx="21">
                  <c:v>29.696806879044935</c:v>
                </c:pt>
                <c:pt idx="22">
                  <c:v>29.109024991059549</c:v>
                </c:pt>
                <c:pt idx="23">
                  <c:v>30.358885111491265</c:v>
                </c:pt>
                <c:pt idx="24">
                  <c:v>28.534881580560413</c:v>
                </c:pt>
                <c:pt idx="25">
                  <c:v>28.953989807069522</c:v>
                </c:pt>
                <c:pt idx="26">
                  <c:v>29.294609318853226</c:v>
                </c:pt>
                <c:pt idx="27">
                  <c:v>28.737551562426354</c:v>
                </c:pt>
                <c:pt idx="28">
                  <c:v>29.329106616129806</c:v>
                </c:pt>
                <c:pt idx="29">
                  <c:v>29.076974889794318</c:v>
                </c:pt>
                <c:pt idx="30">
                  <c:v>22.943498665902066</c:v>
                </c:pt>
                <c:pt idx="31">
                  <c:v>25.675300072198549</c:v>
                </c:pt>
                <c:pt idx="32">
                  <c:v>26.243543311499938</c:v>
                </c:pt>
                <c:pt idx="33">
                  <c:v>26.290528324068958</c:v>
                </c:pt>
              </c:numCache>
            </c:numRef>
          </c:val>
          <c:smooth val="0"/>
          <c:extLst>
            <c:ext xmlns:c16="http://schemas.microsoft.com/office/drawing/2014/chart" uri="{C3380CC4-5D6E-409C-BE32-E72D297353CC}">
              <c16:uniqueId val="{00000000-E845-4F1D-84EC-64DF9260C871}"/>
            </c:ext>
          </c:extLst>
        </c:ser>
        <c:ser>
          <c:idx val="1"/>
          <c:order val="1"/>
          <c:tx>
            <c:strRef>
              <c:f>'Sector Sublimits'!$A$66</c:f>
              <c:strCache>
                <c:ptCount val="1"/>
                <c:pt idx="0">
                  <c:v>Transportation CO2</c:v>
                </c:pt>
              </c:strCache>
            </c:strRef>
          </c:tx>
          <c:marker>
            <c:symbol val="square"/>
            <c:size val="6"/>
            <c:spPr>
              <a:solidFill>
                <a:srgbClr val="002060"/>
              </a:solidFill>
              <a:ln>
                <a:solidFill>
                  <a:srgbClr val="002060"/>
                </a:solidFill>
              </a:ln>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Sublimits'!$B$66:$AI$66</c:f>
              <c:numCache>
                <c:formatCode>#,##0.0</c:formatCode>
                <c:ptCount val="34"/>
                <c:pt idx="0">
                  <c:v>28.506437825265561</c:v>
                </c:pt>
                <c:pt idx="1">
                  <c:v>26.924606252648257</c:v>
                </c:pt>
                <c:pt idx="2">
                  <c:v>26.448466366325668</c:v>
                </c:pt>
                <c:pt idx="3">
                  <c:v>26.684940195948617</c:v>
                </c:pt>
                <c:pt idx="4">
                  <c:v>26.904845065360281</c:v>
                </c:pt>
                <c:pt idx="5">
                  <c:v>27.543957964998537</c:v>
                </c:pt>
                <c:pt idx="6">
                  <c:v>28.348712325078182</c:v>
                </c:pt>
                <c:pt idx="7">
                  <c:v>28.69167682250546</c:v>
                </c:pt>
                <c:pt idx="8">
                  <c:v>28.981165134559838</c:v>
                </c:pt>
                <c:pt idx="9">
                  <c:v>29.667708078894687</c:v>
                </c:pt>
                <c:pt idx="10">
                  <c:v>30.840346353806446</c:v>
                </c:pt>
                <c:pt idx="11">
                  <c:v>30.390777107441533</c:v>
                </c:pt>
                <c:pt idx="12">
                  <c:v>30.598758285542431</c:v>
                </c:pt>
                <c:pt idx="13">
                  <c:v>31.043963055913089</c:v>
                </c:pt>
                <c:pt idx="14">
                  <c:v>32.340396822593107</c:v>
                </c:pt>
                <c:pt idx="15">
                  <c:v>32.345380523700079</c:v>
                </c:pt>
                <c:pt idx="16">
                  <c:v>31.466623128123757</c:v>
                </c:pt>
                <c:pt idx="17">
                  <c:v>31.819150693171292</c:v>
                </c:pt>
                <c:pt idx="18">
                  <c:v>30.86282488303754</c:v>
                </c:pt>
                <c:pt idx="19">
                  <c:v>28.977785301980987</c:v>
                </c:pt>
                <c:pt idx="20">
                  <c:v>29.194406294139284</c:v>
                </c:pt>
                <c:pt idx="21">
                  <c:v>29.122866885250296</c:v>
                </c:pt>
                <c:pt idx="22">
                  <c:v>28.589464823242722</c:v>
                </c:pt>
                <c:pt idx="23">
                  <c:v>29.863734621973759</c:v>
                </c:pt>
                <c:pt idx="24">
                  <c:v>28.070166775754295</c:v>
                </c:pt>
                <c:pt idx="25">
                  <c:v>28.563982489108188</c:v>
                </c:pt>
                <c:pt idx="26">
                  <c:v>28.915475634666461</c:v>
                </c:pt>
                <c:pt idx="27">
                  <c:v>28.383866566732596</c:v>
                </c:pt>
                <c:pt idx="28">
                  <c:v>29.007851076241238</c:v>
                </c:pt>
                <c:pt idx="29">
                  <c:v>28.718290747720118</c:v>
                </c:pt>
                <c:pt idx="30">
                  <c:v>22.643265319497907</c:v>
                </c:pt>
                <c:pt idx="31">
                  <c:v>25.369592412136143</c:v>
                </c:pt>
                <c:pt idx="32">
                  <c:v>25.922326415031002</c:v>
                </c:pt>
                <c:pt idx="33">
                  <c:v>25.981513834476111</c:v>
                </c:pt>
              </c:numCache>
            </c:numRef>
          </c:val>
          <c:smooth val="0"/>
          <c:extLst>
            <c:ext xmlns:c16="http://schemas.microsoft.com/office/drawing/2014/chart" uri="{C3380CC4-5D6E-409C-BE32-E72D297353CC}">
              <c16:uniqueId val="{00000001-E845-4F1D-84EC-64DF9260C871}"/>
            </c:ext>
          </c:extLst>
        </c:ser>
        <c:ser>
          <c:idx val="2"/>
          <c:order val="2"/>
          <c:tx>
            <c:strRef>
              <c:f>'Sector Sublimits'!$A$67</c:f>
              <c:strCache>
                <c:ptCount val="1"/>
                <c:pt idx="0">
                  <c:v>Transportation Other Gases</c:v>
                </c:pt>
              </c:strCache>
            </c:strRef>
          </c:tx>
          <c:marker>
            <c:symbol val="star"/>
            <c:size val="5"/>
            <c:spPr>
              <a:solidFill>
                <a:schemeClr val="bg1">
                  <a:lumMod val="50000"/>
                </a:schemeClr>
              </a:solidFill>
              <a:ln>
                <a:solidFill>
                  <a:schemeClr val="bg1">
                    <a:lumMod val="50000"/>
                  </a:schemeClr>
                </a:solidFill>
              </a:ln>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Sublimits'!$B$67:$AI$67</c:f>
              <c:numCache>
                <c:formatCode>#,##0.0</c:formatCode>
                <c:ptCount val="34"/>
                <c:pt idx="0">
                  <c:v>1.0753076759395894</c:v>
                </c:pt>
                <c:pt idx="1">
                  <c:v>1.083328307482686</c:v>
                </c:pt>
                <c:pt idx="2">
                  <c:v>1.1147744537403796</c:v>
                </c:pt>
                <c:pt idx="3">
                  <c:v>1.0874042670826884</c:v>
                </c:pt>
                <c:pt idx="4">
                  <c:v>1.1376772439768528</c:v>
                </c:pt>
                <c:pt idx="5">
                  <c:v>1.1607969890693142</c:v>
                </c:pt>
                <c:pt idx="6">
                  <c:v>1.2143550890006947</c:v>
                </c:pt>
                <c:pt idx="7">
                  <c:v>1.2058606520186317</c:v>
                </c:pt>
                <c:pt idx="8">
                  <c:v>1.1998852734941363</c:v>
                </c:pt>
                <c:pt idx="9">
                  <c:v>1.1221594396260741</c:v>
                </c:pt>
                <c:pt idx="10">
                  <c:v>1.0928770994312982</c:v>
                </c:pt>
                <c:pt idx="11">
                  <c:v>1.0391525910354076</c:v>
                </c:pt>
                <c:pt idx="12">
                  <c:v>0.97531696999635809</c:v>
                </c:pt>
                <c:pt idx="13">
                  <c:v>0.9307515363026021</c:v>
                </c:pt>
                <c:pt idx="14">
                  <c:v>0.87328857676163307</c:v>
                </c:pt>
                <c:pt idx="15">
                  <c:v>0.82695034019404612</c:v>
                </c:pt>
                <c:pt idx="16">
                  <c:v>0.81330304653418628</c:v>
                </c:pt>
                <c:pt idx="17">
                  <c:v>0.71215817909290102</c:v>
                </c:pt>
                <c:pt idx="18">
                  <c:v>0.66856356840425468</c:v>
                </c:pt>
                <c:pt idx="19">
                  <c:v>0.59994021048697932</c:v>
                </c:pt>
                <c:pt idx="20">
                  <c:v>0.58274442714610253</c:v>
                </c:pt>
                <c:pt idx="21">
                  <c:v>0.57393999379464022</c:v>
                </c:pt>
                <c:pt idx="22">
                  <c:v>0.51956016781682679</c:v>
                </c:pt>
                <c:pt idx="23">
                  <c:v>0.49515048951750656</c:v>
                </c:pt>
                <c:pt idx="24">
                  <c:v>0.46471480480611715</c:v>
                </c:pt>
                <c:pt idx="25">
                  <c:v>0.39000731796133276</c:v>
                </c:pt>
                <c:pt idx="26">
                  <c:v>0.37913368418676707</c:v>
                </c:pt>
                <c:pt idx="27">
                  <c:v>0.35368499569375861</c:v>
                </c:pt>
                <c:pt idx="28">
                  <c:v>0.3212555398885682</c:v>
                </c:pt>
                <c:pt idx="29">
                  <c:v>0.35868414207419819</c:v>
                </c:pt>
                <c:pt idx="30">
                  <c:v>0.300233346404158</c:v>
                </c:pt>
                <c:pt idx="31">
                  <c:v>0.30570766006240785</c:v>
                </c:pt>
                <c:pt idx="32">
                  <c:v>0.32121689646893553</c:v>
                </c:pt>
                <c:pt idx="33">
                  <c:v>0.30901448959284655</c:v>
                </c:pt>
              </c:numCache>
            </c:numRef>
          </c:val>
          <c:smooth val="0"/>
          <c:extLst>
            <c:ext xmlns:c16="http://schemas.microsoft.com/office/drawing/2014/chart" uri="{C3380CC4-5D6E-409C-BE32-E72D297353CC}">
              <c16:uniqueId val="{00000002-E845-4F1D-84EC-64DF9260C871}"/>
            </c:ext>
          </c:extLst>
        </c:ser>
        <c:ser>
          <c:idx val="5"/>
          <c:order val="3"/>
          <c:tx>
            <c:strRef>
              <c:f>'Sector Sublimits'!$A$71</c:f>
              <c:strCache>
                <c:ptCount val="1"/>
                <c:pt idx="0">
                  <c:v>2025 CECP Limit (18% below 1990)</c:v>
                </c:pt>
              </c:strCache>
            </c:strRef>
          </c:tx>
          <c:spPr>
            <a:ln>
              <a:noFill/>
              <a:prstDash val="dash"/>
            </a:ln>
          </c:spPr>
          <c:marker>
            <c:symbol val="diamond"/>
            <c:size val="10"/>
            <c:spPr>
              <a:solidFill>
                <a:srgbClr val="FF00FF"/>
              </a:solidFill>
              <a:ln>
                <a:solidFill>
                  <a:schemeClr val="tx1"/>
                </a:solidFill>
              </a:ln>
            </c:spPr>
          </c:marker>
          <c:dPt>
            <c:idx val="35"/>
            <c:bubble3D val="0"/>
            <c:extLst>
              <c:ext xmlns:c16="http://schemas.microsoft.com/office/drawing/2014/chart" uri="{C3380CC4-5D6E-409C-BE32-E72D297353CC}">
                <c16:uniqueId val="{00000003-E845-4F1D-84EC-64DF9260C871}"/>
              </c:ext>
            </c:extLst>
          </c:dPt>
          <c:dLbls>
            <c:dLbl>
              <c:idx val="3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45-4F1D-84EC-64DF9260C871}"/>
                </c:ext>
              </c:extLst>
            </c:dLbl>
            <c:spPr>
              <a:noFill/>
              <a:ln>
                <a:noFill/>
              </a:ln>
              <a:effectLst/>
            </c:spPr>
            <c:txPr>
              <a:bodyPr wrap="square" lIns="38100" tIns="19050" rIns="38100" bIns="19050" anchor="ctr">
                <a:spAutoFit/>
              </a:bodyPr>
              <a:lstStyle/>
              <a:p>
                <a:pPr>
                  <a:defRPr sz="1200">
                    <a:latin typeface="Aptos" panose="020B00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Sublimits'!$B$71:$AK$71</c:f>
              <c:numCache>
                <c:formatCode>#,##0.0</c:formatCode>
                <c:ptCount val="36"/>
                <c:pt idx="35">
                  <c:v>24.9</c:v>
                </c:pt>
              </c:numCache>
            </c:numRef>
          </c:val>
          <c:smooth val="0"/>
          <c:extLst>
            <c:ext xmlns:c16="http://schemas.microsoft.com/office/drawing/2014/chart" uri="{C3380CC4-5D6E-409C-BE32-E72D297353CC}">
              <c16:uniqueId val="{00000004-E845-4F1D-84EC-64DF9260C871}"/>
            </c:ext>
          </c:extLst>
        </c:ser>
        <c:ser>
          <c:idx val="6"/>
          <c:order val="4"/>
          <c:tx>
            <c:strRef>
              <c:f>'Sector Sublimits'!$A$72</c:f>
              <c:strCache>
                <c:ptCount val="1"/>
                <c:pt idx="0">
                  <c:v>2030 CECP Limit (34% below 1990)</c:v>
                </c:pt>
              </c:strCache>
            </c:strRef>
          </c:tx>
          <c:spPr>
            <a:ln>
              <a:noFill/>
              <a:prstDash val="dash"/>
            </a:ln>
          </c:spPr>
          <c:marker>
            <c:symbol val="diamond"/>
            <c:size val="10"/>
            <c:spPr>
              <a:solidFill>
                <a:srgbClr val="FF00FF"/>
              </a:solidFill>
              <a:ln>
                <a:solidFill>
                  <a:schemeClr val="tx1"/>
                </a:solidFill>
              </a:ln>
            </c:spPr>
          </c:marker>
          <c:dPt>
            <c:idx val="35"/>
            <c:bubble3D val="0"/>
            <c:extLst>
              <c:ext xmlns:c16="http://schemas.microsoft.com/office/drawing/2014/chart" uri="{C3380CC4-5D6E-409C-BE32-E72D297353CC}">
                <c16:uniqueId val="{00000005-E845-4F1D-84EC-64DF9260C871}"/>
              </c:ext>
            </c:extLst>
          </c:dPt>
          <c:dLbls>
            <c:dLbl>
              <c:idx val="3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45-4F1D-84EC-64DF9260C871}"/>
                </c:ext>
              </c:extLst>
            </c:dLbl>
            <c:dLbl>
              <c:idx val="4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845-4F1D-84EC-64DF9260C871}"/>
                </c:ext>
              </c:extLst>
            </c:dLbl>
            <c:spPr>
              <a:noFill/>
              <a:ln>
                <a:noFill/>
              </a:ln>
              <a:effectLst/>
            </c:spPr>
            <c:txPr>
              <a:bodyPr wrap="square" lIns="38100" tIns="19050" rIns="38100" bIns="19050" anchor="ctr">
                <a:spAutoFit/>
              </a:bodyPr>
              <a:lstStyle/>
              <a:p>
                <a:pPr>
                  <a:defRPr sz="1200">
                    <a:latin typeface="Aptos" panose="020B00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Sublimits'!$B$72:$AP$72</c:f>
              <c:numCache>
                <c:formatCode>#,##0.0</c:formatCode>
                <c:ptCount val="41"/>
                <c:pt idx="40">
                  <c:v>19.8</c:v>
                </c:pt>
              </c:numCache>
            </c:numRef>
          </c:val>
          <c:smooth val="0"/>
          <c:extLst>
            <c:ext xmlns:c16="http://schemas.microsoft.com/office/drawing/2014/chart" uri="{C3380CC4-5D6E-409C-BE32-E72D297353CC}">
              <c16:uniqueId val="{00000007-E845-4F1D-84EC-64DF9260C871}"/>
            </c:ext>
          </c:extLst>
        </c:ser>
        <c:dLbls>
          <c:showLegendKey val="0"/>
          <c:showVal val="0"/>
          <c:showCatName val="0"/>
          <c:showSerName val="0"/>
          <c:showPercent val="0"/>
          <c:showBubbleSize val="0"/>
        </c:dLbls>
        <c:marker val="1"/>
        <c:smooth val="0"/>
        <c:axId val="49015424"/>
        <c:axId val="51003776"/>
      </c:lineChart>
      <c:catAx>
        <c:axId val="49015424"/>
        <c:scaling>
          <c:orientation val="minMax"/>
        </c:scaling>
        <c:delete val="0"/>
        <c:axPos val="b"/>
        <c:numFmt formatCode="General" sourceLinked="1"/>
        <c:majorTickMark val="out"/>
        <c:minorTickMark val="none"/>
        <c:tickLblPos val="nextTo"/>
        <c:txPr>
          <a:bodyPr rot="-540000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51003776"/>
        <c:crosses val="autoZero"/>
        <c:auto val="1"/>
        <c:lblAlgn val="ctr"/>
        <c:lblOffset val="100"/>
        <c:noMultiLvlLbl val="0"/>
      </c:catAx>
      <c:valAx>
        <c:axId val="51003776"/>
        <c:scaling>
          <c:orientation val="minMax"/>
          <c:max val="35"/>
        </c:scaling>
        <c:delete val="0"/>
        <c:axPos val="l"/>
        <c:majorGridlines/>
        <c:numFmt formatCode="#,##0" sourceLinked="0"/>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9015424"/>
        <c:crosses val="autoZero"/>
        <c:crossBetween val="midCat"/>
      </c:valAx>
      <c:spPr>
        <a:noFill/>
        <a:ln w="25400">
          <a:noFill/>
        </a:ln>
      </c:spPr>
    </c:plotArea>
    <c:legend>
      <c:legendPos val="r"/>
      <c:layout>
        <c:manualLayout>
          <c:xMode val="edge"/>
          <c:yMode val="edge"/>
          <c:x val="0.68326751041197831"/>
          <c:y val="0.18132716234898119"/>
          <c:w val="0.31673248958802169"/>
          <c:h val="0.69321572398869991"/>
        </c:manualLayout>
      </c:layout>
      <c:overlay val="0"/>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oddFooter>&amp;R3/3/2017</c:oddFooter>
    </c:headerFooter>
    <c:pageMargins b="0.75" l="0.7" r="0.7" t="0.75" header="0.3" footer="0.3"/>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ysClr val="windowText" lastClr="000000"/>
                </a:solidFill>
                <a:latin typeface="Aptos" panose="020B0004020202020204" pitchFamily="34" charset="0"/>
                <a:ea typeface="+mn-ea"/>
                <a:cs typeface="+mn-cs"/>
              </a:defRPr>
            </a:pPr>
            <a:r>
              <a:rPr lang="en-US"/>
              <a:t>MA GHG Emissions (Combustion v Non-Combustion Sectors)</a:t>
            </a:r>
          </a:p>
        </c:rich>
      </c:tx>
      <c:overlay val="0"/>
      <c:spPr>
        <a:noFill/>
        <a:ln>
          <a:noFill/>
        </a:ln>
        <a:effectLst/>
      </c:spPr>
      <c:txPr>
        <a:bodyPr rot="0" spcFirstLastPara="1" vertOverflow="ellipsis" vert="horz" wrap="square" anchor="ctr" anchorCtr="1"/>
        <a:lstStyle/>
        <a:p>
          <a:pPr>
            <a:defRPr sz="1320" b="0" i="0" u="none" strike="noStrike" kern="1200" spc="0" baseline="0">
              <a:solidFill>
                <a:sysClr val="windowText" lastClr="000000"/>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0.11674750058953534"/>
          <c:y val="0.11906902086677368"/>
          <c:w val="0.51747210494265461"/>
          <c:h val="0.73501371317349373"/>
        </c:manualLayout>
      </c:layout>
      <c:lineChart>
        <c:grouping val="standard"/>
        <c:varyColors val="0"/>
        <c:ser>
          <c:idx val="0"/>
          <c:order val="0"/>
          <c:tx>
            <c:strRef>
              <c:f>Summary!$A$49</c:f>
              <c:strCache>
                <c:ptCount val="1"/>
                <c:pt idx="0">
                  <c:v>Fossil Fuel Consumption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Summary!$B$48:$AI$48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Summary!$B$49:$AI$49</c:f>
              <c:numCache>
                <c:formatCode>0.0</c:formatCode>
                <c:ptCount val="34"/>
                <c:pt idx="0">
                  <c:v>87.113209003522158</c:v>
                </c:pt>
                <c:pt idx="1">
                  <c:v>84.743630631290216</c:v>
                </c:pt>
                <c:pt idx="2">
                  <c:v>86.717623000475527</c:v>
                </c:pt>
                <c:pt idx="3">
                  <c:v>84.637096805003253</c:v>
                </c:pt>
                <c:pt idx="4">
                  <c:v>84.800136445079048</c:v>
                </c:pt>
                <c:pt idx="5">
                  <c:v>82.46508367479926</c:v>
                </c:pt>
                <c:pt idx="6">
                  <c:v>82.996532498656833</c:v>
                </c:pt>
                <c:pt idx="7">
                  <c:v>87.721165739086445</c:v>
                </c:pt>
                <c:pt idx="8">
                  <c:v>85.744646452889356</c:v>
                </c:pt>
                <c:pt idx="9">
                  <c:v>84.597215327711851</c:v>
                </c:pt>
                <c:pt idx="10">
                  <c:v>87.105678864678424</c:v>
                </c:pt>
                <c:pt idx="11">
                  <c:v>86.529144081263041</c:v>
                </c:pt>
                <c:pt idx="12">
                  <c:v>88.205493344256155</c:v>
                </c:pt>
                <c:pt idx="13">
                  <c:v>89.755352813851118</c:v>
                </c:pt>
                <c:pt idx="14">
                  <c:v>87.796173689749423</c:v>
                </c:pt>
                <c:pt idx="15">
                  <c:v>89.424569587890034</c:v>
                </c:pt>
                <c:pt idx="16">
                  <c:v>80.834635444611976</c:v>
                </c:pt>
                <c:pt idx="17">
                  <c:v>83.66540438853491</c:v>
                </c:pt>
                <c:pt idx="18">
                  <c:v>80.74589662184836</c:v>
                </c:pt>
                <c:pt idx="19">
                  <c:v>75.168339943582168</c:v>
                </c:pt>
                <c:pt idx="20">
                  <c:v>77.220666823922983</c:v>
                </c:pt>
                <c:pt idx="21">
                  <c:v>71.991799437025747</c:v>
                </c:pt>
                <c:pt idx="22">
                  <c:v>65.482218995696797</c:v>
                </c:pt>
                <c:pt idx="23">
                  <c:v>69.56988831293468</c:v>
                </c:pt>
                <c:pt idx="24">
                  <c:v>67.816779625857009</c:v>
                </c:pt>
                <c:pt idx="25">
                  <c:v>69.37885785824146</c:v>
                </c:pt>
                <c:pt idx="26">
                  <c:v>65.731296635332711</c:v>
                </c:pt>
                <c:pt idx="27">
                  <c:v>65.42434327335765</c:v>
                </c:pt>
                <c:pt idx="28">
                  <c:v>66.103945532454759</c:v>
                </c:pt>
                <c:pt idx="29">
                  <c:v>65.038613408439943</c:v>
                </c:pt>
                <c:pt idx="30">
                  <c:v>58.427227440642696</c:v>
                </c:pt>
                <c:pt idx="31">
                  <c:v>61.518057095547604</c:v>
                </c:pt>
                <c:pt idx="32">
                  <c:v>63.007620890893946</c:v>
                </c:pt>
                <c:pt idx="33">
                  <c:v>60.024451367813775</c:v>
                </c:pt>
              </c:numCache>
            </c:numRef>
          </c:val>
          <c:smooth val="0"/>
          <c:extLst>
            <c:ext xmlns:c16="http://schemas.microsoft.com/office/drawing/2014/chart" uri="{C3380CC4-5D6E-409C-BE32-E72D297353CC}">
              <c16:uniqueId val="{00000000-3243-48E9-8C5E-6D6001962179}"/>
            </c:ext>
          </c:extLst>
        </c:ser>
        <c:ser>
          <c:idx val="1"/>
          <c:order val="1"/>
          <c:tx>
            <c:strRef>
              <c:f>Summary!$A$53</c:f>
              <c:strCache>
                <c:ptCount val="1"/>
                <c:pt idx="0">
                  <c:v>Natural Gas Systems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Summary!$B$48:$AI$48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Summary!$B$53:$AI$53</c:f>
              <c:numCache>
                <c:formatCode>0.0</c:formatCode>
                <c:ptCount val="34"/>
                <c:pt idx="0">
                  <c:v>1.8677651258656023</c:v>
                </c:pt>
                <c:pt idx="1">
                  <c:v>1.852887425897749</c:v>
                </c:pt>
                <c:pt idx="2">
                  <c:v>1.8397743556365584</c:v>
                </c:pt>
                <c:pt idx="3">
                  <c:v>1.7613444610359528</c:v>
                </c:pt>
                <c:pt idx="4">
                  <c:v>1.7049153610944481</c:v>
                </c:pt>
                <c:pt idx="5">
                  <c:v>1.6709702656070302</c:v>
                </c:pt>
                <c:pt idx="6">
                  <c:v>1.5924548496297186</c:v>
                </c:pt>
                <c:pt idx="7">
                  <c:v>1.5411686000890501</c:v>
                </c:pt>
                <c:pt idx="8">
                  <c:v>1.4818949902988792</c:v>
                </c:pt>
                <c:pt idx="9">
                  <c:v>1.4228973383008028</c:v>
                </c:pt>
                <c:pt idx="10">
                  <c:v>1.3849041465119019</c:v>
                </c:pt>
                <c:pt idx="11">
                  <c:v>1.3148628860365357</c:v>
                </c:pt>
                <c:pt idx="12">
                  <c:v>1.2775637306450169</c:v>
                </c:pt>
                <c:pt idx="13">
                  <c:v>1.2248834953868954</c:v>
                </c:pt>
                <c:pt idx="14">
                  <c:v>1.2096454508131458</c:v>
                </c:pt>
                <c:pt idx="15">
                  <c:v>1.116769011294539</c:v>
                </c:pt>
                <c:pt idx="16">
                  <c:v>1.0773854569526293</c:v>
                </c:pt>
                <c:pt idx="17">
                  <c:v>1.0341021055848829</c:v>
                </c:pt>
                <c:pt idx="18">
                  <c:v>1.0261355902109481</c:v>
                </c:pt>
                <c:pt idx="19">
                  <c:v>0.97574211006229161</c:v>
                </c:pt>
                <c:pt idx="20">
                  <c:v>0.98651781200941091</c:v>
                </c:pt>
                <c:pt idx="21">
                  <c:v>0.79998790658513375</c:v>
                </c:pt>
                <c:pt idx="22">
                  <c:v>0.79980448829054251</c:v>
                </c:pt>
                <c:pt idx="23">
                  <c:v>0.78487067159526314</c:v>
                </c:pt>
                <c:pt idx="24">
                  <c:v>0.75976893464181838</c:v>
                </c:pt>
                <c:pt idx="25">
                  <c:v>0.79756121017191395</c:v>
                </c:pt>
                <c:pt idx="26">
                  <c:v>0.77716355555855188</c:v>
                </c:pt>
                <c:pt idx="27">
                  <c:v>0.73524508776400288</c:v>
                </c:pt>
                <c:pt idx="28">
                  <c:v>0.72053532011706112</c:v>
                </c:pt>
                <c:pt idx="29">
                  <c:v>0.71879595083025949</c:v>
                </c:pt>
                <c:pt idx="30">
                  <c:v>0.74193958504154822</c:v>
                </c:pt>
                <c:pt idx="31">
                  <c:v>0.71349693568858774</c:v>
                </c:pt>
                <c:pt idx="32">
                  <c:v>0.73924386892764427</c:v>
                </c:pt>
                <c:pt idx="33">
                  <c:v>0.70636312077249752</c:v>
                </c:pt>
              </c:numCache>
            </c:numRef>
          </c:val>
          <c:smooth val="0"/>
          <c:extLst>
            <c:ext xmlns:c16="http://schemas.microsoft.com/office/drawing/2014/chart" uri="{C3380CC4-5D6E-409C-BE32-E72D297353CC}">
              <c16:uniqueId val="{00000001-3243-48E9-8C5E-6D6001962179}"/>
            </c:ext>
          </c:extLst>
        </c:ser>
        <c:ser>
          <c:idx val="2"/>
          <c:order val="2"/>
          <c:tx>
            <c:strRef>
              <c:f>Summary!$A$54</c:f>
              <c:strCache>
                <c:ptCount val="1"/>
                <c:pt idx="0">
                  <c:v>Industrial Processes</c:v>
                </c:pt>
              </c:strCache>
            </c:strRef>
          </c:tx>
          <c:spPr>
            <a:ln w="28575" cap="rnd">
              <a:solidFill>
                <a:schemeClr val="accent3"/>
              </a:solidFill>
              <a:round/>
            </a:ln>
            <a:effectLst/>
          </c:spPr>
          <c:marker>
            <c:symbol val="square"/>
            <c:size val="5"/>
            <c:spPr>
              <a:solidFill>
                <a:schemeClr val="accent3"/>
              </a:solidFill>
              <a:ln w="9525">
                <a:solidFill>
                  <a:schemeClr val="accent3"/>
                </a:solidFill>
              </a:ln>
              <a:effectLst/>
            </c:spPr>
          </c:marker>
          <c:cat>
            <c:strRef>
              <c:f>Summary!$B$48:$AI$48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Summary!$B$54:$AI$54</c:f>
              <c:numCache>
                <c:formatCode>0.0</c:formatCode>
                <c:ptCount val="34"/>
                <c:pt idx="0">
                  <c:v>0.65625199051509786</c:v>
                </c:pt>
                <c:pt idx="1">
                  <c:v>0.71515416896556006</c:v>
                </c:pt>
                <c:pt idx="2">
                  <c:v>0.73849101987423305</c:v>
                </c:pt>
                <c:pt idx="3">
                  <c:v>0.84634390373530799</c:v>
                </c:pt>
                <c:pt idx="4">
                  <c:v>0.99268777160783084</c:v>
                </c:pt>
                <c:pt idx="5">
                  <c:v>1.2942356697070025</c:v>
                </c:pt>
                <c:pt idx="6">
                  <c:v>1.5173940091650766</c:v>
                </c:pt>
                <c:pt idx="7">
                  <c:v>1.7296705098776286</c:v>
                </c:pt>
                <c:pt idx="8">
                  <c:v>2.0517836695231537</c:v>
                </c:pt>
                <c:pt idx="9">
                  <c:v>2.1722864635428154</c:v>
                </c:pt>
                <c:pt idx="10">
                  <c:v>2.2344480754691962</c:v>
                </c:pt>
                <c:pt idx="11">
                  <c:v>2.2873664104114422</c:v>
                </c:pt>
                <c:pt idx="12">
                  <c:v>2.3543108214792743</c:v>
                </c:pt>
                <c:pt idx="13">
                  <c:v>2.4553345934789768</c:v>
                </c:pt>
                <c:pt idx="14">
                  <c:v>2.3943985038673308</c:v>
                </c:pt>
                <c:pt idx="15">
                  <c:v>2.491187372700066</c:v>
                </c:pt>
                <c:pt idx="16">
                  <c:v>2.6398819487247986</c:v>
                </c:pt>
                <c:pt idx="17">
                  <c:v>2.7783370634740137</c:v>
                </c:pt>
                <c:pt idx="18">
                  <c:v>2.927455558375383</c:v>
                </c:pt>
                <c:pt idx="19">
                  <c:v>3.375736296088339</c:v>
                </c:pt>
                <c:pt idx="20">
                  <c:v>2.8556574039997655</c:v>
                </c:pt>
                <c:pt idx="21">
                  <c:v>2.8359689544329019</c:v>
                </c:pt>
                <c:pt idx="22">
                  <c:v>3.1262089958054671</c:v>
                </c:pt>
                <c:pt idx="23">
                  <c:v>3.8058037367623898</c:v>
                </c:pt>
                <c:pt idx="24">
                  <c:v>4.2054910787649353</c:v>
                </c:pt>
                <c:pt idx="25">
                  <c:v>3.7540424332673563</c:v>
                </c:pt>
                <c:pt idx="26">
                  <c:v>3.8048005415260682</c:v>
                </c:pt>
                <c:pt idx="27">
                  <c:v>3.3089432868880282</c:v>
                </c:pt>
                <c:pt idx="28">
                  <c:v>3.8135695724326135</c:v>
                </c:pt>
                <c:pt idx="29">
                  <c:v>3.6460572396013302</c:v>
                </c:pt>
                <c:pt idx="30">
                  <c:v>4.0321955751119818</c:v>
                </c:pt>
                <c:pt idx="31">
                  <c:v>3.9978101361882903</c:v>
                </c:pt>
                <c:pt idx="32">
                  <c:v>3.4348267758324091</c:v>
                </c:pt>
                <c:pt idx="33">
                  <c:v>3.5821232543038848</c:v>
                </c:pt>
              </c:numCache>
            </c:numRef>
          </c:val>
          <c:smooth val="0"/>
          <c:extLst>
            <c:ext xmlns:c16="http://schemas.microsoft.com/office/drawing/2014/chart" uri="{C3380CC4-5D6E-409C-BE32-E72D297353CC}">
              <c16:uniqueId val="{00000002-3243-48E9-8C5E-6D6001962179}"/>
            </c:ext>
          </c:extLst>
        </c:ser>
        <c:ser>
          <c:idx val="3"/>
          <c:order val="3"/>
          <c:tx>
            <c:strRef>
              <c:f>Summary!$A$55</c:f>
              <c:strCache>
                <c:ptCount val="1"/>
                <c:pt idx="0">
                  <c:v>Agriculture &amp; Land Use</c:v>
                </c:pt>
              </c:strCache>
            </c:strRef>
          </c:tx>
          <c:spPr>
            <a:ln w="28575" cap="rnd">
              <a:solidFill>
                <a:schemeClr val="accent4"/>
              </a:solidFill>
              <a:round/>
            </a:ln>
            <a:effectLst/>
          </c:spPr>
          <c:marker>
            <c:symbol val="triangle"/>
            <c:size val="5"/>
            <c:spPr>
              <a:solidFill>
                <a:schemeClr val="accent4"/>
              </a:solidFill>
              <a:ln w="9525">
                <a:solidFill>
                  <a:schemeClr val="accent4"/>
                </a:solidFill>
              </a:ln>
              <a:effectLst/>
            </c:spPr>
          </c:marker>
          <c:cat>
            <c:strRef>
              <c:f>Summary!$B$48:$AI$48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Summary!$B$55:$AI$55</c:f>
              <c:numCache>
                <c:formatCode>0.0</c:formatCode>
                <c:ptCount val="34"/>
                <c:pt idx="0">
                  <c:v>0.44610076900597256</c:v>
                </c:pt>
                <c:pt idx="1">
                  <c:v>0.41834925407595686</c:v>
                </c:pt>
                <c:pt idx="2">
                  <c:v>0.42277010500253726</c:v>
                </c:pt>
                <c:pt idx="3">
                  <c:v>0.40732429612640608</c:v>
                </c:pt>
                <c:pt idx="4">
                  <c:v>0.41231470757133476</c:v>
                </c:pt>
                <c:pt idx="5">
                  <c:v>0.40372219462937547</c:v>
                </c:pt>
                <c:pt idx="6">
                  <c:v>0.38410068733773461</c:v>
                </c:pt>
                <c:pt idx="7">
                  <c:v>0.38079571833854936</c:v>
                </c:pt>
                <c:pt idx="8">
                  <c:v>0.38437874218640539</c:v>
                </c:pt>
                <c:pt idx="9">
                  <c:v>0.3899641903290752</c:v>
                </c:pt>
                <c:pt idx="10">
                  <c:v>0.37735447220233193</c:v>
                </c:pt>
                <c:pt idx="11">
                  <c:v>0.35183977292669505</c:v>
                </c:pt>
                <c:pt idx="12">
                  <c:v>0.37328267111605179</c:v>
                </c:pt>
                <c:pt idx="13">
                  <c:v>0.34778308322797141</c:v>
                </c:pt>
                <c:pt idx="14">
                  <c:v>0.33661801945979974</c:v>
                </c:pt>
                <c:pt idx="15">
                  <c:v>0.34057483200373267</c:v>
                </c:pt>
                <c:pt idx="16">
                  <c:v>0.33688832372342137</c:v>
                </c:pt>
                <c:pt idx="17">
                  <c:v>0.31719891632985381</c:v>
                </c:pt>
                <c:pt idx="18">
                  <c:v>0.32570403195908576</c:v>
                </c:pt>
                <c:pt idx="19">
                  <c:v>0.31430210711857087</c:v>
                </c:pt>
                <c:pt idx="20">
                  <c:v>0.33202719256989854</c:v>
                </c:pt>
                <c:pt idx="21">
                  <c:v>0.30451135790296568</c:v>
                </c:pt>
                <c:pt idx="22">
                  <c:v>0.29639379430190099</c:v>
                </c:pt>
                <c:pt idx="23">
                  <c:v>0.29356274504761209</c:v>
                </c:pt>
                <c:pt idx="24">
                  <c:v>0.28090950389183594</c:v>
                </c:pt>
                <c:pt idx="25">
                  <c:v>0.29021465216236209</c:v>
                </c:pt>
                <c:pt idx="26">
                  <c:v>0.26691641776924918</c:v>
                </c:pt>
                <c:pt idx="27">
                  <c:v>0.28552541325288594</c:v>
                </c:pt>
                <c:pt idx="28">
                  <c:v>0.27311310707332914</c:v>
                </c:pt>
                <c:pt idx="29">
                  <c:v>0.26430146871069754</c:v>
                </c:pt>
                <c:pt idx="30">
                  <c:v>0.25337117381936636</c:v>
                </c:pt>
                <c:pt idx="31">
                  <c:v>0.2710732936775046</c:v>
                </c:pt>
                <c:pt idx="32">
                  <c:v>0.25704231685851231</c:v>
                </c:pt>
                <c:pt idx="33">
                  <c:v>0.25654006769458504</c:v>
                </c:pt>
              </c:numCache>
            </c:numRef>
          </c:val>
          <c:smooth val="0"/>
          <c:extLst>
            <c:ext xmlns:c16="http://schemas.microsoft.com/office/drawing/2014/chart" uri="{C3380CC4-5D6E-409C-BE32-E72D297353CC}">
              <c16:uniqueId val="{00000003-3243-48E9-8C5E-6D6001962179}"/>
            </c:ext>
          </c:extLst>
        </c:ser>
        <c:ser>
          <c:idx val="4"/>
          <c:order val="4"/>
          <c:tx>
            <c:strRef>
              <c:f>Summary!$A$56</c:f>
              <c:strCache>
                <c:ptCount val="1"/>
                <c:pt idx="0">
                  <c:v>Waste</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Summary!$B$48:$AI$48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Summary!$B$56:$AI$56</c:f>
              <c:numCache>
                <c:formatCode>0.0</c:formatCode>
                <c:ptCount val="34"/>
                <c:pt idx="0">
                  <c:v>2.921734225476742</c:v>
                </c:pt>
                <c:pt idx="1">
                  <c:v>2.9840678785493369</c:v>
                </c:pt>
                <c:pt idx="2">
                  <c:v>2.8838876328600254</c:v>
                </c:pt>
                <c:pt idx="3">
                  <c:v>2.767988379213437</c:v>
                </c:pt>
                <c:pt idx="4">
                  <c:v>2.7563272831925185</c:v>
                </c:pt>
                <c:pt idx="5">
                  <c:v>2.7698744134030142</c:v>
                </c:pt>
                <c:pt idx="6">
                  <c:v>2.3907342903677469</c:v>
                </c:pt>
                <c:pt idx="7">
                  <c:v>1.9258553661170486</c:v>
                </c:pt>
                <c:pt idx="8">
                  <c:v>1.8470510349176412</c:v>
                </c:pt>
                <c:pt idx="9">
                  <c:v>1.8601259693695325</c:v>
                </c:pt>
                <c:pt idx="10">
                  <c:v>1.2371687987727551</c:v>
                </c:pt>
                <c:pt idx="11">
                  <c:v>0.89743217109974072</c:v>
                </c:pt>
                <c:pt idx="12">
                  <c:v>1.27497069222323</c:v>
                </c:pt>
                <c:pt idx="13">
                  <c:v>1.7601777880702896</c:v>
                </c:pt>
                <c:pt idx="14">
                  <c:v>1.5733288085225232</c:v>
                </c:pt>
                <c:pt idx="15">
                  <c:v>1.5961601917909816</c:v>
                </c:pt>
                <c:pt idx="16">
                  <c:v>1.4036673040124485</c:v>
                </c:pt>
                <c:pt idx="17">
                  <c:v>1.3244780695405463</c:v>
                </c:pt>
                <c:pt idx="18">
                  <c:v>1.3333606189633151</c:v>
                </c:pt>
                <c:pt idx="19">
                  <c:v>1.3826638104942759</c:v>
                </c:pt>
                <c:pt idx="20">
                  <c:v>0.86252211000428347</c:v>
                </c:pt>
                <c:pt idx="21">
                  <c:v>0.87728901623181033</c:v>
                </c:pt>
                <c:pt idx="22">
                  <c:v>0.92213671716237322</c:v>
                </c:pt>
                <c:pt idx="23">
                  <c:v>0.82486792566190248</c:v>
                </c:pt>
                <c:pt idx="24">
                  <c:v>0.76938497611745671</c:v>
                </c:pt>
                <c:pt idx="25">
                  <c:v>0.7797634475588433</c:v>
                </c:pt>
                <c:pt idx="26">
                  <c:v>0.74800883134183693</c:v>
                </c:pt>
                <c:pt idx="27">
                  <c:v>0.72212832663956061</c:v>
                </c:pt>
                <c:pt idx="28">
                  <c:v>0.72012362020600407</c:v>
                </c:pt>
                <c:pt idx="29">
                  <c:v>0.72176076297428993</c:v>
                </c:pt>
                <c:pt idx="30">
                  <c:v>0.69725875876728005</c:v>
                </c:pt>
                <c:pt idx="31">
                  <c:v>0.59664069711099754</c:v>
                </c:pt>
                <c:pt idx="32">
                  <c:v>0.58359328081403916</c:v>
                </c:pt>
                <c:pt idx="33">
                  <c:v>0.57033515022009018</c:v>
                </c:pt>
              </c:numCache>
            </c:numRef>
          </c:val>
          <c:smooth val="0"/>
          <c:extLst>
            <c:ext xmlns:c16="http://schemas.microsoft.com/office/drawing/2014/chart" uri="{C3380CC4-5D6E-409C-BE32-E72D297353CC}">
              <c16:uniqueId val="{00000004-3243-48E9-8C5E-6D6001962179}"/>
            </c:ext>
          </c:extLst>
        </c:ser>
        <c:dLbls>
          <c:showLegendKey val="0"/>
          <c:showVal val="0"/>
          <c:showCatName val="0"/>
          <c:showSerName val="0"/>
          <c:showPercent val="0"/>
          <c:showBubbleSize val="0"/>
        </c:dLbls>
        <c:marker val="1"/>
        <c:smooth val="0"/>
        <c:axId val="1501161023"/>
        <c:axId val="1501161503"/>
      </c:lineChart>
      <c:catAx>
        <c:axId val="1501161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ptos" panose="020B0004020202020204" pitchFamily="34" charset="0"/>
                <a:ea typeface="+mn-ea"/>
                <a:cs typeface="+mn-cs"/>
              </a:defRPr>
            </a:pPr>
            <a:endParaRPr lang="en-US"/>
          </a:p>
        </c:txPr>
        <c:crossAx val="1501161503"/>
        <c:crosses val="autoZero"/>
        <c:auto val="1"/>
        <c:lblAlgn val="ctr"/>
        <c:lblOffset val="100"/>
        <c:noMultiLvlLbl val="0"/>
      </c:catAx>
      <c:valAx>
        <c:axId val="150116150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ptos" panose="020B0004020202020204" pitchFamily="34" charset="0"/>
                    <a:ea typeface="+mn-ea"/>
                    <a:cs typeface="+mn-cs"/>
                  </a:defRPr>
                </a:pPr>
                <a:r>
                  <a:rPr lang="en-US"/>
                  <a:t>MMTCO2e</a:t>
                </a:r>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ptos" panose="020B00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ptos" panose="020B0004020202020204" pitchFamily="34" charset="0"/>
                <a:ea typeface="+mn-ea"/>
                <a:cs typeface="+mn-cs"/>
              </a:defRPr>
            </a:pPr>
            <a:endParaRPr lang="en-US"/>
          </a:p>
        </c:txPr>
        <c:crossAx val="1501161023"/>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100">
          <a:solidFill>
            <a:sysClr val="windowText" lastClr="000000"/>
          </a:solidFill>
          <a:latin typeface="Aptos" panose="020B0004020202020204" pitchFamily="34"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ptos" panose="020B0004020202020204" pitchFamily="34" charset="0"/>
                <a:ea typeface="Calibri"/>
                <a:cs typeface="Calibri"/>
              </a:defRPr>
            </a:pPr>
            <a:r>
              <a:rPr lang="en-US">
                <a:latin typeface="Aptos" panose="020B0004020202020204" pitchFamily="34" charset="0"/>
              </a:rPr>
              <a:t>MA residential</a:t>
            </a:r>
            <a:r>
              <a:rPr lang="en-US" baseline="0">
                <a:latin typeface="Aptos" panose="020B0004020202020204" pitchFamily="34" charset="0"/>
              </a:rPr>
              <a:t> heating and cooling</a:t>
            </a:r>
            <a:r>
              <a:rPr lang="en-US">
                <a:latin typeface="Aptos" panose="020B0004020202020204" pitchFamily="34" charset="0"/>
              </a:rPr>
              <a:t> MMTCO2E</a:t>
            </a:r>
          </a:p>
        </c:rich>
      </c:tx>
      <c:layout>
        <c:manualLayout>
          <c:xMode val="edge"/>
          <c:yMode val="edge"/>
          <c:x val="5.7030385821655337E-2"/>
          <c:y val="2.7586206896551724E-2"/>
        </c:manualLayout>
      </c:layout>
      <c:overlay val="0"/>
    </c:title>
    <c:autoTitleDeleted val="0"/>
    <c:plotArea>
      <c:layout>
        <c:manualLayout>
          <c:layoutTarget val="inner"/>
          <c:xMode val="edge"/>
          <c:yMode val="edge"/>
          <c:x val="6.1678470075186446E-2"/>
          <c:y val="0.19480351414406533"/>
          <c:w val="0.59587561015606649"/>
          <c:h val="0.65183253135024788"/>
        </c:manualLayout>
      </c:layout>
      <c:lineChart>
        <c:grouping val="standard"/>
        <c:varyColors val="0"/>
        <c:ser>
          <c:idx val="0"/>
          <c:order val="0"/>
          <c:tx>
            <c:strRef>
              <c:f>'Sector Sublimits'!$A$36</c:f>
              <c:strCache>
                <c:ptCount val="1"/>
                <c:pt idx="0">
                  <c:v>Residential Heating and Cooling Total</c:v>
                </c:pt>
              </c:strCache>
            </c:strRef>
          </c:tx>
          <c:spPr>
            <a:ln>
              <a:solidFill>
                <a:srgbClr val="FF00FF"/>
              </a:solidFill>
            </a:ln>
          </c:spPr>
          <c:marker>
            <c:symbol val="diamond"/>
            <c:size val="8"/>
            <c:spPr>
              <a:solidFill>
                <a:srgbClr val="FF99FF"/>
              </a:solidFill>
              <a:ln>
                <a:solidFill>
                  <a:srgbClr val="FF99FF"/>
                </a:solidFill>
              </a:ln>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Sublimits'!$B$36:$AI$36</c:f>
              <c:numCache>
                <c:formatCode>#,##0.0</c:formatCode>
                <c:ptCount val="34"/>
                <c:pt idx="0">
                  <c:v>15.31365040534536</c:v>
                </c:pt>
                <c:pt idx="1">
                  <c:v>14.518561901071031</c:v>
                </c:pt>
                <c:pt idx="2">
                  <c:v>16.637356745667098</c:v>
                </c:pt>
                <c:pt idx="3">
                  <c:v>16.765001626446427</c:v>
                </c:pt>
                <c:pt idx="4">
                  <c:v>16.5798858667393</c:v>
                </c:pt>
                <c:pt idx="5">
                  <c:v>14.981382499081906</c:v>
                </c:pt>
                <c:pt idx="6">
                  <c:v>14.782858365913283</c:v>
                </c:pt>
                <c:pt idx="7">
                  <c:v>14.564592342096235</c:v>
                </c:pt>
                <c:pt idx="8">
                  <c:v>13.354760517636455</c:v>
                </c:pt>
                <c:pt idx="9">
                  <c:v>14.184525556803141</c:v>
                </c:pt>
                <c:pt idx="10">
                  <c:v>15.873185523164093</c:v>
                </c:pt>
                <c:pt idx="11">
                  <c:v>16.198710998491727</c:v>
                </c:pt>
                <c:pt idx="12">
                  <c:v>16.119354900942991</c:v>
                </c:pt>
                <c:pt idx="13">
                  <c:v>16.600836369533869</c:v>
                </c:pt>
                <c:pt idx="14">
                  <c:v>15.196403031679685</c:v>
                </c:pt>
                <c:pt idx="15">
                  <c:v>15.024695557999227</c:v>
                </c:pt>
                <c:pt idx="16">
                  <c:v>12.923179297666044</c:v>
                </c:pt>
                <c:pt idx="17">
                  <c:v>13.604230714044231</c:v>
                </c:pt>
                <c:pt idx="18">
                  <c:v>14.483158972300863</c:v>
                </c:pt>
                <c:pt idx="19">
                  <c:v>13.98678803586758</c:v>
                </c:pt>
                <c:pt idx="20">
                  <c:v>13.730480782578111</c:v>
                </c:pt>
                <c:pt idx="21">
                  <c:v>13.745840787844321</c:v>
                </c:pt>
                <c:pt idx="22">
                  <c:v>11.893764667017985</c:v>
                </c:pt>
                <c:pt idx="23">
                  <c:v>12.423602730416979</c:v>
                </c:pt>
                <c:pt idx="24">
                  <c:v>13.752359852039337</c:v>
                </c:pt>
                <c:pt idx="25">
                  <c:v>13.664149986754941</c:v>
                </c:pt>
                <c:pt idx="26">
                  <c:v>11.426913567612464</c:v>
                </c:pt>
                <c:pt idx="27">
                  <c:v>12.417746232981566</c:v>
                </c:pt>
                <c:pt idx="28">
                  <c:v>13.412382059760446</c:v>
                </c:pt>
                <c:pt idx="29">
                  <c:v>13.749066679828145</c:v>
                </c:pt>
                <c:pt idx="30">
                  <c:v>12.234288890840196</c:v>
                </c:pt>
                <c:pt idx="31">
                  <c:v>12.614889979771682</c:v>
                </c:pt>
                <c:pt idx="32">
                  <c:v>13.035171753664676</c:v>
                </c:pt>
                <c:pt idx="33">
                  <c:v>11.849074030388028</c:v>
                </c:pt>
              </c:numCache>
            </c:numRef>
          </c:val>
          <c:smooth val="0"/>
          <c:extLst>
            <c:ext xmlns:c16="http://schemas.microsoft.com/office/drawing/2014/chart" uri="{C3380CC4-5D6E-409C-BE32-E72D297353CC}">
              <c16:uniqueId val="{00000000-6DE2-40D0-84CE-8C9ADE5983AF}"/>
            </c:ext>
          </c:extLst>
        </c:ser>
        <c:ser>
          <c:idx val="1"/>
          <c:order val="1"/>
          <c:tx>
            <c:strRef>
              <c:f>'Sector Sublimits'!$A$34</c:f>
              <c:strCache>
                <c:ptCount val="1"/>
                <c:pt idx="0">
                  <c:v>Residential CO2</c:v>
                </c:pt>
              </c:strCache>
            </c:strRef>
          </c:tx>
          <c:marker>
            <c:symbol val="square"/>
            <c:size val="5"/>
            <c:spPr>
              <a:solidFill>
                <a:srgbClr val="002060"/>
              </a:solidFill>
              <a:ln>
                <a:solidFill>
                  <a:srgbClr val="002060"/>
                </a:solidFill>
              </a:ln>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Sublimits'!$B$34:$AI$34</c:f>
              <c:numCache>
                <c:formatCode>#,##0.0</c:formatCode>
                <c:ptCount val="34"/>
                <c:pt idx="0">
                  <c:v>15.09218729035536</c:v>
                </c:pt>
                <c:pt idx="1">
                  <c:v>14.295364882071031</c:v>
                </c:pt>
                <c:pt idx="2">
                  <c:v>16.396053585147097</c:v>
                </c:pt>
                <c:pt idx="3">
                  <c:v>16.518072434056428</c:v>
                </c:pt>
                <c:pt idx="4">
                  <c:v>16.3428113958593</c:v>
                </c:pt>
                <c:pt idx="5">
                  <c:v>14.751248409471906</c:v>
                </c:pt>
                <c:pt idx="6">
                  <c:v>14.548991126703283</c:v>
                </c:pt>
                <c:pt idx="7">
                  <c:v>14.378872297176235</c:v>
                </c:pt>
                <c:pt idx="8">
                  <c:v>13.187544748996455</c:v>
                </c:pt>
                <c:pt idx="9">
                  <c:v>14.010791823643141</c:v>
                </c:pt>
                <c:pt idx="10">
                  <c:v>15.683527402244092</c:v>
                </c:pt>
                <c:pt idx="11">
                  <c:v>16.028702298201726</c:v>
                </c:pt>
                <c:pt idx="12">
                  <c:v>15.947149742292989</c:v>
                </c:pt>
                <c:pt idx="13">
                  <c:v>16.423981121913869</c:v>
                </c:pt>
                <c:pt idx="14">
                  <c:v>15.023642667589685</c:v>
                </c:pt>
                <c:pt idx="15">
                  <c:v>14.927432156389226</c:v>
                </c:pt>
                <c:pt idx="16">
                  <c:v>12.839080399416044</c:v>
                </c:pt>
                <c:pt idx="17">
                  <c:v>13.515090275824232</c:v>
                </c:pt>
                <c:pt idx="18">
                  <c:v>14.388754011560863</c:v>
                </c:pt>
                <c:pt idx="19">
                  <c:v>13.844098792417579</c:v>
                </c:pt>
                <c:pt idx="20">
                  <c:v>13.58211312760811</c:v>
                </c:pt>
                <c:pt idx="21">
                  <c:v>13.600460828624321</c:v>
                </c:pt>
                <c:pt idx="22">
                  <c:v>11.771252865487984</c:v>
                </c:pt>
                <c:pt idx="23">
                  <c:v>12.275948634716979</c:v>
                </c:pt>
                <c:pt idx="24">
                  <c:v>13.597318047079337</c:v>
                </c:pt>
                <c:pt idx="25">
                  <c:v>13.519448387674942</c:v>
                </c:pt>
                <c:pt idx="26">
                  <c:v>11.310053467582465</c:v>
                </c:pt>
                <c:pt idx="27">
                  <c:v>12.297294972031565</c:v>
                </c:pt>
                <c:pt idx="28">
                  <c:v>13.287752133780446</c:v>
                </c:pt>
                <c:pt idx="29">
                  <c:v>13.607792464408146</c:v>
                </c:pt>
                <c:pt idx="30">
                  <c:v>12.105531353840195</c:v>
                </c:pt>
                <c:pt idx="31">
                  <c:v>12.481778897291683</c:v>
                </c:pt>
                <c:pt idx="32">
                  <c:v>12.880271418154676</c:v>
                </c:pt>
                <c:pt idx="33">
                  <c:v>11.712554814178027</c:v>
                </c:pt>
              </c:numCache>
            </c:numRef>
          </c:val>
          <c:smooth val="0"/>
          <c:extLst>
            <c:ext xmlns:c16="http://schemas.microsoft.com/office/drawing/2014/chart" uri="{C3380CC4-5D6E-409C-BE32-E72D297353CC}">
              <c16:uniqueId val="{00000001-6DE2-40D0-84CE-8C9ADE5983AF}"/>
            </c:ext>
          </c:extLst>
        </c:ser>
        <c:ser>
          <c:idx val="2"/>
          <c:order val="2"/>
          <c:tx>
            <c:strRef>
              <c:f>'Sector Sublimits'!$A$35</c:f>
              <c:strCache>
                <c:ptCount val="1"/>
                <c:pt idx="0">
                  <c:v>Residential Other Gases</c:v>
                </c:pt>
              </c:strCache>
            </c:strRef>
          </c:tx>
          <c:marker>
            <c:symbol val="square"/>
            <c:size val="5"/>
            <c:spPr>
              <a:solidFill>
                <a:schemeClr val="bg1">
                  <a:lumMod val="50000"/>
                </a:schemeClr>
              </a:solidFill>
              <a:ln>
                <a:solidFill>
                  <a:schemeClr val="bg1">
                    <a:lumMod val="50000"/>
                  </a:schemeClr>
                </a:solidFill>
              </a:ln>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Sublimits'!$B$35:$AI$35</c:f>
              <c:numCache>
                <c:formatCode>#,##0.0</c:formatCode>
                <c:ptCount val="34"/>
                <c:pt idx="0">
                  <c:v>0.22146311499000002</c:v>
                </c:pt>
                <c:pt idx="1">
                  <c:v>0.22319701900000005</c:v>
                </c:pt>
                <c:pt idx="2">
                  <c:v>0.24130316051999992</c:v>
                </c:pt>
                <c:pt idx="3">
                  <c:v>0.24692919239</c:v>
                </c:pt>
                <c:pt idx="4">
                  <c:v>0.23707447087999997</c:v>
                </c:pt>
                <c:pt idx="5">
                  <c:v>0.23013408960999995</c:v>
                </c:pt>
                <c:pt idx="6">
                  <c:v>0.23386723920999997</c:v>
                </c:pt>
                <c:pt idx="7">
                  <c:v>0.18572004491999994</c:v>
                </c:pt>
                <c:pt idx="8">
                  <c:v>0.16721576863999998</c:v>
                </c:pt>
                <c:pt idx="9">
                  <c:v>0.17373373315999999</c:v>
                </c:pt>
                <c:pt idx="10">
                  <c:v>0.18965812091999995</c:v>
                </c:pt>
                <c:pt idx="11">
                  <c:v>0.17000870028999995</c:v>
                </c:pt>
                <c:pt idx="12">
                  <c:v>0.17220515864999997</c:v>
                </c:pt>
                <c:pt idx="13">
                  <c:v>0.17685524761999996</c:v>
                </c:pt>
                <c:pt idx="14">
                  <c:v>0.17276036408999998</c:v>
                </c:pt>
                <c:pt idx="15">
                  <c:v>9.7263401609999994E-2</c:v>
                </c:pt>
                <c:pt idx="16">
                  <c:v>8.4098898249999984E-2</c:v>
                </c:pt>
                <c:pt idx="17">
                  <c:v>8.9140438219999993E-2</c:v>
                </c:pt>
                <c:pt idx="18">
                  <c:v>9.4404960739999974E-2</c:v>
                </c:pt>
                <c:pt idx="19">
                  <c:v>0.14268924344999998</c:v>
                </c:pt>
                <c:pt idx="20">
                  <c:v>0.14836765496999998</c:v>
                </c:pt>
                <c:pt idx="21">
                  <c:v>0.14537995921999997</c:v>
                </c:pt>
                <c:pt idx="22">
                  <c:v>0.12251180153000001</c:v>
                </c:pt>
                <c:pt idx="23">
                  <c:v>0.14765409569999999</c:v>
                </c:pt>
                <c:pt idx="24">
                  <c:v>0.15504180495999997</c:v>
                </c:pt>
                <c:pt idx="25">
                  <c:v>0.14470159907999999</c:v>
                </c:pt>
                <c:pt idx="26">
                  <c:v>0.11686010002999998</c:v>
                </c:pt>
                <c:pt idx="27">
                  <c:v>0.12045126095</c:v>
                </c:pt>
                <c:pt idx="28">
                  <c:v>0.12462992597999997</c:v>
                </c:pt>
                <c:pt idx="29">
                  <c:v>0.14127421541999999</c:v>
                </c:pt>
                <c:pt idx="30">
                  <c:v>0.12875753699999998</c:v>
                </c:pt>
                <c:pt idx="31">
                  <c:v>0.13311108247999998</c:v>
                </c:pt>
                <c:pt idx="32">
                  <c:v>0.15490033550999999</c:v>
                </c:pt>
                <c:pt idx="33">
                  <c:v>0.13651921620999999</c:v>
                </c:pt>
              </c:numCache>
            </c:numRef>
          </c:val>
          <c:smooth val="0"/>
          <c:extLst>
            <c:ext xmlns:c16="http://schemas.microsoft.com/office/drawing/2014/chart" uri="{C3380CC4-5D6E-409C-BE32-E72D297353CC}">
              <c16:uniqueId val="{00000002-6DE2-40D0-84CE-8C9ADE5983AF}"/>
            </c:ext>
          </c:extLst>
        </c:ser>
        <c:ser>
          <c:idx val="3"/>
          <c:order val="3"/>
          <c:tx>
            <c:strRef>
              <c:f>'Sector Sublimits'!$A$39</c:f>
              <c:strCache>
                <c:ptCount val="1"/>
                <c:pt idx="0">
                  <c:v>2025 CECP Limit (29% below 1990)</c:v>
                </c:pt>
              </c:strCache>
            </c:strRef>
          </c:tx>
          <c:spPr>
            <a:ln>
              <a:noFill/>
            </a:ln>
          </c:spPr>
          <c:marker>
            <c:symbol val="diamond"/>
            <c:size val="10"/>
            <c:spPr>
              <a:solidFill>
                <a:srgbClr val="FF00FF"/>
              </a:solidFill>
              <a:ln>
                <a:solidFill>
                  <a:schemeClr val="tx1"/>
                </a:solidFill>
              </a:ln>
            </c:spPr>
          </c:marker>
          <c:dPt>
            <c:idx val="34"/>
            <c:marker>
              <c:symbol val="none"/>
            </c:marker>
            <c:bubble3D val="0"/>
            <c:extLst>
              <c:ext xmlns:c16="http://schemas.microsoft.com/office/drawing/2014/chart" uri="{C3380CC4-5D6E-409C-BE32-E72D297353CC}">
                <c16:uniqueId val="{00000003-6DE2-40D0-84CE-8C9ADE5983AF}"/>
              </c:ext>
            </c:extLst>
          </c:dPt>
          <c:dLbls>
            <c:spPr>
              <a:noFill/>
              <a:ln>
                <a:noFill/>
              </a:ln>
              <a:effectLst/>
            </c:spPr>
            <c:txPr>
              <a:bodyPr wrap="square" lIns="38100" tIns="19050" rIns="38100" bIns="19050" anchor="ctr">
                <a:spAutoFit/>
              </a:bodyPr>
              <a:lstStyle/>
              <a:p>
                <a:pPr>
                  <a:defRPr sz="1200">
                    <a:latin typeface="Aptos" panose="020B00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'Sector Sublimits'!$B$39:$AP$39</c:f>
              <c:numCache>
                <c:formatCode>#,##0.0</c:formatCode>
                <c:ptCount val="41"/>
                <c:pt idx="35">
                  <c:v>10.8</c:v>
                </c:pt>
              </c:numCache>
            </c:numRef>
          </c:val>
          <c:smooth val="0"/>
          <c:extLst>
            <c:ext xmlns:c16="http://schemas.microsoft.com/office/drawing/2014/chart" uri="{C3380CC4-5D6E-409C-BE32-E72D297353CC}">
              <c16:uniqueId val="{00000004-6DE2-40D0-84CE-8C9ADE5983AF}"/>
            </c:ext>
          </c:extLst>
        </c:ser>
        <c:ser>
          <c:idx val="4"/>
          <c:order val="4"/>
          <c:tx>
            <c:strRef>
              <c:f>'Sector Sublimits'!$A$40</c:f>
              <c:strCache>
                <c:ptCount val="1"/>
                <c:pt idx="0">
                  <c:v>2030 CECP Limit (49% below 1990)</c:v>
                </c:pt>
              </c:strCache>
            </c:strRef>
          </c:tx>
          <c:spPr>
            <a:ln>
              <a:noFill/>
            </a:ln>
          </c:spPr>
          <c:marker>
            <c:symbol val="diamond"/>
            <c:size val="10"/>
            <c:spPr>
              <a:solidFill>
                <a:srgbClr val="FF00FF"/>
              </a:solidFill>
              <a:ln>
                <a:solidFill>
                  <a:schemeClr val="tx1"/>
                </a:solidFill>
              </a:ln>
            </c:spPr>
          </c:marker>
          <c:dLbls>
            <c:dLbl>
              <c:idx val="4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E2-40D0-84CE-8C9ADE5983AF}"/>
                </c:ext>
              </c:extLst>
            </c:dLbl>
            <c:spPr>
              <a:noFill/>
              <a:ln>
                <a:noFill/>
              </a:ln>
              <a:effectLst/>
            </c:spPr>
            <c:txPr>
              <a:bodyPr wrap="square" lIns="38100" tIns="19050" rIns="38100" bIns="19050" anchor="ctr">
                <a:spAutoFit/>
              </a:bodyPr>
              <a:lstStyle/>
              <a:p>
                <a:pPr>
                  <a:defRPr sz="1200">
                    <a:latin typeface="Aptos" panose="020B00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'Sector Sublimits'!$B$40:$AP$40</c:f>
              <c:numCache>
                <c:formatCode>#,##0.0</c:formatCode>
                <c:ptCount val="41"/>
                <c:pt idx="40">
                  <c:v>7.8</c:v>
                </c:pt>
              </c:numCache>
            </c:numRef>
          </c:val>
          <c:smooth val="0"/>
          <c:extLst>
            <c:ext xmlns:c16="http://schemas.microsoft.com/office/drawing/2014/chart" uri="{C3380CC4-5D6E-409C-BE32-E72D297353CC}">
              <c16:uniqueId val="{00000006-6DE2-40D0-84CE-8C9ADE5983AF}"/>
            </c:ext>
          </c:extLst>
        </c:ser>
        <c:dLbls>
          <c:showLegendKey val="0"/>
          <c:showVal val="0"/>
          <c:showCatName val="0"/>
          <c:showSerName val="0"/>
          <c:showPercent val="0"/>
          <c:showBubbleSize val="0"/>
        </c:dLbls>
        <c:marker val="1"/>
        <c:smooth val="0"/>
        <c:axId val="49015424"/>
        <c:axId val="51003776"/>
      </c:lineChart>
      <c:catAx>
        <c:axId val="49015424"/>
        <c:scaling>
          <c:orientation val="minMax"/>
        </c:scaling>
        <c:delete val="0"/>
        <c:axPos val="b"/>
        <c:numFmt formatCode="General" sourceLinked="1"/>
        <c:majorTickMark val="out"/>
        <c:minorTickMark val="none"/>
        <c:tickLblPos val="nextTo"/>
        <c:txPr>
          <a:bodyPr rot="-540000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51003776"/>
        <c:crosses val="autoZero"/>
        <c:auto val="1"/>
        <c:lblAlgn val="ctr"/>
        <c:lblOffset val="100"/>
        <c:noMultiLvlLbl val="0"/>
      </c:catAx>
      <c:valAx>
        <c:axId val="51003776"/>
        <c:scaling>
          <c:orientation val="minMax"/>
        </c:scaling>
        <c:delete val="0"/>
        <c:axPos val="l"/>
        <c:majorGridlines/>
        <c:numFmt formatCode="#,##0" sourceLinked="0"/>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9015424"/>
        <c:crosses val="autoZero"/>
        <c:crossBetween val="midCat"/>
      </c:valAx>
      <c:spPr>
        <a:noFill/>
        <a:ln w="25400">
          <a:noFill/>
        </a:ln>
      </c:spPr>
    </c:plotArea>
    <c:legend>
      <c:legendPos val="r"/>
      <c:layout>
        <c:manualLayout>
          <c:xMode val="edge"/>
          <c:yMode val="edge"/>
          <c:x val="0.66469881941384446"/>
          <c:y val="0.17751036845585144"/>
          <c:w val="0.33530115722763454"/>
          <c:h val="0.69703251788182985"/>
        </c:manualLayout>
      </c:layout>
      <c:overlay val="0"/>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oddFooter>&amp;R3/3/2017</c:oddFooter>
    </c:headerFooter>
    <c:pageMargins b="0.75" l="0.7" r="0.7" t="0.75" header="0.3" footer="0.3"/>
    <c:pageSetup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ptos" panose="020B0004020202020204" pitchFamily="34" charset="0"/>
                <a:ea typeface="Calibri"/>
                <a:cs typeface="Calibri"/>
              </a:defRPr>
            </a:pPr>
            <a:r>
              <a:rPr lang="en-US">
                <a:latin typeface="Aptos" panose="020B0004020202020204" pitchFamily="34" charset="0"/>
              </a:rPr>
              <a:t>MA commercial and industrial</a:t>
            </a:r>
            <a:r>
              <a:rPr lang="en-US" baseline="0">
                <a:latin typeface="Aptos" panose="020B0004020202020204" pitchFamily="34" charset="0"/>
              </a:rPr>
              <a:t> heating and cooling</a:t>
            </a:r>
            <a:r>
              <a:rPr lang="en-US">
                <a:latin typeface="Aptos" panose="020B0004020202020204" pitchFamily="34" charset="0"/>
              </a:rPr>
              <a:t> MMTCO2E</a:t>
            </a:r>
          </a:p>
        </c:rich>
      </c:tx>
      <c:layout>
        <c:manualLayout>
          <c:xMode val="edge"/>
          <c:yMode val="edge"/>
          <c:x val="5.7030385821655337E-2"/>
          <c:y val="2.7586206896551724E-2"/>
        </c:manualLayout>
      </c:layout>
      <c:overlay val="0"/>
    </c:title>
    <c:autoTitleDeleted val="0"/>
    <c:plotArea>
      <c:layout>
        <c:manualLayout>
          <c:layoutTarget val="inner"/>
          <c:xMode val="edge"/>
          <c:yMode val="edge"/>
          <c:x val="6.1678470075186446E-2"/>
          <c:y val="0.19480351414406533"/>
          <c:w val="0.59587561015606649"/>
          <c:h val="0.65183253135024788"/>
        </c:manualLayout>
      </c:layout>
      <c:lineChart>
        <c:grouping val="standard"/>
        <c:varyColors val="0"/>
        <c:ser>
          <c:idx val="0"/>
          <c:order val="0"/>
          <c:tx>
            <c:strRef>
              <c:f>'Sector Sublimits'!$A$55</c:f>
              <c:strCache>
                <c:ptCount val="1"/>
                <c:pt idx="0">
                  <c:v>Commercial and Industrial Heating and Cooling</c:v>
                </c:pt>
              </c:strCache>
            </c:strRef>
          </c:tx>
          <c:spPr>
            <a:ln>
              <a:solidFill>
                <a:srgbClr val="FF00FF"/>
              </a:solidFill>
            </a:ln>
          </c:spPr>
          <c:marker>
            <c:symbol val="diamond"/>
            <c:size val="8"/>
            <c:spPr>
              <a:solidFill>
                <a:srgbClr val="FF99FF"/>
              </a:solidFill>
              <a:ln>
                <a:solidFill>
                  <a:srgbClr val="FF99FF"/>
                </a:solidFill>
              </a:ln>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Sublimits'!$B$55:$AI$55</c:f>
              <c:numCache>
                <c:formatCode>#,##0.0</c:formatCode>
                <c:ptCount val="34"/>
                <c:pt idx="0">
                  <c:v>14.055381766855493</c:v>
                </c:pt>
                <c:pt idx="1">
                  <c:v>13.953048057855117</c:v>
                </c:pt>
                <c:pt idx="2">
                  <c:v>15.433560214670768</c:v>
                </c:pt>
                <c:pt idx="3">
                  <c:v>14.647752664418203</c:v>
                </c:pt>
                <c:pt idx="4">
                  <c:v>14.635356614247844</c:v>
                </c:pt>
                <c:pt idx="5">
                  <c:v>14.048345624201456</c:v>
                </c:pt>
                <c:pt idx="6">
                  <c:v>14.132050068365091</c:v>
                </c:pt>
                <c:pt idx="7">
                  <c:v>14.621125035883955</c:v>
                </c:pt>
                <c:pt idx="8">
                  <c:v>12.933997003679934</c:v>
                </c:pt>
                <c:pt idx="9">
                  <c:v>11.749006288795753</c:v>
                </c:pt>
                <c:pt idx="10">
                  <c:v>12.223712292674097</c:v>
                </c:pt>
                <c:pt idx="11">
                  <c:v>12.341172482583001</c:v>
                </c:pt>
                <c:pt idx="12">
                  <c:v>12.364197374393115</c:v>
                </c:pt>
                <c:pt idx="13">
                  <c:v>11.542358617010182</c:v>
                </c:pt>
                <c:pt idx="14">
                  <c:v>10.857538607132028</c:v>
                </c:pt>
                <c:pt idx="15">
                  <c:v>11.250677634946136</c:v>
                </c:pt>
                <c:pt idx="16">
                  <c:v>9.4411403187322094</c:v>
                </c:pt>
                <c:pt idx="17">
                  <c:v>9.6858188262385401</c:v>
                </c:pt>
                <c:pt idx="18">
                  <c:v>9.6012111935067654</c:v>
                </c:pt>
                <c:pt idx="19">
                  <c:v>9.100028734362926</c:v>
                </c:pt>
                <c:pt idx="20">
                  <c:v>10.50164894169237</c:v>
                </c:pt>
                <c:pt idx="21">
                  <c:v>10.267211125350823</c:v>
                </c:pt>
                <c:pt idx="22">
                  <c:v>8.6176986075613335</c:v>
                </c:pt>
                <c:pt idx="23">
                  <c:v>10.336143498694931</c:v>
                </c:pt>
                <c:pt idx="24">
                  <c:v>10.644904747593806</c:v>
                </c:pt>
                <c:pt idx="25">
                  <c:v>11.074524296201009</c:v>
                </c:pt>
                <c:pt idx="26">
                  <c:v>10.275692509442694</c:v>
                </c:pt>
                <c:pt idx="27">
                  <c:v>10.654675409769292</c:v>
                </c:pt>
                <c:pt idx="28">
                  <c:v>11.22819901365458</c:v>
                </c:pt>
                <c:pt idx="29">
                  <c:v>11.490144059845839</c:v>
                </c:pt>
                <c:pt idx="30">
                  <c:v>10.443414169425543</c:v>
                </c:pt>
                <c:pt idx="31">
                  <c:v>10.740682733632577</c:v>
                </c:pt>
                <c:pt idx="32">
                  <c:v>11.498512203645815</c:v>
                </c:pt>
                <c:pt idx="33">
                  <c:v>10.62414294075</c:v>
                </c:pt>
              </c:numCache>
            </c:numRef>
          </c:val>
          <c:smooth val="0"/>
          <c:extLst>
            <c:ext xmlns:c16="http://schemas.microsoft.com/office/drawing/2014/chart" uri="{C3380CC4-5D6E-409C-BE32-E72D297353CC}">
              <c16:uniqueId val="{00000000-2796-4607-9741-B00A807D920C}"/>
            </c:ext>
          </c:extLst>
        </c:ser>
        <c:ser>
          <c:idx val="2"/>
          <c:order val="1"/>
          <c:tx>
            <c:strRef>
              <c:f>'Sector Sublimits'!$A$46</c:f>
              <c:strCache>
                <c:ptCount val="1"/>
                <c:pt idx="0">
                  <c:v>Commercial CO2e from Fuel Combustion and Fuel Cell</c:v>
                </c:pt>
              </c:strCache>
            </c:strRef>
          </c:tx>
          <c:marker>
            <c:symbol val="square"/>
            <c:size val="5"/>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Sublimits'!$B$46:$AI$46</c:f>
              <c:numCache>
                <c:formatCode>#,##0.0</c:formatCode>
                <c:ptCount val="34"/>
                <c:pt idx="0">
                  <c:v>8.4498373292805997</c:v>
                </c:pt>
                <c:pt idx="1">
                  <c:v>9.2327174055964747</c:v>
                </c:pt>
                <c:pt idx="2">
                  <c:v>8.9900720556205993</c:v>
                </c:pt>
                <c:pt idx="3">
                  <c:v>8.0482362214060164</c:v>
                </c:pt>
                <c:pt idx="4">
                  <c:v>8.921629042544625</c:v>
                </c:pt>
                <c:pt idx="5">
                  <c:v>9.0187998178736368</c:v>
                </c:pt>
                <c:pt idx="6">
                  <c:v>9.1210152080864475</c:v>
                </c:pt>
                <c:pt idx="7">
                  <c:v>9.5098828363490036</c:v>
                </c:pt>
                <c:pt idx="8">
                  <c:v>8.1251718135853483</c:v>
                </c:pt>
                <c:pt idx="9">
                  <c:v>6.2393751516955165</c:v>
                </c:pt>
                <c:pt idx="10">
                  <c:v>6.8430242216658304</c:v>
                </c:pt>
                <c:pt idx="11">
                  <c:v>5.8080883608675817</c:v>
                </c:pt>
                <c:pt idx="12">
                  <c:v>5.9304043098722525</c:v>
                </c:pt>
                <c:pt idx="13">
                  <c:v>7.1634713428097143</c:v>
                </c:pt>
                <c:pt idx="14">
                  <c:v>6.5866158927197862</c:v>
                </c:pt>
                <c:pt idx="15">
                  <c:v>6.7227133446511402</c:v>
                </c:pt>
                <c:pt idx="16">
                  <c:v>5.0430993802870772</c:v>
                </c:pt>
                <c:pt idx="17">
                  <c:v>5.3760374991415771</c:v>
                </c:pt>
                <c:pt idx="18">
                  <c:v>5.6229900450532995</c:v>
                </c:pt>
                <c:pt idx="19">
                  <c:v>5.8286978660278645</c:v>
                </c:pt>
                <c:pt idx="20">
                  <c:v>6.7611013025421904</c:v>
                </c:pt>
                <c:pt idx="21">
                  <c:v>6.3698006006574017</c:v>
                </c:pt>
                <c:pt idx="22">
                  <c:v>5.2680916237270869</c:v>
                </c:pt>
                <c:pt idx="23">
                  <c:v>6.7992810511147983</c:v>
                </c:pt>
                <c:pt idx="24">
                  <c:v>7.1844944219819409</c:v>
                </c:pt>
                <c:pt idx="25">
                  <c:v>7.5880162987844058</c:v>
                </c:pt>
                <c:pt idx="26">
                  <c:v>7.0017819335319551</c:v>
                </c:pt>
                <c:pt idx="27">
                  <c:v>7.3469777355165595</c:v>
                </c:pt>
                <c:pt idx="28">
                  <c:v>7.8913838901466349</c:v>
                </c:pt>
                <c:pt idx="29">
                  <c:v>8.075154217693159</c:v>
                </c:pt>
                <c:pt idx="30">
                  <c:v>7.278632772235647</c:v>
                </c:pt>
                <c:pt idx="31">
                  <c:v>7.4205709610330715</c:v>
                </c:pt>
                <c:pt idx="32">
                  <c:v>8.1599363162098957</c:v>
                </c:pt>
                <c:pt idx="33">
                  <c:v>7.5712996120592306</c:v>
                </c:pt>
              </c:numCache>
            </c:numRef>
          </c:val>
          <c:smooth val="0"/>
          <c:extLst>
            <c:ext xmlns:c16="http://schemas.microsoft.com/office/drawing/2014/chart" uri="{C3380CC4-5D6E-409C-BE32-E72D297353CC}">
              <c16:uniqueId val="{00000001-2796-4607-9741-B00A807D920C}"/>
            </c:ext>
          </c:extLst>
        </c:ser>
        <c:ser>
          <c:idx val="1"/>
          <c:order val="2"/>
          <c:tx>
            <c:strRef>
              <c:f>'Sector Sublimits'!$A$50</c:f>
              <c:strCache>
                <c:ptCount val="1"/>
                <c:pt idx="0">
                  <c:v>Industrial CO2e from Fuel Combustion</c:v>
                </c:pt>
              </c:strCache>
            </c:strRef>
          </c:tx>
          <c:spPr>
            <a:ln>
              <a:solidFill>
                <a:srgbClr val="002060"/>
              </a:solidFill>
            </a:ln>
          </c:spPr>
          <c:marker>
            <c:symbol val="triangle"/>
            <c:size val="5"/>
            <c:spPr>
              <a:solidFill>
                <a:srgbClr val="002060"/>
              </a:solidFill>
              <a:ln>
                <a:solidFill>
                  <a:srgbClr val="002060"/>
                </a:solidFill>
              </a:ln>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Sublimits'!$B$50:$AI$50</c:f>
              <c:numCache>
                <c:formatCode>#,##0.0</c:formatCode>
                <c:ptCount val="34"/>
                <c:pt idx="0">
                  <c:v>5.6055444375748946</c:v>
                </c:pt>
                <c:pt idx="1">
                  <c:v>4.7203306522586423</c:v>
                </c:pt>
                <c:pt idx="2">
                  <c:v>6.4434881590501689</c:v>
                </c:pt>
                <c:pt idx="3">
                  <c:v>6.5995164430121873</c:v>
                </c:pt>
                <c:pt idx="4">
                  <c:v>5.7137275717032194</c:v>
                </c:pt>
                <c:pt idx="5">
                  <c:v>5.0295458063278202</c:v>
                </c:pt>
                <c:pt idx="6">
                  <c:v>5.0110348602786434</c:v>
                </c:pt>
                <c:pt idx="7">
                  <c:v>5.1112421995349511</c:v>
                </c:pt>
                <c:pt idx="8">
                  <c:v>4.808825190094586</c:v>
                </c:pt>
                <c:pt idx="9">
                  <c:v>5.5096311371002367</c:v>
                </c:pt>
                <c:pt idx="10">
                  <c:v>5.3806880710082661</c:v>
                </c:pt>
                <c:pt idx="11">
                  <c:v>6.5330841217154205</c:v>
                </c:pt>
                <c:pt idx="12">
                  <c:v>6.4337930645208612</c:v>
                </c:pt>
                <c:pt idx="13">
                  <c:v>4.3788872742004674</c:v>
                </c:pt>
                <c:pt idx="14">
                  <c:v>4.2709227144122419</c:v>
                </c:pt>
                <c:pt idx="15">
                  <c:v>4.527964290294995</c:v>
                </c:pt>
                <c:pt idx="16">
                  <c:v>4.3980409384451322</c:v>
                </c:pt>
                <c:pt idx="17">
                  <c:v>4.3097813270969629</c:v>
                </c:pt>
                <c:pt idx="18">
                  <c:v>3.9782211484534664</c:v>
                </c:pt>
                <c:pt idx="19">
                  <c:v>3.2713308683350615</c:v>
                </c:pt>
                <c:pt idx="20">
                  <c:v>3.7405476391501797</c:v>
                </c:pt>
                <c:pt idx="21">
                  <c:v>3.8974105246934214</c:v>
                </c:pt>
                <c:pt idx="22">
                  <c:v>3.3496069838342475</c:v>
                </c:pt>
                <c:pt idx="23">
                  <c:v>3.5368624475801331</c:v>
                </c:pt>
                <c:pt idx="24">
                  <c:v>3.4604103256118655</c:v>
                </c:pt>
                <c:pt idx="25">
                  <c:v>3.486507997416604</c:v>
                </c:pt>
                <c:pt idx="26">
                  <c:v>3.273910575910739</c:v>
                </c:pt>
                <c:pt idx="27">
                  <c:v>3.3076976742527324</c:v>
                </c:pt>
                <c:pt idx="28">
                  <c:v>3.3368151235079453</c:v>
                </c:pt>
                <c:pt idx="29">
                  <c:v>3.4149898421526799</c:v>
                </c:pt>
                <c:pt idx="30">
                  <c:v>3.1647813971898953</c:v>
                </c:pt>
                <c:pt idx="31">
                  <c:v>3.3201117725995055</c:v>
                </c:pt>
                <c:pt idx="32">
                  <c:v>3.3385758874359195</c:v>
                </c:pt>
                <c:pt idx="33">
                  <c:v>3.0528433286907695</c:v>
                </c:pt>
              </c:numCache>
            </c:numRef>
          </c:val>
          <c:smooth val="0"/>
          <c:extLst>
            <c:ext xmlns:c16="http://schemas.microsoft.com/office/drawing/2014/chart" uri="{C3380CC4-5D6E-409C-BE32-E72D297353CC}">
              <c16:uniqueId val="{00000002-2796-4607-9741-B00A807D920C}"/>
            </c:ext>
          </c:extLst>
        </c:ser>
        <c:ser>
          <c:idx val="5"/>
          <c:order val="3"/>
          <c:tx>
            <c:strRef>
              <c:f>'Sector Sublimits'!$A$58</c:f>
              <c:strCache>
                <c:ptCount val="1"/>
                <c:pt idx="0">
                  <c:v>2025 CECP Limit (35% below 1990)</c:v>
                </c:pt>
              </c:strCache>
            </c:strRef>
          </c:tx>
          <c:spPr>
            <a:ln>
              <a:noFill/>
              <a:prstDash val="dash"/>
            </a:ln>
          </c:spPr>
          <c:marker>
            <c:symbol val="diamond"/>
            <c:size val="10"/>
            <c:spPr>
              <a:solidFill>
                <a:srgbClr val="FF00FF"/>
              </a:solidFill>
              <a:ln>
                <a:solidFill>
                  <a:schemeClr val="tx1"/>
                </a:solidFill>
              </a:ln>
            </c:spPr>
          </c:marker>
          <c:dLbls>
            <c:dLbl>
              <c:idx val="3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96-4607-9741-B00A807D920C}"/>
                </c:ext>
              </c:extLst>
            </c:dLbl>
            <c:spPr>
              <a:noFill/>
              <a:ln>
                <a:noFill/>
              </a:ln>
              <a:effectLst/>
            </c:spPr>
            <c:txPr>
              <a:bodyPr wrap="square" lIns="38100" tIns="19050" rIns="38100" bIns="19050" anchor="ctr">
                <a:spAutoFit/>
              </a:bodyPr>
              <a:lstStyle/>
              <a:p>
                <a:pPr>
                  <a:defRPr sz="1200">
                    <a:latin typeface="Aptos" panose="020B00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Sublimits'!$B$58:$AK$58</c:f>
              <c:numCache>
                <c:formatCode>#,##0.0</c:formatCode>
                <c:ptCount val="36"/>
                <c:pt idx="35">
                  <c:v>9.3000000000000007</c:v>
                </c:pt>
              </c:numCache>
            </c:numRef>
          </c:val>
          <c:smooth val="0"/>
          <c:extLst>
            <c:ext xmlns:c16="http://schemas.microsoft.com/office/drawing/2014/chart" uri="{C3380CC4-5D6E-409C-BE32-E72D297353CC}">
              <c16:uniqueId val="{00000004-2796-4607-9741-B00A807D920C}"/>
            </c:ext>
          </c:extLst>
        </c:ser>
        <c:ser>
          <c:idx val="6"/>
          <c:order val="4"/>
          <c:tx>
            <c:strRef>
              <c:f>'Sector Sublimits'!$A$59</c:f>
              <c:strCache>
                <c:ptCount val="1"/>
                <c:pt idx="0">
                  <c:v>2030 CECP Limit (49% below 1990)</c:v>
                </c:pt>
              </c:strCache>
            </c:strRef>
          </c:tx>
          <c:spPr>
            <a:ln>
              <a:noFill/>
              <a:prstDash val="dash"/>
            </a:ln>
          </c:spPr>
          <c:marker>
            <c:symbol val="diamond"/>
            <c:size val="10"/>
            <c:spPr>
              <a:solidFill>
                <a:srgbClr val="FF00FF"/>
              </a:solidFill>
              <a:ln>
                <a:solidFill>
                  <a:schemeClr val="tx1"/>
                </a:solidFill>
              </a:ln>
            </c:spPr>
          </c:marker>
          <c:dPt>
            <c:idx val="35"/>
            <c:bubble3D val="0"/>
            <c:extLst>
              <c:ext xmlns:c16="http://schemas.microsoft.com/office/drawing/2014/chart" uri="{C3380CC4-5D6E-409C-BE32-E72D297353CC}">
                <c16:uniqueId val="{00000005-2796-4607-9741-B00A807D920C}"/>
              </c:ext>
            </c:extLst>
          </c:dPt>
          <c:dLbls>
            <c:dLbl>
              <c:idx val="3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96-4607-9741-B00A807D920C}"/>
                </c:ext>
              </c:extLst>
            </c:dLbl>
            <c:dLbl>
              <c:idx val="4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96-4607-9741-B00A807D920C}"/>
                </c:ext>
              </c:extLst>
            </c:dLbl>
            <c:spPr>
              <a:noFill/>
              <a:ln>
                <a:noFill/>
              </a:ln>
              <a:effectLst/>
            </c:spPr>
            <c:txPr>
              <a:bodyPr wrap="square" lIns="38100" tIns="19050" rIns="38100" bIns="19050" anchor="ctr">
                <a:spAutoFit/>
              </a:bodyPr>
              <a:lstStyle/>
              <a:p>
                <a:pPr>
                  <a:defRPr sz="1200">
                    <a:latin typeface="Aptos" panose="020B0004020202020204" pitchFamily="34" charset="0"/>
                    <a:cs typeface="Arabic Typesetting" panose="020F0502020204030204" pitchFamily="66" charset="-78"/>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Sublimits'!$B$59:$AP$59</c:f>
              <c:numCache>
                <c:formatCode>#,##0.0</c:formatCode>
                <c:ptCount val="41"/>
                <c:pt idx="40">
                  <c:v>7.2</c:v>
                </c:pt>
              </c:numCache>
            </c:numRef>
          </c:val>
          <c:smooth val="0"/>
          <c:extLst>
            <c:ext xmlns:c16="http://schemas.microsoft.com/office/drawing/2014/chart" uri="{C3380CC4-5D6E-409C-BE32-E72D297353CC}">
              <c16:uniqueId val="{00000007-2796-4607-9741-B00A807D920C}"/>
            </c:ext>
          </c:extLst>
        </c:ser>
        <c:dLbls>
          <c:showLegendKey val="0"/>
          <c:showVal val="0"/>
          <c:showCatName val="0"/>
          <c:showSerName val="0"/>
          <c:showPercent val="0"/>
          <c:showBubbleSize val="0"/>
        </c:dLbls>
        <c:marker val="1"/>
        <c:smooth val="0"/>
        <c:axId val="49015424"/>
        <c:axId val="51003776"/>
      </c:lineChart>
      <c:catAx>
        <c:axId val="49015424"/>
        <c:scaling>
          <c:orientation val="minMax"/>
        </c:scaling>
        <c:delete val="0"/>
        <c:axPos val="b"/>
        <c:numFmt formatCode="General" sourceLinked="1"/>
        <c:majorTickMark val="out"/>
        <c:minorTickMark val="none"/>
        <c:tickLblPos val="nextTo"/>
        <c:txPr>
          <a:bodyPr rot="-540000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51003776"/>
        <c:crosses val="autoZero"/>
        <c:auto val="1"/>
        <c:lblAlgn val="ctr"/>
        <c:lblOffset val="100"/>
        <c:noMultiLvlLbl val="0"/>
      </c:catAx>
      <c:valAx>
        <c:axId val="51003776"/>
        <c:scaling>
          <c:orientation val="minMax"/>
          <c:max val="16"/>
        </c:scaling>
        <c:delete val="0"/>
        <c:axPos val="l"/>
        <c:majorGridlines/>
        <c:numFmt formatCode="#,##0" sourceLinked="0"/>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49015424"/>
        <c:crosses val="autoZero"/>
        <c:crossBetween val="midCat"/>
      </c:valAx>
      <c:spPr>
        <a:noFill/>
        <a:ln w="25400">
          <a:noFill/>
        </a:ln>
      </c:spPr>
    </c:plotArea>
    <c:legend>
      <c:legendPos val="r"/>
      <c:layout>
        <c:manualLayout>
          <c:xMode val="edge"/>
          <c:yMode val="edge"/>
          <c:x val="0.66469877193373783"/>
          <c:y val="0.2021024922905045"/>
          <c:w val="0.3171540617010995"/>
          <c:h val="0.66962588860065964"/>
        </c:manualLayout>
      </c:layout>
      <c:overlay val="0"/>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oddFooter>&amp;R3/3/2017</c:oddFooter>
    </c:headerFooter>
    <c:pageMargins b="0.75" l="0.7" r="0.7" t="0.75" header="0.3" footer="0.3"/>
    <c:pageSetup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a:pPr>
            <a:r>
              <a:rPr lang="en-US" sz="1800" b="1"/>
              <a:t>MA natural gas system MMTCO2E</a:t>
            </a:r>
          </a:p>
        </c:rich>
      </c:tx>
      <c:layout>
        <c:manualLayout>
          <c:xMode val="edge"/>
          <c:yMode val="edge"/>
          <c:x val="5.7030385821655337E-2"/>
          <c:y val="2.7586206896551724E-2"/>
        </c:manualLayout>
      </c:layout>
      <c:overlay val="0"/>
    </c:title>
    <c:autoTitleDeleted val="0"/>
    <c:plotArea>
      <c:layout>
        <c:manualLayout>
          <c:layoutTarget val="inner"/>
          <c:xMode val="edge"/>
          <c:yMode val="edge"/>
          <c:x val="6.1678470075186446E-2"/>
          <c:y val="0.19480351414406533"/>
          <c:w val="0.59587561015606649"/>
          <c:h val="0.65183253135024788"/>
        </c:manualLayout>
      </c:layout>
      <c:lineChart>
        <c:grouping val="standard"/>
        <c:varyColors val="0"/>
        <c:ser>
          <c:idx val="0"/>
          <c:order val="0"/>
          <c:tx>
            <c:strRef>
              <c:f>'Sector Sublimits'!$A$93</c:f>
              <c:strCache>
                <c:ptCount val="1"/>
                <c:pt idx="0">
                  <c:v>Natural Gas Systems (CO2e)</c:v>
                </c:pt>
              </c:strCache>
            </c:strRef>
          </c:tx>
          <c:spPr>
            <a:ln>
              <a:solidFill>
                <a:srgbClr val="FF00FF"/>
              </a:solidFill>
            </a:ln>
          </c:spPr>
          <c:marker>
            <c:symbol val="diamond"/>
            <c:size val="8"/>
            <c:spPr>
              <a:solidFill>
                <a:srgbClr val="FF99FF"/>
              </a:solidFill>
              <a:ln>
                <a:solidFill>
                  <a:srgbClr val="FF99FF"/>
                </a:solidFill>
              </a:ln>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Sublimits'!$B$97:$AI$97</c:f>
              <c:numCache>
                <c:formatCode>#,##0.0</c:formatCode>
                <c:ptCount val="34"/>
                <c:pt idx="0">
                  <c:v>1.8677651258656023</c:v>
                </c:pt>
                <c:pt idx="1">
                  <c:v>1.852887425897749</c:v>
                </c:pt>
                <c:pt idx="2">
                  <c:v>1.8397743556365582</c:v>
                </c:pt>
                <c:pt idx="3">
                  <c:v>1.7613444610359528</c:v>
                </c:pt>
                <c:pt idx="4">
                  <c:v>1.7049153610944481</c:v>
                </c:pt>
                <c:pt idx="5">
                  <c:v>1.6709702656070302</c:v>
                </c:pt>
                <c:pt idx="6">
                  <c:v>1.5924548496297186</c:v>
                </c:pt>
                <c:pt idx="7">
                  <c:v>1.5411686000890501</c:v>
                </c:pt>
                <c:pt idx="8">
                  <c:v>1.4818949902988792</c:v>
                </c:pt>
                <c:pt idx="9">
                  <c:v>1.4228973383008028</c:v>
                </c:pt>
                <c:pt idx="10">
                  <c:v>1.3849041465119019</c:v>
                </c:pt>
                <c:pt idx="11">
                  <c:v>1.3148628860365357</c:v>
                </c:pt>
                <c:pt idx="12">
                  <c:v>1.2775637306450169</c:v>
                </c:pt>
                <c:pt idx="13">
                  <c:v>1.2248834953868954</c:v>
                </c:pt>
                <c:pt idx="14">
                  <c:v>1.2096454508131458</c:v>
                </c:pt>
                <c:pt idx="15">
                  <c:v>1.116769011294539</c:v>
                </c:pt>
                <c:pt idx="16">
                  <c:v>1.0773854569526293</c:v>
                </c:pt>
                <c:pt idx="17">
                  <c:v>1.0341021055848827</c:v>
                </c:pt>
                <c:pt idx="18">
                  <c:v>1.0261355902109481</c:v>
                </c:pt>
                <c:pt idx="19">
                  <c:v>0.97574211006229161</c:v>
                </c:pt>
                <c:pt idx="20">
                  <c:v>0.98651781200941091</c:v>
                </c:pt>
                <c:pt idx="21">
                  <c:v>0.79998790658513363</c:v>
                </c:pt>
                <c:pt idx="22">
                  <c:v>0.79980448829054263</c:v>
                </c:pt>
                <c:pt idx="23">
                  <c:v>0.78487067159526325</c:v>
                </c:pt>
                <c:pt idx="24">
                  <c:v>0.75976893464181838</c:v>
                </c:pt>
                <c:pt idx="25">
                  <c:v>0.79756121017191395</c:v>
                </c:pt>
                <c:pt idx="26">
                  <c:v>0.77716355555855188</c:v>
                </c:pt>
                <c:pt idx="27">
                  <c:v>0.73524508776400288</c:v>
                </c:pt>
                <c:pt idx="28">
                  <c:v>0.72053532011706112</c:v>
                </c:pt>
                <c:pt idx="29">
                  <c:v>0.71879595083025949</c:v>
                </c:pt>
                <c:pt idx="30">
                  <c:v>0.74193958504154822</c:v>
                </c:pt>
                <c:pt idx="31">
                  <c:v>0.71349693568858763</c:v>
                </c:pt>
                <c:pt idx="32">
                  <c:v>0.73924386892764438</c:v>
                </c:pt>
                <c:pt idx="33">
                  <c:v>0.70636312077249741</c:v>
                </c:pt>
              </c:numCache>
            </c:numRef>
          </c:val>
          <c:smooth val="0"/>
          <c:extLst>
            <c:ext xmlns:c16="http://schemas.microsoft.com/office/drawing/2014/chart" uri="{C3380CC4-5D6E-409C-BE32-E72D297353CC}">
              <c16:uniqueId val="{00000000-5C32-4B4D-8E04-F0F5EAF6F1AE}"/>
            </c:ext>
          </c:extLst>
        </c:ser>
        <c:ser>
          <c:idx val="1"/>
          <c:order val="1"/>
          <c:tx>
            <c:strRef>
              <c:f>'Sector Sublimits'!$A$94</c:f>
              <c:strCache>
                <c:ptCount val="1"/>
                <c:pt idx="0">
                  <c:v>Natural Gas Distribution</c:v>
                </c:pt>
              </c:strCache>
            </c:strRef>
          </c:tx>
          <c:marker>
            <c:symbol val="square"/>
            <c:size val="5"/>
            <c:spPr>
              <a:solidFill>
                <a:srgbClr val="002060"/>
              </a:solidFill>
              <a:ln>
                <a:solidFill>
                  <a:srgbClr val="002060"/>
                </a:solidFill>
              </a:ln>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Sublimits'!$B$94:$AJ$94</c:f>
              <c:numCache>
                <c:formatCode>#,##0.0</c:formatCode>
                <c:ptCount val="35"/>
                <c:pt idx="0">
                  <c:v>1.5978344104930755</c:v>
                </c:pt>
                <c:pt idx="1">
                  <c:v>1.5744995003524025</c:v>
                </c:pt>
                <c:pt idx="2">
                  <c:v>1.5525396891083991</c:v>
                </c:pt>
                <c:pt idx="3">
                  <c:v>1.4732757825207252</c:v>
                </c:pt>
                <c:pt idx="4">
                  <c:v>1.4132656546896274</c:v>
                </c:pt>
                <c:pt idx="5">
                  <c:v>1.3725407205561477</c:v>
                </c:pt>
                <c:pt idx="6">
                  <c:v>1.3037231351316354</c:v>
                </c:pt>
                <c:pt idx="7">
                  <c:v>1.2477696348879694</c:v>
                </c:pt>
                <c:pt idx="8">
                  <c:v>1.1936516917602449</c:v>
                </c:pt>
                <c:pt idx="9">
                  <c:v>1.1331753442114545</c:v>
                </c:pt>
                <c:pt idx="10">
                  <c:v>1.0946801811538924</c:v>
                </c:pt>
                <c:pt idx="11">
                  <c:v>1.0208406174807614</c:v>
                </c:pt>
                <c:pt idx="12">
                  <c:v>0.97403644267529255</c:v>
                </c:pt>
                <c:pt idx="13">
                  <c:v>0.92289323110311328</c:v>
                </c:pt>
                <c:pt idx="14">
                  <c:v>0.91266786766907015</c:v>
                </c:pt>
                <c:pt idx="15">
                  <c:v>0.82258364391252681</c:v>
                </c:pt>
                <c:pt idx="16">
                  <c:v>0.77776712526721936</c:v>
                </c:pt>
                <c:pt idx="17">
                  <c:v>0.73062490579659056</c:v>
                </c:pt>
                <c:pt idx="18">
                  <c:v>0.68731440940452193</c:v>
                </c:pt>
                <c:pt idx="19">
                  <c:v>0.64057133180261028</c:v>
                </c:pt>
                <c:pt idx="20">
                  <c:v>0.59573799505490954</c:v>
                </c:pt>
                <c:pt idx="21">
                  <c:v>0.54078420626890666</c:v>
                </c:pt>
                <c:pt idx="22">
                  <c:v>0.53458207946995173</c:v>
                </c:pt>
                <c:pt idx="23">
                  <c:v>0.52664279834755212</c:v>
                </c:pt>
                <c:pt idx="24">
                  <c:v>0.50954189145520212</c:v>
                </c:pt>
                <c:pt idx="25">
                  <c:v>0.50378502705626149</c:v>
                </c:pt>
                <c:pt idx="26">
                  <c:v>0.49773452890923608</c:v>
                </c:pt>
                <c:pt idx="27">
                  <c:v>0.48565787154907947</c:v>
                </c:pt>
                <c:pt idx="28">
                  <c:v>0.47982677177980365</c:v>
                </c:pt>
                <c:pt idx="29">
                  <c:v>0.46923153622030983</c:v>
                </c:pt>
                <c:pt idx="30">
                  <c:v>0.49600310092807481</c:v>
                </c:pt>
                <c:pt idx="31">
                  <c:v>0.45337507613120814</c:v>
                </c:pt>
                <c:pt idx="32">
                  <c:v>0.46540339594046104</c:v>
                </c:pt>
                <c:pt idx="33">
                  <c:v>0.43733813930658233</c:v>
                </c:pt>
                <c:pt idx="34">
                  <c:v>0</c:v>
                </c:pt>
              </c:numCache>
            </c:numRef>
          </c:val>
          <c:smooth val="0"/>
          <c:extLst>
            <c:ext xmlns:c16="http://schemas.microsoft.com/office/drawing/2014/chart" uri="{C3380CC4-5D6E-409C-BE32-E72D297353CC}">
              <c16:uniqueId val="{00000001-5C32-4B4D-8E04-F0F5EAF6F1AE}"/>
            </c:ext>
          </c:extLst>
        </c:ser>
        <c:ser>
          <c:idx val="3"/>
          <c:order val="2"/>
          <c:tx>
            <c:strRef>
              <c:f>'Sector Sublimits'!$A$95</c:f>
              <c:strCache>
                <c:ptCount val="1"/>
                <c:pt idx="0">
                  <c:v>Natural Gas Post-Meter</c:v>
                </c:pt>
              </c:strCache>
            </c:strRef>
          </c:tx>
          <c:val>
            <c:numRef>
              <c:f>'Sector Sublimits'!$B$95:$AJ$95</c:f>
              <c:numCache>
                <c:formatCode>#,##0.0</c:formatCode>
                <c:ptCount val="35"/>
                <c:pt idx="0">
                  <c:v>0.10028273414189426</c:v>
                </c:pt>
                <c:pt idx="1">
                  <c:v>0.10363735001728629</c:v>
                </c:pt>
                <c:pt idx="2">
                  <c:v>0.11247632557743603</c:v>
                </c:pt>
                <c:pt idx="3">
                  <c:v>0.11533027634693506</c:v>
                </c:pt>
                <c:pt idx="4">
                  <c:v>0.12087337113746273</c:v>
                </c:pt>
                <c:pt idx="5">
                  <c:v>0.12972626806828566</c:v>
                </c:pt>
                <c:pt idx="6">
                  <c:v>0.12174424099633757</c:v>
                </c:pt>
                <c:pt idx="7">
                  <c:v>0.1284245855777443</c:v>
                </c:pt>
                <c:pt idx="8">
                  <c:v>0.12519846726315653</c:v>
                </c:pt>
                <c:pt idx="9">
                  <c:v>0.12846620466570755</c:v>
                </c:pt>
                <c:pt idx="10">
                  <c:v>0.12874664168377201</c:v>
                </c:pt>
                <c:pt idx="11">
                  <c:v>0.13400500815960389</c:v>
                </c:pt>
                <c:pt idx="12">
                  <c:v>0.14525681159038553</c:v>
                </c:pt>
                <c:pt idx="13">
                  <c:v>0.14604649522629951</c:v>
                </c:pt>
                <c:pt idx="14">
                  <c:v>0.14229810812674243</c:v>
                </c:pt>
                <c:pt idx="15">
                  <c:v>0.14130216903951076</c:v>
                </c:pt>
                <c:pt idx="16">
                  <c:v>0.14932399099451979</c:v>
                </c:pt>
                <c:pt idx="17">
                  <c:v>0.15450247449399643</c:v>
                </c:pt>
                <c:pt idx="18">
                  <c:v>0.14643074980260037</c:v>
                </c:pt>
                <c:pt idx="19">
                  <c:v>0.14460513754379603</c:v>
                </c:pt>
                <c:pt idx="20">
                  <c:v>0.15718783926651217</c:v>
                </c:pt>
                <c:pt idx="21">
                  <c:v>0.15814119016130063</c:v>
                </c:pt>
                <c:pt idx="22">
                  <c:v>0.15938986567023478</c:v>
                </c:pt>
                <c:pt idx="23">
                  <c:v>0.15232631048823717</c:v>
                </c:pt>
                <c:pt idx="24">
                  <c:v>0.14599002496357111</c:v>
                </c:pt>
                <c:pt idx="25">
                  <c:v>0.15471027522588099</c:v>
                </c:pt>
                <c:pt idx="26">
                  <c:v>0.15677141575052927</c:v>
                </c:pt>
                <c:pt idx="27">
                  <c:v>0.18140013829017992</c:v>
                </c:pt>
                <c:pt idx="28">
                  <c:v>0.17458219018695734</c:v>
                </c:pt>
                <c:pt idx="29">
                  <c:v>0.17171954579969456</c:v>
                </c:pt>
                <c:pt idx="30">
                  <c:v>0.17331978420371233</c:v>
                </c:pt>
                <c:pt idx="31">
                  <c:v>0.17331991137645789</c:v>
                </c:pt>
                <c:pt idx="32">
                  <c:v>0.17581198985222868</c:v>
                </c:pt>
                <c:pt idx="33">
                  <c:v>0.1699778491975471</c:v>
                </c:pt>
                <c:pt idx="34">
                  <c:v>0</c:v>
                </c:pt>
              </c:numCache>
            </c:numRef>
          </c:val>
          <c:smooth val="0"/>
          <c:extLst>
            <c:ext xmlns:c16="http://schemas.microsoft.com/office/drawing/2014/chart" uri="{C3380CC4-5D6E-409C-BE32-E72D297353CC}">
              <c16:uniqueId val="{00000001-BBE6-4A73-A4DA-BD5B7933DA87}"/>
            </c:ext>
          </c:extLst>
        </c:ser>
        <c:ser>
          <c:idx val="2"/>
          <c:order val="3"/>
          <c:tx>
            <c:strRef>
              <c:f>'Sector Sublimits'!$A$96</c:f>
              <c:strCache>
                <c:ptCount val="1"/>
                <c:pt idx="0">
                  <c:v>Natural Gas Transmission and Storage</c:v>
                </c:pt>
              </c:strCache>
            </c:strRef>
          </c:tx>
          <c:marker>
            <c:symbol val="triangle"/>
            <c:size val="5"/>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Sublimits'!$B$96:$AI$96</c:f>
              <c:numCache>
                <c:formatCode>#,##0.0</c:formatCode>
                <c:ptCount val="34"/>
                <c:pt idx="0">
                  <c:v>0.16964798123063266</c:v>
                </c:pt>
                <c:pt idx="1">
                  <c:v>0.17475057552806023</c:v>
                </c:pt>
                <c:pt idx="2">
                  <c:v>0.17475834095072315</c:v>
                </c:pt>
                <c:pt idx="3">
                  <c:v>0.17273840216829248</c:v>
                </c:pt>
                <c:pt idx="4">
                  <c:v>0.17077633526735789</c:v>
                </c:pt>
                <c:pt idx="5">
                  <c:v>0.16870327698259682</c:v>
                </c:pt>
                <c:pt idx="6">
                  <c:v>0.16698747350174553</c:v>
                </c:pt>
                <c:pt idx="7">
                  <c:v>0.16497437962333633</c:v>
                </c:pt>
                <c:pt idx="8">
                  <c:v>0.16304483127547775</c:v>
                </c:pt>
                <c:pt idx="9">
                  <c:v>0.16125578942364072</c:v>
                </c:pt>
                <c:pt idx="10">
                  <c:v>0.16147732367423742</c:v>
                </c:pt>
                <c:pt idx="11">
                  <c:v>0.1600172603961704</c:v>
                </c:pt>
                <c:pt idx="12">
                  <c:v>0.15827047637933872</c:v>
                </c:pt>
                <c:pt idx="13">
                  <c:v>0.15594376905748275</c:v>
                </c:pt>
                <c:pt idx="14">
                  <c:v>0.15467947501733323</c:v>
                </c:pt>
                <c:pt idx="15">
                  <c:v>0.15288319834250139</c:v>
                </c:pt>
                <c:pt idx="16">
                  <c:v>0.15029434069089012</c:v>
                </c:pt>
                <c:pt idx="17">
                  <c:v>0.14897472529429581</c:v>
                </c:pt>
                <c:pt idx="18">
                  <c:v>0.1923904310038258</c:v>
                </c:pt>
                <c:pt idx="19">
                  <c:v>0.19056564071588536</c:v>
                </c:pt>
                <c:pt idx="20">
                  <c:v>0.23359197768798926</c:v>
                </c:pt>
                <c:pt idx="21">
                  <c:v>0.10106251015492639</c:v>
                </c:pt>
                <c:pt idx="22">
                  <c:v>0.10583254315035609</c:v>
                </c:pt>
                <c:pt idx="23">
                  <c:v>0.10590156275947388</c:v>
                </c:pt>
                <c:pt idx="24">
                  <c:v>0.10423701822304517</c:v>
                </c:pt>
                <c:pt idx="25">
                  <c:v>0.13906590788977144</c:v>
                </c:pt>
                <c:pt idx="26">
                  <c:v>0.12265761089878646</c:v>
                </c:pt>
                <c:pt idx="27">
                  <c:v>6.8187077924743517E-2</c:v>
                </c:pt>
                <c:pt idx="28">
                  <c:v>6.612635815030013E-2</c:v>
                </c:pt>
                <c:pt idx="29">
                  <c:v>7.7844868810255041E-2</c:v>
                </c:pt>
                <c:pt idx="30">
                  <c:v>7.2616699909761065E-2</c:v>
                </c:pt>
                <c:pt idx="31">
                  <c:v>8.6801948180921656E-2</c:v>
                </c:pt>
                <c:pt idx="32">
                  <c:v>9.802848313495463E-2</c:v>
                </c:pt>
                <c:pt idx="33">
                  <c:v>9.9047132268368018E-2</c:v>
                </c:pt>
              </c:numCache>
            </c:numRef>
          </c:val>
          <c:smooth val="0"/>
          <c:extLst>
            <c:ext xmlns:c16="http://schemas.microsoft.com/office/drawing/2014/chart" uri="{C3380CC4-5D6E-409C-BE32-E72D297353CC}">
              <c16:uniqueId val="{00000002-5C32-4B4D-8E04-F0F5EAF6F1AE}"/>
            </c:ext>
          </c:extLst>
        </c:ser>
        <c:ser>
          <c:idx val="5"/>
          <c:order val="4"/>
          <c:tx>
            <c:strRef>
              <c:f>'Sector Sublimits'!$A$100</c:f>
              <c:strCache>
                <c:ptCount val="1"/>
                <c:pt idx="0">
                  <c:v>2025 CECP Limit (82% below 1990)</c:v>
                </c:pt>
              </c:strCache>
            </c:strRef>
          </c:tx>
          <c:spPr>
            <a:ln>
              <a:noFill/>
              <a:prstDash val="dash"/>
            </a:ln>
          </c:spPr>
          <c:marker>
            <c:symbol val="diamond"/>
            <c:size val="10"/>
            <c:spPr>
              <a:solidFill>
                <a:srgbClr val="FF00FF"/>
              </a:solidFill>
              <a:ln>
                <a:solidFill>
                  <a:schemeClr val="tx1"/>
                </a:solidFill>
              </a:ln>
            </c:spPr>
          </c:marker>
          <c:dLbls>
            <c:dLbl>
              <c:idx val="3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C32-4B4D-8E04-F0F5EAF6F1AE}"/>
                </c:ext>
              </c:extLst>
            </c:dLbl>
            <c:spPr>
              <a:noFill/>
              <a:ln>
                <a:noFill/>
              </a:ln>
              <a:effectLst/>
            </c:spPr>
            <c:txPr>
              <a:bodyPr wrap="square" lIns="38100" tIns="19050" rIns="38100" bIns="19050" anchor="ctr">
                <a:spAutoFit/>
              </a:bodyPr>
              <a:lstStyle/>
              <a:p>
                <a:pPr>
                  <a:defRPr sz="12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Sublimits'!$B$100:$AK$100</c:f>
              <c:numCache>
                <c:formatCode>#,##0.0</c:formatCode>
                <c:ptCount val="36"/>
                <c:pt idx="35">
                  <c:v>0.4</c:v>
                </c:pt>
              </c:numCache>
            </c:numRef>
          </c:val>
          <c:smooth val="0"/>
          <c:extLst>
            <c:ext xmlns:c16="http://schemas.microsoft.com/office/drawing/2014/chart" uri="{C3380CC4-5D6E-409C-BE32-E72D297353CC}">
              <c16:uniqueId val="{00000004-5C32-4B4D-8E04-F0F5EAF6F1AE}"/>
            </c:ext>
          </c:extLst>
        </c:ser>
        <c:ser>
          <c:idx val="6"/>
          <c:order val="5"/>
          <c:tx>
            <c:strRef>
              <c:f>'Sector Sublimits'!$A$101</c:f>
              <c:strCache>
                <c:ptCount val="1"/>
                <c:pt idx="0">
                  <c:v>2030 CECP Limit (82% below 1990)</c:v>
                </c:pt>
              </c:strCache>
            </c:strRef>
          </c:tx>
          <c:spPr>
            <a:ln>
              <a:noFill/>
              <a:prstDash val="dash"/>
            </a:ln>
          </c:spPr>
          <c:marker>
            <c:symbol val="diamond"/>
            <c:size val="10"/>
            <c:spPr>
              <a:solidFill>
                <a:srgbClr val="FF00FF"/>
              </a:solidFill>
              <a:ln>
                <a:solidFill>
                  <a:schemeClr val="tx1"/>
                </a:solidFill>
              </a:ln>
            </c:spPr>
          </c:marker>
          <c:dPt>
            <c:idx val="35"/>
            <c:bubble3D val="0"/>
            <c:extLst>
              <c:ext xmlns:c16="http://schemas.microsoft.com/office/drawing/2014/chart" uri="{C3380CC4-5D6E-409C-BE32-E72D297353CC}">
                <c16:uniqueId val="{00000005-5C32-4B4D-8E04-F0F5EAF6F1AE}"/>
              </c:ext>
            </c:extLst>
          </c:dPt>
          <c:dLbls>
            <c:dLbl>
              <c:idx val="3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32-4B4D-8E04-F0F5EAF6F1AE}"/>
                </c:ext>
              </c:extLst>
            </c:dLbl>
            <c:dLbl>
              <c:idx val="4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C32-4B4D-8E04-F0F5EAF6F1AE}"/>
                </c:ext>
              </c:extLst>
            </c:dLbl>
            <c:spPr>
              <a:noFill/>
              <a:ln>
                <a:noFill/>
              </a:ln>
              <a:effectLst/>
            </c:spPr>
            <c:txPr>
              <a:bodyPr wrap="square" lIns="38100" tIns="19050" rIns="38100" bIns="19050" anchor="ctr">
                <a:spAutoFit/>
              </a:bodyPr>
              <a:lstStyle/>
              <a:p>
                <a:pPr>
                  <a:defRPr sz="1200">
                    <a:latin typeface="Aptos" panose="020B00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Sublimits'!$B$101:$AP$101</c:f>
              <c:numCache>
                <c:formatCode>#,##0.0</c:formatCode>
                <c:ptCount val="41"/>
                <c:pt idx="40">
                  <c:v>0.4</c:v>
                </c:pt>
              </c:numCache>
            </c:numRef>
          </c:val>
          <c:smooth val="0"/>
          <c:extLst>
            <c:ext xmlns:c16="http://schemas.microsoft.com/office/drawing/2014/chart" uri="{C3380CC4-5D6E-409C-BE32-E72D297353CC}">
              <c16:uniqueId val="{00000007-5C32-4B4D-8E04-F0F5EAF6F1AE}"/>
            </c:ext>
          </c:extLst>
        </c:ser>
        <c:dLbls>
          <c:showLegendKey val="0"/>
          <c:showVal val="0"/>
          <c:showCatName val="0"/>
          <c:showSerName val="0"/>
          <c:showPercent val="0"/>
          <c:showBubbleSize val="0"/>
        </c:dLbls>
        <c:marker val="1"/>
        <c:smooth val="0"/>
        <c:axId val="49015424"/>
        <c:axId val="51003776"/>
      </c:lineChart>
      <c:catAx>
        <c:axId val="49015424"/>
        <c:scaling>
          <c:orientation val="minMax"/>
        </c:scaling>
        <c:delete val="0"/>
        <c:axPos val="b"/>
        <c:numFmt formatCode="General" sourceLinked="1"/>
        <c:majorTickMark val="out"/>
        <c:minorTickMark val="none"/>
        <c:tickLblPos val="nextTo"/>
        <c:txPr>
          <a:bodyPr rot="-5400000" vert="horz"/>
          <a:lstStyle/>
          <a:p>
            <a:pPr>
              <a:defRPr sz="1200"/>
            </a:pPr>
            <a:endParaRPr lang="en-US"/>
          </a:p>
        </c:txPr>
        <c:crossAx val="51003776"/>
        <c:crosses val="autoZero"/>
        <c:auto val="1"/>
        <c:lblAlgn val="ctr"/>
        <c:lblOffset val="100"/>
        <c:noMultiLvlLbl val="0"/>
      </c:catAx>
      <c:valAx>
        <c:axId val="51003776"/>
        <c:scaling>
          <c:orientation val="minMax"/>
          <c:max val="2"/>
        </c:scaling>
        <c:delete val="0"/>
        <c:axPos val="l"/>
        <c:majorGridlines/>
        <c:numFmt formatCode="#,##0.0" sourceLinked="0"/>
        <c:majorTickMark val="out"/>
        <c:minorTickMark val="none"/>
        <c:tickLblPos val="nextTo"/>
        <c:txPr>
          <a:bodyPr rot="0" vert="horz"/>
          <a:lstStyle/>
          <a:p>
            <a:pPr>
              <a:defRPr sz="1200"/>
            </a:pPr>
            <a:endParaRPr lang="en-US"/>
          </a:p>
        </c:txPr>
        <c:crossAx val="49015424"/>
        <c:crosses val="autoZero"/>
        <c:crossBetween val="midCat"/>
      </c:valAx>
      <c:spPr>
        <a:noFill/>
        <a:ln w="25400">
          <a:noFill/>
        </a:ln>
      </c:spPr>
    </c:plotArea>
    <c:legend>
      <c:legendPos val="r"/>
      <c:layout>
        <c:manualLayout>
          <c:xMode val="edge"/>
          <c:yMode val="edge"/>
          <c:x val="0.66469881941384446"/>
          <c:y val="0.10880803692641867"/>
          <c:w val="0.31904511436203487"/>
          <c:h val="0.71521386844326429"/>
        </c:manualLayout>
      </c:layout>
      <c:overlay val="0"/>
      <c:txPr>
        <a:bodyPr/>
        <a:lstStyle/>
        <a:p>
          <a:pPr>
            <a:defRPr sz="1200"/>
          </a:pPr>
          <a:endParaRPr lang="en-US"/>
        </a:p>
      </c:txPr>
    </c:legend>
    <c:plotVisOnly val="1"/>
    <c:dispBlanksAs val="gap"/>
    <c:showDLblsOverMax val="0"/>
  </c:chart>
  <c:txPr>
    <a:bodyPr/>
    <a:lstStyle/>
    <a:p>
      <a:pPr>
        <a:defRPr sz="1000" b="0" i="0" u="none" strike="noStrike" baseline="0">
          <a:solidFill>
            <a:srgbClr val="000000"/>
          </a:solidFill>
          <a:latin typeface="Aptos" panose="020B0004020202020204" pitchFamily="34" charset="0"/>
          <a:ea typeface="Calibri"/>
          <a:cs typeface="Calibri"/>
        </a:defRPr>
      </a:pPr>
      <a:endParaRPr lang="en-US"/>
    </a:p>
  </c:txPr>
  <c:printSettings>
    <c:headerFooter>
      <c:oddFooter>&amp;R3/3/2017</c:oddFooter>
    </c:headerFooter>
    <c:pageMargins b="0.75" l="0.7" r="0.7" t="0.75" header="0.3" footer="0.3"/>
    <c:pageSetup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ptos" panose="020B0004020202020204" pitchFamily="34" charset="0"/>
                <a:ea typeface="+mn-ea"/>
                <a:cs typeface="+mn-cs"/>
              </a:defRPr>
            </a:pPr>
            <a:r>
              <a:rPr lang="en-US" sz="1800" b="1" i="0" baseline="0">
                <a:effectLst/>
                <a:latin typeface="Aptos" panose="020B0004020202020204" pitchFamily="34" charset="0"/>
              </a:rPr>
              <a:t>MA industrial processes MMTCO2E</a:t>
            </a:r>
            <a:endParaRPr lang="en-US">
              <a:effectLst/>
              <a:latin typeface="Aptos" panose="020B0004020202020204" pitchFamily="34" charset="0"/>
            </a:endParaRPr>
          </a:p>
        </c:rich>
      </c:tx>
      <c:layout>
        <c:manualLayout>
          <c:xMode val="edge"/>
          <c:yMode val="edge"/>
          <c:x val="6.5682109503753874E-2"/>
          <c:y val="1.388888888888888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4.1889601426876394E-2"/>
          <c:y val="0.17171296296296296"/>
          <c:w val="0.49600640168707705"/>
          <c:h val="0.68729986876640425"/>
        </c:manualLayout>
      </c:layout>
      <c:lineChart>
        <c:grouping val="standard"/>
        <c:varyColors val="0"/>
        <c:ser>
          <c:idx val="1"/>
          <c:order val="0"/>
          <c:tx>
            <c:strRef>
              <c:f>'Sector Sublimits'!$A$115</c:f>
              <c:strCache>
                <c:ptCount val="1"/>
                <c:pt idx="0">
                  <c:v>Industrial Processes</c:v>
                </c:pt>
              </c:strCache>
            </c:strRef>
          </c:tx>
          <c:spPr>
            <a:ln w="28575" cap="rnd">
              <a:solidFill>
                <a:srgbClr val="FF00FF"/>
              </a:solidFill>
              <a:round/>
            </a:ln>
            <a:effectLst/>
          </c:spPr>
          <c:marker>
            <c:symbol val="diamond"/>
            <c:size val="8"/>
            <c:spPr>
              <a:solidFill>
                <a:srgbClr val="FF99FF"/>
              </a:solidFill>
              <a:ln w="9525">
                <a:solidFill>
                  <a:srgbClr val="FF99FF"/>
                </a:solidFill>
              </a:ln>
              <a:effectLst/>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Sublimits'!$B$115:$AI$115</c:f>
              <c:numCache>
                <c:formatCode>#,##0.0</c:formatCode>
                <c:ptCount val="34"/>
                <c:pt idx="0">
                  <c:v>0.65625199051509786</c:v>
                </c:pt>
                <c:pt idx="1">
                  <c:v>0.71515416896556006</c:v>
                </c:pt>
                <c:pt idx="2">
                  <c:v>0.73849101987423305</c:v>
                </c:pt>
                <c:pt idx="3">
                  <c:v>0.84634390373530799</c:v>
                </c:pt>
                <c:pt idx="4">
                  <c:v>0.99268777160783084</c:v>
                </c:pt>
                <c:pt idx="5">
                  <c:v>1.2942356697070025</c:v>
                </c:pt>
                <c:pt idx="6">
                  <c:v>1.5173940091650766</c:v>
                </c:pt>
                <c:pt idx="7">
                  <c:v>1.7296705098776286</c:v>
                </c:pt>
                <c:pt idx="8">
                  <c:v>2.0517836695231537</c:v>
                </c:pt>
                <c:pt idx="9">
                  <c:v>2.1722864635428154</c:v>
                </c:pt>
                <c:pt idx="10">
                  <c:v>2.2344480754691962</c:v>
                </c:pt>
                <c:pt idx="11">
                  <c:v>2.2873664104114422</c:v>
                </c:pt>
                <c:pt idx="12">
                  <c:v>2.3543108214792743</c:v>
                </c:pt>
                <c:pt idx="13">
                  <c:v>2.4553345934789768</c:v>
                </c:pt>
                <c:pt idx="14">
                  <c:v>2.3943985038673308</c:v>
                </c:pt>
                <c:pt idx="15">
                  <c:v>2.491187372700066</c:v>
                </c:pt>
                <c:pt idx="16">
                  <c:v>2.6398819487247986</c:v>
                </c:pt>
                <c:pt idx="17">
                  <c:v>2.7783370634740137</c:v>
                </c:pt>
                <c:pt idx="18">
                  <c:v>2.927455558375383</c:v>
                </c:pt>
                <c:pt idx="19">
                  <c:v>3.375736296088339</c:v>
                </c:pt>
                <c:pt idx="20">
                  <c:v>2.8556574039997655</c:v>
                </c:pt>
                <c:pt idx="21">
                  <c:v>2.8359689544329019</c:v>
                </c:pt>
                <c:pt idx="22">
                  <c:v>3.1262089958054671</c:v>
                </c:pt>
                <c:pt idx="23">
                  <c:v>3.8058037367623898</c:v>
                </c:pt>
                <c:pt idx="24">
                  <c:v>4.2054910787649353</c:v>
                </c:pt>
                <c:pt idx="25">
                  <c:v>3.7540424332673563</c:v>
                </c:pt>
                <c:pt idx="26">
                  <c:v>3.8048005415260682</c:v>
                </c:pt>
                <c:pt idx="27">
                  <c:v>3.3089432868880282</c:v>
                </c:pt>
                <c:pt idx="28">
                  <c:v>3.8135695724326135</c:v>
                </c:pt>
                <c:pt idx="29">
                  <c:v>3.6460572396013302</c:v>
                </c:pt>
                <c:pt idx="30">
                  <c:v>4.0321955751119818</c:v>
                </c:pt>
                <c:pt idx="31">
                  <c:v>3.9978101361882903</c:v>
                </c:pt>
                <c:pt idx="32">
                  <c:v>3.4348267758324091</c:v>
                </c:pt>
                <c:pt idx="33">
                  <c:v>3.5821232543038848</c:v>
                </c:pt>
              </c:numCache>
            </c:numRef>
          </c:val>
          <c:smooth val="0"/>
          <c:extLst>
            <c:ext xmlns:c16="http://schemas.microsoft.com/office/drawing/2014/chart" uri="{C3380CC4-5D6E-409C-BE32-E72D297353CC}">
              <c16:uniqueId val="{00000000-8B71-4EC2-A37B-886A34D28397}"/>
            </c:ext>
          </c:extLst>
        </c:ser>
        <c:ser>
          <c:idx val="14"/>
          <c:order val="1"/>
          <c:tx>
            <c:strRef>
              <c:f>'Sector Sublimits'!$A$111</c:f>
              <c:strCache>
                <c:ptCount val="1"/>
                <c:pt idx="0">
                  <c:v>ODS Substitutes</c:v>
                </c:pt>
              </c:strCache>
            </c:strRef>
          </c:tx>
          <c:spPr>
            <a:ln w="28575" cap="rnd">
              <a:solidFill>
                <a:schemeClr val="accent3">
                  <a:lumMod val="80000"/>
                  <a:lumOff val="20000"/>
                </a:schemeClr>
              </a:solidFill>
              <a:round/>
            </a:ln>
            <a:effectLst/>
          </c:spPr>
          <c:marker>
            <c:symbol val="square"/>
            <c:size val="5"/>
            <c:spPr>
              <a:solidFill>
                <a:schemeClr val="accent3">
                  <a:lumMod val="80000"/>
                  <a:lumOff val="20000"/>
                </a:schemeClr>
              </a:solidFill>
              <a:ln w="9525">
                <a:solidFill>
                  <a:schemeClr val="accent3">
                    <a:lumMod val="80000"/>
                    <a:lumOff val="20000"/>
                  </a:schemeClr>
                </a:solidFill>
              </a:ln>
              <a:effectLst/>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Sublimits'!$B$111:$AI$111</c:f>
              <c:numCache>
                <c:formatCode>#,##0.0</c:formatCode>
                <c:ptCount val="34"/>
                <c:pt idx="0">
                  <c:v>5.4099844792000005E-3</c:v>
                </c:pt>
                <c:pt idx="1">
                  <c:v>1.2456725928918428E-2</c:v>
                </c:pt>
                <c:pt idx="2">
                  <c:v>3.0509953018260268E-2</c:v>
                </c:pt>
                <c:pt idx="3">
                  <c:v>9.5349548969635795E-2</c:v>
                </c:pt>
                <c:pt idx="4">
                  <c:v>0.22864032793701461</c:v>
                </c:pt>
                <c:pt idx="5">
                  <c:v>0.50324444906125565</c:v>
                </c:pt>
                <c:pt idx="6">
                  <c:v>0.71329043101121559</c:v>
                </c:pt>
                <c:pt idx="7">
                  <c:v>0.90981376063792474</c:v>
                </c:pt>
                <c:pt idx="8">
                  <c:v>1.0514312798421779</c:v>
                </c:pt>
                <c:pt idx="9">
                  <c:v>1.1950754627345945</c:v>
                </c:pt>
                <c:pt idx="10">
                  <c:v>1.3146361249262182</c:v>
                </c:pt>
                <c:pt idx="11">
                  <c:v>1.4303274014756053</c:v>
                </c:pt>
                <c:pt idx="12">
                  <c:v>1.5153649915778933</c:v>
                </c:pt>
                <c:pt idx="13">
                  <c:v>1.5917099985965057</c:v>
                </c:pt>
                <c:pt idx="14">
                  <c:v>1.6509303100036388</c:v>
                </c:pt>
                <c:pt idx="15">
                  <c:v>1.7231731184963863</c:v>
                </c:pt>
                <c:pt idx="16">
                  <c:v>1.8308076928199013</c:v>
                </c:pt>
                <c:pt idx="17">
                  <c:v>1.9570017674197022</c:v>
                </c:pt>
                <c:pt idx="18">
                  <c:v>2.1094862459690829</c:v>
                </c:pt>
                <c:pt idx="19">
                  <c:v>2.6590095271709338</c:v>
                </c:pt>
                <c:pt idx="20">
                  <c:v>2.2597988369627764</c:v>
                </c:pt>
                <c:pt idx="21">
                  <c:v>2.2708428574691961</c:v>
                </c:pt>
                <c:pt idx="22">
                  <c:v>2.6031911555602658</c:v>
                </c:pt>
                <c:pt idx="23">
                  <c:v>3.2742537401804706</c:v>
                </c:pt>
                <c:pt idx="24">
                  <c:v>3.6942114882698167</c:v>
                </c:pt>
                <c:pt idx="25">
                  <c:v>3.2104104472265025</c:v>
                </c:pt>
                <c:pt idx="26">
                  <c:v>3.2756330705315864</c:v>
                </c:pt>
                <c:pt idx="27">
                  <c:v>2.7811078029878629</c:v>
                </c:pt>
                <c:pt idx="28">
                  <c:v>3.264582590080308</c:v>
                </c:pt>
                <c:pt idx="29">
                  <c:v>3.1527951508113641</c:v>
                </c:pt>
                <c:pt idx="30">
                  <c:v>3.553206468307883</c:v>
                </c:pt>
                <c:pt idx="31">
                  <c:v>3.4826192950711334</c:v>
                </c:pt>
                <c:pt idx="32">
                  <c:v>2.9370750188921164</c:v>
                </c:pt>
                <c:pt idx="33">
                  <c:v>3.164009787859476</c:v>
                </c:pt>
              </c:numCache>
            </c:numRef>
          </c:val>
          <c:smooth val="0"/>
          <c:extLst>
            <c:ext xmlns:c16="http://schemas.microsoft.com/office/drawing/2014/chart" uri="{C3380CC4-5D6E-409C-BE32-E72D297353CC}">
              <c16:uniqueId val="{00000001-8B71-4EC2-A37B-886A34D28397}"/>
            </c:ext>
          </c:extLst>
        </c:ser>
        <c:ser>
          <c:idx val="0"/>
          <c:order val="2"/>
          <c:tx>
            <c:strRef>
              <c:f>'Sector Sublimits'!$A$108</c:f>
              <c:strCache>
                <c:ptCount val="1"/>
                <c:pt idx="0">
                  <c:v>Lime, Dolomite, Soda Ash, Urea, Carbide, Glass, other uses of carbonates and carbon dioxide (CO2)</c:v>
                </c:pt>
              </c:strCache>
            </c:strRef>
          </c:tx>
          <c:spPr>
            <a:ln w="28575" cap="rnd">
              <a:solidFill>
                <a:schemeClr val="accent1"/>
              </a:solidFill>
              <a:round/>
            </a:ln>
            <a:effectLst/>
          </c:spPr>
          <c:marker>
            <c:symbol val="star"/>
            <c:size val="6"/>
            <c:spPr>
              <a:noFill/>
              <a:ln w="9525">
                <a:solidFill>
                  <a:schemeClr val="accent1"/>
                </a:solidFill>
              </a:ln>
              <a:effectLst/>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Sublimits'!$B$108:$AI$108</c:f>
              <c:numCache>
                <c:formatCode>#,##0.0</c:formatCode>
                <c:ptCount val="34"/>
                <c:pt idx="0">
                  <c:v>0.17486870435586824</c:v>
                </c:pt>
                <c:pt idx="1">
                  <c:v>0.3878304234603735</c:v>
                </c:pt>
                <c:pt idx="2">
                  <c:v>0.40023247605520762</c:v>
                </c:pt>
                <c:pt idx="3">
                  <c:v>0.42023687605212945</c:v>
                </c:pt>
                <c:pt idx="4">
                  <c:v>0.4334889497962397</c:v>
                </c:pt>
                <c:pt idx="5">
                  <c:v>0.44746344781835184</c:v>
                </c:pt>
                <c:pt idx="6">
                  <c:v>0.45802929926775171</c:v>
                </c:pt>
                <c:pt idx="7">
                  <c:v>0.46976739201575396</c:v>
                </c:pt>
                <c:pt idx="8">
                  <c:v>0.63538096874096284</c:v>
                </c:pt>
                <c:pt idx="9">
                  <c:v>0.6092394751695932</c:v>
                </c:pt>
                <c:pt idx="10">
                  <c:v>0.58249075085347612</c:v>
                </c:pt>
                <c:pt idx="11">
                  <c:v>0.56396567361901784</c:v>
                </c:pt>
                <c:pt idx="12">
                  <c:v>0.55865880789417932</c:v>
                </c:pt>
                <c:pt idx="13">
                  <c:v>0.58970609253057016</c:v>
                </c:pt>
                <c:pt idx="14">
                  <c:v>0.47735351808103949</c:v>
                </c:pt>
                <c:pt idx="15">
                  <c:v>0.46962030387739312</c:v>
                </c:pt>
                <c:pt idx="16">
                  <c:v>0.50740598296630346</c:v>
                </c:pt>
                <c:pt idx="17">
                  <c:v>0.53083734118677972</c:v>
                </c:pt>
                <c:pt idx="18">
                  <c:v>0.49442586019728985</c:v>
                </c:pt>
                <c:pt idx="19">
                  <c:v>0.44421175763995507</c:v>
                </c:pt>
                <c:pt idx="20">
                  <c:v>0.33821302954767513</c:v>
                </c:pt>
                <c:pt idx="21">
                  <c:v>0.29017066105155959</c:v>
                </c:pt>
                <c:pt idx="22">
                  <c:v>0.26524846563584481</c:v>
                </c:pt>
                <c:pt idx="23">
                  <c:v>0.28619765710258016</c:v>
                </c:pt>
                <c:pt idx="24">
                  <c:v>0.26883302058368164</c:v>
                </c:pt>
                <c:pt idx="25">
                  <c:v>0.31256086558279017</c:v>
                </c:pt>
                <c:pt idx="26">
                  <c:v>0.29477802562555011</c:v>
                </c:pt>
                <c:pt idx="27">
                  <c:v>0.30546786913245677</c:v>
                </c:pt>
                <c:pt idx="28">
                  <c:v>0.32145180707168591</c:v>
                </c:pt>
                <c:pt idx="29">
                  <c:v>0.28466873577995927</c:v>
                </c:pt>
                <c:pt idx="30">
                  <c:v>0.29307563163437833</c:v>
                </c:pt>
                <c:pt idx="31">
                  <c:v>0.30171295462001463</c:v>
                </c:pt>
                <c:pt idx="32">
                  <c:v>0.29028017707405729</c:v>
                </c:pt>
                <c:pt idx="33">
                  <c:v>0.23556022439996074</c:v>
                </c:pt>
              </c:numCache>
            </c:numRef>
          </c:val>
          <c:smooth val="0"/>
          <c:extLst>
            <c:ext xmlns:c16="http://schemas.microsoft.com/office/drawing/2014/chart" uri="{C3380CC4-5D6E-409C-BE32-E72D297353CC}">
              <c16:uniqueId val="{00000003-8B71-4EC2-A37B-886A34D28397}"/>
            </c:ext>
          </c:extLst>
        </c:ser>
        <c:ser>
          <c:idx val="15"/>
          <c:order val="3"/>
          <c:tx>
            <c:strRef>
              <c:f>'Sector Sublimits'!$A$112</c:f>
              <c:strCache>
                <c:ptCount val="1"/>
                <c:pt idx="0">
                  <c:v>Semiconductor Manufacturing</c:v>
                </c:pt>
              </c:strCache>
            </c:strRef>
          </c:tx>
          <c:spPr>
            <a:ln w="28575" cap="rnd">
              <a:solidFill>
                <a:schemeClr val="accent4">
                  <a:lumMod val="80000"/>
                  <a:lumOff val="20000"/>
                </a:schemeClr>
              </a:solidFill>
              <a:round/>
            </a:ln>
            <a:effectLst/>
          </c:spPr>
          <c:marker>
            <c:symbol val="square"/>
            <c:size val="5"/>
            <c:spPr>
              <a:solidFill>
                <a:schemeClr val="accent4">
                  <a:lumMod val="80000"/>
                  <a:lumOff val="20000"/>
                </a:schemeClr>
              </a:solidFill>
              <a:ln w="9525">
                <a:solidFill>
                  <a:schemeClr val="accent4">
                    <a:lumMod val="80000"/>
                    <a:lumOff val="20000"/>
                  </a:schemeClr>
                </a:solidFill>
              </a:ln>
              <a:effectLst/>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Sublimits'!$B$112:$AI$112</c:f>
              <c:numCache>
                <c:formatCode>#,##0.0</c:formatCode>
                <c:ptCount val="34"/>
                <c:pt idx="0">
                  <c:v>8.8073545482425117E-2</c:v>
                </c:pt>
                <c:pt idx="1">
                  <c:v>6.8687375672581139E-2</c:v>
                </c:pt>
                <c:pt idx="2">
                  <c:v>6.8687375672581139E-2</c:v>
                </c:pt>
                <c:pt idx="3">
                  <c:v>8.5859219590726413E-2</c:v>
                </c:pt>
                <c:pt idx="4">
                  <c:v>9.4445141549799036E-2</c:v>
                </c:pt>
                <c:pt idx="5">
                  <c:v>0.11868550870854423</c:v>
                </c:pt>
                <c:pt idx="6">
                  <c:v>0.1317958492288781</c:v>
                </c:pt>
                <c:pt idx="7">
                  <c:v>0.13928186075055354</c:v>
                </c:pt>
                <c:pt idx="8">
                  <c:v>0.17078407838269841</c:v>
                </c:pt>
                <c:pt idx="9">
                  <c:v>0.17330476234678943</c:v>
                </c:pt>
                <c:pt idx="10">
                  <c:v>0.14608970036657434</c:v>
                </c:pt>
                <c:pt idx="11">
                  <c:v>0.10380302786908729</c:v>
                </c:pt>
                <c:pt idx="12">
                  <c:v>0.10678466505575596</c:v>
                </c:pt>
                <c:pt idx="13">
                  <c:v>0.10237203470196257</c:v>
                </c:pt>
                <c:pt idx="14">
                  <c:v>9.6836086763931101E-2</c:v>
                </c:pt>
                <c:pt idx="15">
                  <c:v>9.1604045373279305E-2</c:v>
                </c:pt>
                <c:pt idx="16">
                  <c:v>0.10006023805140754</c:v>
                </c:pt>
                <c:pt idx="17">
                  <c:v>9.1343210095773758E-2</c:v>
                </c:pt>
                <c:pt idx="18">
                  <c:v>8.4723448373459909E-2</c:v>
                </c:pt>
                <c:pt idx="19">
                  <c:v>6.0982813009592615E-2</c:v>
                </c:pt>
                <c:pt idx="20">
                  <c:v>7.9237951781557361E-2</c:v>
                </c:pt>
                <c:pt idx="21">
                  <c:v>0.10732824258206997</c:v>
                </c:pt>
                <c:pt idx="22">
                  <c:v>9.9448690769326428E-2</c:v>
                </c:pt>
                <c:pt idx="23">
                  <c:v>8.4397571332260182E-2</c:v>
                </c:pt>
                <c:pt idx="24">
                  <c:v>8.2231850991114103E-2</c:v>
                </c:pt>
                <c:pt idx="25">
                  <c:v>7.5731365477471418E-2</c:v>
                </c:pt>
                <c:pt idx="26">
                  <c:v>7.4323330776261534E-2</c:v>
                </c:pt>
                <c:pt idx="27">
                  <c:v>7.8446746126000721E-2</c:v>
                </c:pt>
                <c:pt idx="28">
                  <c:v>7.2250736409737587E-2</c:v>
                </c:pt>
                <c:pt idx="29">
                  <c:v>6.1995193872062003E-2</c:v>
                </c:pt>
                <c:pt idx="30">
                  <c:v>4.2663984536608975E-2</c:v>
                </c:pt>
                <c:pt idx="31">
                  <c:v>5.4598892611646431E-2</c:v>
                </c:pt>
                <c:pt idx="32">
                  <c:v>5.6432113461140458E-2</c:v>
                </c:pt>
                <c:pt idx="33">
                  <c:v>4.3496332942007221E-2</c:v>
                </c:pt>
              </c:numCache>
            </c:numRef>
          </c:val>
          <c:smooth val="0"/>
          <c:extLst>
            <c:ext xmlns:c16="http://schemas.microsoft.com/office/drawing/2014/chart" uri="{C3380CC4-5D6E-409C-BE32-E72D297353CC}">
              <c16:uniqueId val="{00000002-8B71-4EC2-A37B-886A34D28397}"/>
            </c:ext>
          </c:extLst>
        </c:ser>
        <c:ser>
          <c:idx val="17"/>
          <c:order val="4"/>
          <c:tx>
            <c:strRef>
              <c:f>'Sector Sublimits'!$A$113</c:f>
              <c:strCache>
                <c:ptCount val="1"/>
                <c:pt idx="0">
                  <c:v>Electric Power Transmission and Distribution Systems</c:v>
                </c:pt>
              </c:strCache>
            </c:strRef>
          </c:tx>
          <c:spPr>
            <a:ln w="28575" cap="rnd">
              <a:solidFill>
                <a:schemeClr val="accent6">
                  <a:lumMod val="80000"/>
                  <a:lumOff val="20000"/>
                </a:schemeClr>
              </a:solidFill>
              <a:prstDash val="sysDash"/>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Sublimits'!$B$113:$AI$113</c:f>
              <c:numCache>
                <c:formatCode>#,##0.0</c:formatCode>
                <c:ptCount val="34"/>
                <c:pt idx="0">
                  <c:v>0.38789975619760453</c:v>
                </c:pt>
                <c:pt idx="1">
                  <c:v>0.15040000000000001</c:v>
                </c:pt>
                <c:pt idx="2">
                  <c:v>0.14899000000000001</c:v>
                </c:pt>
                <c:pt idx="3">
                  <c:v>0.14429</c:v>
                </c:pt>
                <c:pt idx="4">
                  <c:v>0.13583000000000001</c:v>
                </c:pt>
                <c:pt idx="5">
                  <c:v>0.12454999999999999</c:v>
                </c:pt>
                <c:pt idx="6">
                  <c:v>0.11421000000000001</c:v>
                </c:pt>
                <c:pt idx="7">
                  <c:v>0.105045</c:v>
                </c:pt>
                <c:pt idx="8">
                  <c:v>8.8830000000000006E-2</c:v>
                </c:pt>
                <c:pt idx="9">
                  <c:v>8.9300000000000004E-2</c:v>
                </c:pt>
                <c:pt idx="10">
                  <c:v>8.5775000000000004E-2</c:v>
                </c:pt>
                <c:pt idx="11">
                  <c:v>8.4599999999999995E-2</c:v>
                </c:pt>
                <c:pt idx="12">
                  <c:v>7.8490000000000004E-2</c:v>
                </c:pt>
                <c:pt idx="13">
                  <c:v>7.6609999999999998E-2</c:v>
                </c:pt>
                <c:pt idx="14">
                  <c:v>7.4730000000000005E-2</c:v>
                </c:pt>
                <c:pt idx="15">
                  <c:v>7.1910000000000002E-2</c:v>
                </c:pt>
                <c:pt idx="16">
                  <c:v>6.6269999999999996E-2</c:v>
                </c:pt>
                <c:pt idx="17">
                  <c:v>6.2509999999999996E-2</c:v>
                </c:pt>
                <c:pt idx="18">
                  <c:v>5.9924999999999999E-2</c:v>
                </c:pt>
                <c:pt idx="19">
                  <c:v>5.5225000000000003E-2</c:v>
                </c:pt>
                <c:pt idx="20">
                  <c:v>4.6530000000000002E-2</c:v>
                </c:pt>
                <c:pt idx="21">
                  <c:v>4.4179999999999997E-2</c:v>
                </c:pt>
                <c:pt idx="22">
                  <c:v>3.8539999999999998E-2</c:v>
                </c:pt>
                <c:pt idx="23">
                  <c:v>3.5720000000000002E-2</c:v>
                </c:pt>
                <c:pt idx="24">
                  <c:v>3.619E-2</c:v>
                </c:pt>
                <c:pt idx="25">
                  <c:v>3.243E-2</c:v>
                </c:pt>
                <c:pt idx="26">
                  <c:v>3.1725000000000003E-2</c:v>
                </c:pt>
                <c:pt idx="27">
                  <c:v>3.1725000000000003E-2</c:v>
                </c:pt>
                <c:pt idx="28">
                  <c:v>3.243E-2</c:v>
                </c:pt>
                <c:pt idx="29">
                  <c:v>3.4544999999999999E-2</c:v>
                </c:pt>
                <c:pt idx="30">
                  <c:v>3.3605000000000003E-2</c:v>
                </c:pt>
                <c:pt idx="31">
                  <c:v>3.5485000000000003E-2</c:v>
                </c:pt>
                <c:pt idx="32">
                  <c:v>3.4075000000000001E-2</c:v>
                </c:pt>
                <c:pt idx="33">
                  <c:v>3.3840000000000002E-2</c:v>
                </c:pt>
              </c:numCache>
            </c:numRef>
          </c:val>
          <c:smooth val="0"/>
          <c:extLst>
            <c:ext xmlns:c16="http://schemas.microsoft.com/office/drawing/2014/chart" uri="{C3380CC4-5D6E-409C-BE32-E72D297353CC}">
              <c16:uniqueId val="{00000004-8B71-4EC2-A37B-886A34D28397}"/>
            </c:ext>
          </c:extLst>
        </c:ser>
        <c:ser>
          <c:idx val="2"/>
          <c:order val="5"/>
          <c:tx>
            <c:strRef>
              <c:f>'Sector Sublimits'!$A$118</c:f>
              <c:strCache>
                <c:ptCount val="1"/>
                <c:pt idx="0">
                  <c:v>2025 CECP Limit (449% above 1990)</c:v>
                </c:pt>
              </c:strCache>
            </c:strRef>
          </c:tx>
          <c:spPr>
            <a:ln w="28575" cap="rnd">
              <a:noFill/>
              <a:prstDash val="dash"/>
              <a:round/>
            </a:ln>
            <a:effectLst/>
          </c:spPr>
          <c:marker>
            <c:symbol val="diamond"/>
            <c:size val="10"/>
            <c:spPr>
              <a:solidFill>
                <a:srgbClr val="FF00FF"/>
              </a:solidFill>
              <a:ln w="9525">
                <a:solidFill>
                  <a:schemeClr val="tx1"/>
                </a:solidFill>
              </a:ln>
              <a:effectLst/>
            </c:spPr>
          </c:marker>
          <c:dLbls>
            <c:dLbl>
              <c:idx val="3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71-4EC2-A37B-886A34D28397}"/>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Aptos" panose="020B0004020202020204" pitchFamily="34"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Sublimits'!$B$118:$AK$118</c:f>
              <c:numCache>
                <c:formatCode>#,##0.0</c:formatCode>
                <c:ptCount val="36"/>
                <c:pt idx="35">
                  <c:v>3.6</c:v>
                </c:pt>
              </c:numCache>
            </c:numRef>
          </c:val>
          <c:smooth val="0"/>
          <c:extLst>
            <c:ext xmlns:c16="http://schemas.microsoft.com/office/drawing/2014/chart" uri="{C3380CC4-5D6E-409C-BE32-E72D297353CC}">
              <c16:uniqueId val="{00000006-8B71-4EC2-A37B-886A34D28397}"/>
            </c:ext>
          </c:extLst>
        </c:ser>
        <c:ser>
          <c:idx val="3"/>
          <c:order val="6"/>
          <c:tx>
            <c:strRef>
              <c:f>'Sector Sublimits'!$A$119</c:f>
              <c:strCache>
                <c:ptCount val="1"/>
                <c:pt idx="0">
                  <c:v>2030 CECP Limit (281% above 1990)</c:v>
                </c:pt>
              </c:strCache>
            </c:strRef>
          </c:tx>
          <c:spPr>
            <a:ln w="28575" cap="rnd">
              <a:noFill/>
              <a:prstDash val="dash"/>
              <a:round/>
            </a:ln>
            <a:effectLst/>
          </c:spPr>
          <c:marker>
            <c:symbol val="diamond"/>
            <c:size val="10"/>
            <c:spPr>
              <a:solidFill>
                <a:srgbClr val="FF00FF"/>
              </a:solidFill>
              <a:ln w="9525">
                <a:solidFill>
                  <a:schemeClr val="tx1"/>
                </a:solidFill>
              </a:ln>
              <a:effectLst/>
            </c:spPr>
          </c:marker>
          <c:dPt>
            <c:idx val="35"/>
            <c:marker>
              <c:symbol val="diamond"/>
              <c:size val="10"/>
              <c:spPr>
                <a:solidFill>
                  <a:srgbClr val="FF00FF"/>
                </a:solidFill>
                <a:ln w="9525">
                  <a:solidFill>
                    <a:schemeClr val="tx1"/>
                  </a:solidFill>
                </a:ln>
                <a:effectLst/>
              </c:spPr>
            </c:marker>
            <c:bubble3D val="0"/>
            <c:spPr>
              <a:ln w="28575" cap="rnd">
                <a:noFill/>
                <a:prstDash val="dash"/>
                <a:round/>
              </a:ln>
              <a:effectLst/>
            </c:spPr>
            <c:extLst>
              <c:ext xmlns:c16="http://schemas.microsoft.com/office/drawing/2014/chart" uri="{C3380CC4-5D6E-409C-BE32-E72D297353CC}">
                <c16:uniqueId val="{00000008-8B71-4EC2-A37B-886A34D28397}"/>
              </c:ext>
            </c:extLst>
          </c:dPt>
          <c:dLbls>
            <c:dLbl>
              <c:idx val="35"/>
              <c:layout>
                <c:manualLayout>
                  <c:x val="-4.5263626930354753E-2"/>
                  <c:y val="-5.3206109652960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B71-4EC2-A37B-886A34D28397}"/>
                </c:ext>
              </c:extLst>
            </c:dLbl>
            <c:dLbl>
              <c:idx val="4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B71-4EC2-A37B-886A34D28397}"/>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Aptos" panose="020B0004020202020204" pitchFamily="34"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strRef>
              <c:f>'Sector Sublimits'!$B$32:$AP$32</c:f>
              <c:strCache>
                <c:ptCount val="4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strCache>
            </c:strRef>
          </c:cat>
          <c:val>
            <c:numRef>
              <c:f>'Sector Sublimits'!$B$119:$AP$119</c:f>
              <c:numCache>
                <c:formatCode>#,##0.0</c:formatCode>
                <c:ptCount val="41"/>
                <c:pt idx="40">
                  <c:v>2.5</c:v>
                </c:pt>
              </c:numCache>
            </c:numRef>
          </c:val>
          <c:smooth val="0"/>
          <c:extLst>
            <c:ext xmlns:c16="http://schemas.microsoft.com/office/drawing/2014/chart" uri="{C3380CC4-5D6E-409C-BE32-E72D297353CC}">
              <c16:uniqueId val="{0000000A-8B71-4EC2-A37B-886A34D28397}"/>
            </c:ext>
          </c:extLst>
        </c:ser>
        <c:dLbls>
          <c:showLegendKey val="0"/>
          <c:showVal val="0"/>
          <c:showCatName val="0"/>
          <c:showSerName val="0"/>
          <c:showPercent val="0"/>
          <c:showBubbleSize val="0"/>
        </c:dLbls>
        <c:marker val="1"/>
        <c:smooth val="0"/>
        <c:axId val="803135096"/>
        <c:axId val="803138704"/>
      </c:lineChart>
      <c:catAx>
        <c:axId val="8031350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803138704"/>
        <c:crosses val="autoZero"/>
        <c:auto val="1"/>
        <c:lblAlgn val="ctr"/>
        <c:lblOffset val="100"/>
        <c:noMultiLvlLbl val="0"/>
      </c:catAx>
      <c:valAx>
        <c:axId val="803138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a:p>
                <a:pPr>
                  <a:defRPr/>
                </a:pP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803135096"/>
        <c:crosses val="autoZero"/>
        <c:crossBetween val="midCat"/>
      </c:valAx>
      <c:spPr>
        <a:noFill/>
        <a:ln>
          <a:noFill/>
        </a:ln>
        <a:effectLst/>
      </c:spPr>
    </c:plotArea>
    <c:legend>
      <c:legendPos val="r"/>
      <c:layout>
        <c:manualLayout>
          <c:xMode val="edge"/>
          <c:yMode val="edge"/>
          <c:x val="0.55991207660889064"/>
          <c:y val="1.1057960733168413E-2"/>
          <c:w val="0.4341230352122144"/>
          <c:h val="0.9815868528213068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ptos" panose="020B0004020202020204" pitchFamily="34" charset="0"/>
                <a:ea typeface="+mn-ea"/>
                <a:cs typeface="+mn-cs"/>
              </a:defRPr>
            </a:pPr>
            <a:r>
              <a:rPr lang="en-US" b="1">
                <a:latin typeface="Aptos" panose="020B0004020202020204" pitchFamily="34" charset="0"/>
              </a:rPr>
              <a:t>CO</a:t>
            </a:r>
            <a:r>
              <a:rPr lang="en-US" b="1" baseline="-25000">
                <a:latin typeface="Aptos" panose="020B0004020202020204" pitchFamily="34" charset="0"/>
              </a:rPr>
              <a:t>2</a:t>
            </a:r>
            <a:r>
              <a:rPr lang="en-US" b="1">
                <a:latin typeface="Aptos" panose="020B0004020202020204" pitchFamily="34" charset="0"/>
              </a:rPr>
              <a:t> Emissions from</a:t>
            </a:r>
            <a:r>
              <a:rPr lang="en-US" b="1" baseline="0">
                <a:latin typeface="Aptos" panose="020B0004020202020204" pitchFamily="34" charset="0"/>
              </a:rPr>
              <a:t> </a:t>
            </a:r>
            <a:r>
              <a:rPr lang="en-US" b="1">
                <a:latin typeface="Aptos" panose="020B0004020202020204" pitchFamily="34" charset="0"/>
              </a:rPr>
              <a:t>Transportation (Total and Major Fuel Types)</a:t>
            </a:r>
          </a:p>
        </c:rich>
      </c:tx>
      <c:layout>
        <c:manualLayout>
          <c:xMode val="edge"/>
          <c:yMode val="edge"/>
          <c:x val="2.4041898484052554E-2"/>
          <c:y val="2.597804869496101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9.686781803985732E-2"/>
          <c:y val="0.13777437191882291"/>
          <c:w val="0.67008732334546273"/>
          <c:h val="0.70085911657101441"/>
        </c:manualLayout>
      </c:layout>
      <c:lineChart>
        <c:grouping val="standard"/>
        <c:varyColors val="0"/>
        <c:ser>
          <c:idx val="9"/>
          <c:order val="0"/>
          <c:tx>
            <c:strRef>
              <c:f>'Combustion CO2'!$A$141</c:f>
              <c:strCache>
                <c:ptCount val="1"/>
                <c:pt idx="0">
                  <c:v>Transportation CO2 Total</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Lit>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'Combustion CO2'!$B$141:$AI$141</c15:sqref>
                  </c15:fullRef>
                </c:ext>
              </c:extLst>
              <c:f>'Combustion CO2'!$C$141:$AI$141</c:f>
              <c:numCache>
                <c:formatCode>0.00</c:formatCode>
                <c:ptCount val="33"/>
                <c:pt idx="0">
                  <c:v>26.92460625264826</c:v>
                </c:pt>
                <c:pt idx="1">
                  <c:v>26.448466366325668</c:v>
                </c:pt>
                <c:pt idx="2">
                  <c:v>26.684940195948609</c:v>
                </c:pt>
                <c:pt idx="3">
                  <c:v>26.904845065360281</c:v>
                </c:pt>
                <c:pt idx="4">
                  <c:v>27.543957964998537</c:v>
                </c:pt>
                <c:pt idx="5">
                  <c:v>28.348712325078182</c:v>
                </c:pt>
                <c:pt idx="6">
                  <c:v>28.69167682250546</c:v>
                </c:pt>
                <c:pt idx="7">
                  <c:v>28.981165134559841</c:v>
                </c:pt>
                <c:pt idx="8">
                  <c:v>29.667708078894691</c:v>
                </c:pt>
                <c:pt idx="9">
                  <c:v>30.840346353806449</c:v>
                </c:pt>
                <c:pt idx="10">
                  <c:v>30.390777107441533</c:v>
                </c:pt>
                <c:pt idx="11">
                  <c:v>30.598758285542427</c:v>
                </c:pt>
                <c:pt idx="12">
                  <c:v>31.043963055913085</c:v>
                </c:pt>
                <c:pt idx="13">
                  <c:v>32.3403968225931</c:v>
                </c:pt>
                <c:pt idx="14">
                  <c:v>32.345380523700065</c:v>
                </c:pt>
                <c:pt idx="15">
                  <c:v>31.466623128123757</c:v>
                </c:pt>
                <c:pt idx="16">
                  <c:v>31.819150693171284</c:v>
                </c:pt>
                <c:pt idx="17">
                  <c:v>30.86282488303754</c:v>
                </c:pt>
                <c:pt idx="18">
                  <c:v>28.977785301980987</c:v>
                </c:pt>
                <c:pt idx="19">
                  <c:v>29.194406294139284</c:v>
                </c:pt>
                <c:pt idx="20">
                  <c:v>29.122866885250293</c:v>
                </c:pt>
                <c:pt idx="21">
                  <c:v>28.589464823242725</c:v>
                </c:pt>
                <c:pt idx="22">
                  <c:v>29.863734621973755</c:v>
                </c:pt>
                <c:pt idx="23">
                  <c:v>28.070166775754295</c:v>
                </c:pt>
                <c:pt idx="24">
                  <c:v>28.563982489108184</c:v>
                </c:pt>
                <c:pt idx="25">
                  <c:v>28.915475634666457</c:v>
                </c:pt>
                <c:pt idx="26">
                  <c:v>28.383866566732596</c:v>
                </c:pt>
                <c:pt idx="27">
                  <c:v>29.007851076241241</c:v>
                </c:pt>
                <c:pt idx="28">
                  <c:v>28.718290747720122</c:v>
                </c:pt>
                <c:pt idx="29">
                  <c:v>22.643265319497903</c:v>
                </c:pt>
                <c:pt idx="30">
                  <c:v>25.369592412136146</c:v>
                </c:pt>
                <c:pt idx="31">
                  <c:v>25.922326415031002</c:v>
                </c:pt>
                <c:pt idx="32">
                  <c:v>25.981513834476111</c:v>
                </c:pt>
              </c:numCache>
            </c:numRef>
          </c:val>
          <c:smooth val="0"/>
          <c:extLst>
            <c:ext xmlns:c16="http://schemas.microsoft.com/office/drawing/2014/chart" uri="{C3380CC4-5D6E-409C-BE32-E72D297353CC}">
              <c16:uniqueId val="{00000000-E73C-44B9-AE98-95EC15817418}"/>
            </c:ext>
          </c:extLst>
        </c:ser>
        <c:ser>
          <c:idx val="5"/>
          <c:order val="1"/>
          <c:tx>
            <c:strRef>
              <c:f>'Combustion CO2'!$A$147</c:f>
              <c:strCache>
                <c:ptCount val="1"/>
                <c:pt idx="0">
                  <c:v>Motor Gasoline</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CO2'!$B$147:$AI$147</c15:sqref>
                  </c15:fullRef>
                </c:ext>
              </c:extLst>
              <c:f>'Combustion CO2'!$C$147:$AI$147</c:f>
              <c:numCache>
                <c:formatCode>_(* #,##0.00_);_(* \(#,##0.00\);_(* "-"??_);_(@_)</c:formatCode>
                <c:ptCount val="33"/>
                <c:pt idx="0">
                  <c:v>20.211956504455937</c:v>
                </c:pt>
                <c:pt idx="1">
                  <c:v>20.628984073454667</c:v>
                </c:pt>
                <c:pt idx="2">
                  <c:v>20.766422863423564</c:v>
                </c:pt>
                <c:pt idx="3">
                  <c:v>20.907177243985384</c:v>
                </c:pt>
                <c:pt idx="4">
                  <c:v>21.551182422034451</c:v>
                </c:pt>
                <c:pt idx="5">
                  <c:v>21.954069830838176</c:v>
                </c:pt>
                <c:pt idx="6">
                  <c:v>22.341745705792711</c:v>
                </c:pt>
                <c:pt idx="7">
                  <c:v>22.874709541950011</c:v>
                </c:pt>
                <c:pt idx="8">
                  <c:v>23.248996283854314</c:v>
                </c:pt>
                <c:pt idx="9">
                  <c:v>23.931757116136485</c:v>
                </c:pt>
                <c:pt idx="10">
                  <c:v>23.741893993579144</c:v>
                </c:pt>
                <c:pt idx="11">
                  <c:v>24.383919600050472</c:v>
                </c:pt>
                <c:pt idx="12">
                  <c:v>24.636156398468536</c:v>
                </c:pt>
                <c:pt idx="13">
                  <c:v>24.832706943952907</c:v>
                </c:pt>
                <c:pt idx="14">
                  <c:v>24.250288787696665</c:v>
                </c:pt>
                <c:pt idx="15">
                  <c:v>23.790738467974748</c:v>
                </c:pt>
                <c:pt idx="16">
                  <c:v>24.248878940438001</c:v>
                </c:pt>
                <c:pt idx="17">
                  <c:v>23.116081777273493</c:v>
                </c:pt>
                <c:pt idx="18">
                  <c:v>22.456284482079759</c:v>
                </c:pt>
                <c:pt idx="19">
                  <c:v>21.937814802979158</c:v>
                </c:pt>
                <c:pt idx="20">
                  <c:v>21.706960052323158</c:v>
                </c:pt>
                <c:pt idx="21">
                  <c:v>21.570463374457891</c:v>
                </c:pt>
                <c:pt idx="22">
                  <c:v>21.382696429703536</c:v>
                </c:pt>
                <c:pt idx="23" formatCode="_(* #,##0.000_);_(* \(#,##0.000\);_(* &quot;-&quot;??_);_(@_)">
                  <c:v>21.045639004304608</c:v>
                </c:pt>
                <c:pt idx="24">
                  <c:v>21.271850361158958</c:v>
                </c:pt>
                <c:pt idx="25">
                  <c:v>21.524492565435231</c:v>
                </c:pt>
                <c:pt idx="26">
                  <c:v>21.147118067979186</c:v>
                </c:pt>
                <c:pt idx="27">
                  <c:v>21.302347112449581</c:v>
                </c:pt>
                <c:pt idx="28">
                  <c:v>20.880619579156839</c:v>
                </c:pt>
                <c:pt idx="29">
                  <c:v>16.530052260508569</c:v>
                </c:pt>
                <c:pt idx="30">
                  <c:v>18.556638151652209</c:v>
                </c:pt>
                <c:pt idx="31">
                  <c:v>18.513460664397563</c:v>
                </c:pt>
                <c:pt idx="32">
                  <c:v>18.742704148283117</c:v>
                </c:pt>
              </c:numCache>
            </c:numRef>
          </c:val>
          <c:smooth val="0"/>
          <c:extLst>
            <c:ext xmlns:c16="http://schemas.microsoft.com/office/drawing/2014/chart" uri="{C3380CC4-5D6E-409C-BE32-E72D297353CC}">
              <c16:uniqueId val="{00000001-E73C-44B9-AE98-95EC15817418}"/>
            </c:ext>
          </c:extLst>
        </c:ser>
        <c:ser>
          <c:idx val="1"/>
          <c:order val="2"/>
          <c:tx>
            <c:strRef>
              <c:f>'Combustion CO2'!$A$143</c:f>
              <c:strCache>
                <c:ptCount val="1"/>
                <c:pt idx="0">
                  <c:v>Distillate Fuel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CO2'!$B$143:$AI$143</c15:sqref>
                  </c15:fullRef>
                </c:ext>
              </c:extLst>
              <c:f>'Combustion CO2'!$C$143:$AI$143</c:f>
              <c:numCache>
                <c:formatCode>_(* #,##0.00_);_(* \(#,##0.00\);_(* "-"??_);_(@_)</c:formatCode>
                <c:ptCount val="33"/>
                <c:pt idx="0">
                  <c:v>2.942833155683958</c:v>
                </c:pt>
                <c:pt idx="1">
                  <c:v>2.9276588435816784</c:v>
                </c:pt>
                <c:pt idx="2">
                  <c:v>3.0777349634478051</c:v>
                </c:pt>
                <c:pt idx="3">
                  <c:v>3.351952569157604</c:v>
                </c:pt>
                <c:pt idx="4">
                  <c:v>3.5899032538397013</c:v>
                </c:pt>
                <c:pt idx="5">
                  <c:v>3.5541511448622032</c:v>
                </c:pt>
                <c:pt idx="6">
                  <c:v>3.7296467371238666</c:v>
                </c:pt>
                <c:pt idx="7">
                  <c:v>3.7342607586260792</c:v>
                </c:pt>
                <c:pt idx="8">
                  <c:v>3.9235966339849591</c:v>
                </c:pt>
                <c:pt idx="9">
                  <c:v>4.30741538621076</c:v>
                </c:pt>
                <c:pt idx="10">
                  <c:v>4.4905964733519825</c:v>
                </c:pt>
                <c:pt idx="11">
                  <c:v>4.4168711618841456</c:v>
                </c:pt>
                <c:pt idx="12">
                  <c:v>4.4315406639891197</c:v>
                </c:pt>
                <c:pt idx="13">
                  <c:v>5.0169392272706128</c:v>
                </c:pt>
                <c:pt idx="14">
                  <c:v>5.2172104954351264</c:v>
                </c:pt>
                <c:pt idx="15">
                  <c:v>5.0638451769396573</c:v>
                </c:pt>
                <c:pt idx="16">
                  <c:v>4.9958031080052692</c:v>
                </c:pt>
                <c:pt idx="17">
                  <c:v>4.435674584494679</c:v>
                </c:pt>
                <c:pt idx="18">
                  <c:v>4.5717970150203762</c:v>
                </c:pt>
                <c:pt idx="19">
                  <c:v>4.6300068405353203</c:v>
                </c:pt>
                <c:pt idx="20">
                  <c:v>4.8378390932852904</c:v>
                </c:pt>
                <c:pt idx="21">
                  <c:v>4.4813116046515233</c:v>
                </c:pt>
                <c:pt idx="22">
                  <c:v>5.8283561594926097</c:v>
                </c:pt>
                <c:pt idx="23" formatCode="_(* #,##0.000_);_(* \(#,##0.000\);_(* &quot;-&quot;??_);_(@_)">
                  <c:v>4.4694806614515787</c:v>
                </c:pt>
                <c:pt idx="24">
                  <c:v>4.7663612400128743</c:v>
                </c:pt>
                <c:pt idx="25">
                  <c:v>4.7373723960981131</c:v>
                </c:pt>
                <c:pt idx="26">
                  <c:v>4.35969513080531</c:v>
                </c:pt>
                <c:pt idx="27">
                  <c:v>4.703262761753618</c:v>
                </c:pt>
                <c:pt idx="28">
                  <c:v>4.6437058722797806</c:v>
                </c:pt>
                <c:pt idx="29">
                  <c:v>4.4512974783827763</c:v>
                </c:pt>
                <c:pt idx="30">
                  <c:v>4.4063849230370922</c:v>
                </c:pt>
                <c:pt idx="31">
                  <c:v>4.4692221819342599</c:v>
                </c:pt>
                <c:pt idx="32">
                  <c:v>4.2979854758040048</c:v>
                </c:pt>
              </c:numCache>
            </c:numRef>
          </c:val>
          <c:smooth val="0"/>
          <c:extLst>
            <c:ext xmlns:c16="http://schemas.microsoft.com/office/drawing/2014/chart" uri="{C3380CC4-5D6E-409C-BE32-E72D297353CC}">
              <c16:uniqueId val="{00000002-E73C-44B9-AE98-95EC15817418}"/>
            </c:ext>
          </c:extLst>
        </c:ser>
        <c:ser>
          <c:idx val="2"/>
          <c:order val="3"/>
          <c:tx>
            <c:strRef>
              <c:f>'Combustion CO2'!$A$144</c:f>
              <c:strCache>
                <c:ptCount val="1"/>
                <c:pt idx="0">
                  <c:v>Jet Fuel, Kerosene</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CO2'!$B$144:$AI$144</c15:sqref>
                  </c15:fullRef>
                </c:ext>
              </c:extLst>
              <c:f>'Combustion CO2'!$C$144:$AI$144</c:f>
              <c:numCache>
                <c:formatCode>_(* #,##0.00_);_(* \(#,##0.00\);_(* "-"??_);_(@_)</c:formatCode>
                <c:ptCount val="33"/>
                <c:pt idx="0">
                  <c:v>2.961995761060058</c:v>
                </c:pt>
                <c:pt idx="1">
                  <c:v>2.3995881051771328</c:v>
                </c:pt>
                <c:pt idx="2">
                  <c:v>2.3799055091984633</c:v>
                </c:pt>
                <c:pt idx="3">
                  <c:v>2.2847646998390672</c:v>
                </c:pt>
                <c:pt idx="4">
                  <c:v>2.1169161334998634</c:v>
                </c:pt>
                <c:pt idx="5">
                  <c:v>2.2510835525403903</c:v>
                </c:pt>
                <c:pt idx="6">
                  <c:v>2.2607040148449555</c:v>
                </c:pt>
                <c:pt idx="7">
                  <c:v>2.1221687551079844</c:v>
                </c:pt>
                <c:pt idx="8">
                  <c:v>2.2145620358826097</c:v>
                </c:pt>
                <c:pt idx="9">
                  <c:v>2.2168239938152152</c:v>
                </c:pt>
                <c:pt idx="10">
                  <c:v>1.8962640185594355</c:v>
                </c:pt>
                <c:pt idx="11">
                  <c:v>1.5248499034300655</c:v>
                </c:pt>
                <c:pt idx="12">
                  <c:v>1.7646165406312229</c:v>
                </c:pt>
                <c:pt idx="13">
                  <c:v>2.2726676271299198</c:v>
                </c:pt>
                <c:pt idx="14">
                  <c:v>2.4907300153748073</c:v>
                </c:pt>
                <c:pt idx="15">
                  <c:v>2.3119860145128697</c:v>
                </c:pt>
                <c:pt idx="16">
                  <c:v>2.2707989127419936</c:v>
                </c:pt>
                <c:pt idx="17">
                  <c:v>3.0418482003172098</c:v>
                </c:pt>
                <c:pt idx="18">
                  <c:v>1.6842269935703942</c:v>
                </c:pt>
                <c:pt idx="19">
                  <c:v>2.3637685651416818</c:v>
                </c:pt>
                <c:pt idx="20">
                  <c:v>2.3273578957215442</c:v>
                </c:pt>
                <c:pt idx="21">
                  <c:v>2.3104342489248744</c:v>
                </c:pt>
                <c:pt idx="22">
                  <c:v>2.4035428917247814</c:v>
                </c:pt>
                <c:pt idx="23" formatCode="_(* #,##0.000_);_(* \(#,##0.000\);_(* &quot;-&quot;??_);_(@_)">
                  <c:v>2.3304689904175149</c:v>
                </c:pt>
                <c:pt idx="24">
                  <c:v>2.281266457007054</c:v>
                </c:pt>
                <c:pt idx="25">
                  <c:v>2.4194017131747203</c:v>
                </c:pt>
                <c:pt idx="26">
                  <c:v>2.6434582066492638</c:v>
                </c:pt>
                <c:pt idx="27">
                  <c:v>2.8145771265384814</c:v>
                </c:pt>
                <c:pt idx="28">
                  <c:v>2.9940571606666988</c:v>
                </c:pt>
                <c:pt idx="29">
                  <c:v>1.5223462375227561</c:v>
                </c:pt>
                <c:pt idx="30">
                  <c:v>2.1614178579742997</c:v>
                </c:pt>
                <c:pt idx="31">
                  <c:v>2.6837104144688397</c:v>
                </c:pt>
                <c:pt idx="32">
                  <c:v>2.7195003314960982</c:v>
                </c:pt>
              </c:numCache>
            </c:numRef>
          </c:val>
          <c:smooth val="0"/>
          <c:extLst>
            <c:ext xmlns:c16="http://schemas.microsoft.com/office/drawing/2014/chart" uri="{C3380CC4-5D6E-409C-BE32-E72D297353CC}">
              <c16:uniqueId val="{00000003-E73C-44B9-AE98-95EC15817418}"/>
            </c:ext>
          </c:extLst>
        </c:ser>
        <c:ser>
          <c:idx val="3"/>
          <c:order val="5"/>
          <c:tx>
            <c:strRef>
              <c:f>'Combustion CO2'!$A$145</c:f>
              <c:strCache>
                <c:ptCount val="1"/>
                <c:pt idx="0">
                  <c:v>Jet Fuel, Naphtha (1990-1998)</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CO2'!$B$145:$J$145</c15:sqref>
                  </c15:fullRef>
                </c:ext>
              </c:extLst>
              <c:f>'Combustion CO2'!$C$145:$J$145</c:f>
              <c:numCache>
                <c:formatCode>_(* #,##0.00_);_(* \(#,##0.00\);_(* "-"??_);_(@_)</c:formatCode>
                <c:ptCount val="8"/>
                <c:pt idx="0">
                  <c:v>0.54074836077790933</c:v>
                </c:pt>
                <c:pt idx="1">
                  <c:v>0.18816190284027892</c:v>
                </c:pt>
                <c:pt idx="2">
                  <c:v>0.15530593980586097</c:v>
                </c:pt>
                <c:pt idx="3">
                  <c:v>4.6823365822177096E-2</c:v>
                </c:pt>
                <c:pt idx="4">
                  <c:v>4.7040475710069729E-3</c:v>
                </c:pt>
                <c:pt idx="5">
                  <c:v>1.8092490657719126E-3</c:v>
                </c:pt>
                <c:pt idx="6">
                  <c:v>8.6843955157051792E-4</c:v>
                </c:pt>
                <c:pt idx="7">
                  <c:v>0</c:v>
                </c:pt>
              </c:numCache>
            </c:numRef>
          </c:val>
          <c:smooth val="0"/>
          <c:extLst>
            <c:ext xmlns:c16="http://schemas.microsoft.com/office/drawing/2014/chart" uri="{C3380CC4-5D6E-409C-BE32-E72D297353CC}">
              <c16:uniqueId val="{00000004-E73C-44B9-AE98-95EC15817418}"/>
            </c:ext>
          </c:extLst>
        </c:ser>
        <c:dLbls>
          <c:showLegendKey val="0"/>
          <c:showVal val="0"/>
          <c:showCatName val="0"/>
          <c:showSerName val="0"/>
          <c:showPercent val="0"/>
          <c:showBubbleSize val="0"/>
        </c:dLbls>
        <c:marker val="1"/>
        <c:smooth val="0"/>
        <c:axId val="2065229119"/>
        <c:axId val="2065226719"/>
        <c:extLst>
          <c:ext xmlns:c15="http://schemas.microsoft.com/office/drawing/2012/chart" uri="{02D57815-91ED-43cb-92C2-25804820EDAC}">
            <c15:filteredLineSeries>
              <c15:ser>
                <c:idx val="0"/>
                <c:order val="4"/>
                <c:tx>
                  <c:strRef>
                    <c:extLst>
                      <c:ext uri="{02D57815-91ED-43cb-92C2-25804820EDAC}">
                        <c15:formulaRef>
                          <c15:sqref>'Combustion CO2'!$A$142</c15:sqref>
                        </c15:formulaRef>
                      </c:ext>
                    </c:extLst>
                    <c:strCache>
                      <c:ptCount val="1"/>
                      <c:pt idx="0">
                        <c:v>Aviation Gasoline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uri="{02D57815-91ED-43cb-92C2-25804820EDAC}">
                        <c15:fullRef>
                          <c15:sqref>'Combustion CO2'!$B$100:$AI$100</c15:sqref>
                        </c15:fullRef>
                        <c15:formulaRef>
                          <c15:sqref>'Combustion CO2'!$C$100:$AI$100</c15:sqref>
                        </c15:formulaRef>
                      </c:ext>
                    </c:extLst>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uri="{02D57815-91ED-43cb-92C2-25804820EDAC}">
                        <c15:fullRef>
                          <c15:sqref>'Combustion CO2'!$B$142:$AI$142</c15:sqref>
                        </c15:fullRef>
                        <c15:formulaRef>
                          <c15:sqref>'Combustion CO2'!$C$142:$AI$142</c15:sqref>
                        </c15:formulaRef>
                      </c:ext>
                    </c:extLst>
                    <c:numCache>
                      <c:formatCode>_(* #,##0.00_);_(* \(#,##0.00\);_(* "-"??_);_(@_)</c:formatCode>
                      <c:ptCount val="33"/>
                      <c:pt idx="0">
                        <c:v>1.5624701681138903E-2</c:v>
                      </c:pt>
                      <c:pt idx="1">
                        <c:v>1.5555565832992271E-2</c:v>
                      </c:pt>
                      <c:pt idx="2">
                        <c:v>2.9797550551198523E-2</c:v>
                      </c:pt>
                      <c:pt idx="3">
                        <c:v>2.544199211796069E-2</c:v>
                      </c:pt>
                      <c:pt idx="4">
                        <c:v>2.945187131046537E-2</c:v>
                      </c:pt>
                      <c:pt idx="5">
                        <c:v>3.1387675058571068E-2</c:v>
                      </c:pt>
                      <c:pt idx="6">
                        <c:v>3.0350637336371587E-2</c:v>
                      </c:pt>
                      <c:pt idx="7">
                        <c:v>3.0350637336371587E-2</c:v>
                      </c:pt>
                      <c:pt idx="8">
                        <c:v>3.3530886351116673E-2</c:v>
                      </c:pt>
                      <c:pt idx="9">
                        <c:v>4.0375335317633279E-2</c:v>
                      </c:pt>
                      <c:pt idx="10">
                        <c:v>2.7861746803092821E-2</c:v>
                      </c:pt>
                      <c:pt idx="11">
                        <c:v>2.6962980777186601E-2</c:v>
                      </c:pt>
                      <c:pt idx="12">
                        <c:v>2.8069154347532717E-2</c:v>
                      </c:pt>
                      <c:pt idx="13">
                        <c:v>3.3323478806676778E-2</c:v>
                      </c:pt>
                      <c:pt idx="14">
                        <c:v>4.0859286254659698E-2</c:v>
                      </c:pt>
                      <c:pt idx="15">
                        <c:v>1.7214826188511445E-2</c:v>
                      </c:pt>
                      <c:pt idx="16">
                        <c:v>3.0350637336371587E-2</c:v>
                      </c:pt>
                      <c:pt idx="17">
                        <c:v>1.7422233732951344E-2</c:v>
                      </c:pt>
                      <c:pt idx="18">
                        <c:v>3.387656559184983E-2</c:v>
                      </c:pt>
                      <c:pt idx="19">
                        <c:v>1.9565445025496946E-2</c:v>
                      </c:pt>
                      <c:pt idx="20">
                        <c:v>1.8320999758857561E-2</c:v>
                      </c:pt>
                      <c:pt idx="21">
                        <c:v>1.7491369581097971E-2</c:v>
                      </c:pt>
                      <c:pt idx="22">
                        <c:v>1.500247904781921E-2</c:v>
                      </c:pt>
                      <c:pt idx="23" formatCode="_(* #,##0.000_);_(* \(#,##0.000\);_(* &quot;-&quot;??_);_(@_)">
                        <c:v>2.5925943054987119E-2</c:v>
                      </c:pt>
                      <c:pt idx="24">
                        <c:v>2.4750633636494365E-2</c:v>
                      </c:pt>
                      <c:pt idx="25">
                        <c:v>2.4128411003174678E-2</c:v>
                      </c:pt>
                      <c:pt idx="26">
                        <c:v>2.3367916673561723E-2</c:v>
                      </c:pt>
                      <c:pt idx="27">
                        <c:v>2.6962980777186601E-2</c:v>
                      </c:pt>
                      <c:pt idx="28">
                        <c:v>2.6824709080893336E-2</c:v>
                      </c:pt>
                      <c:pt idx="29">
                        <c:v>2.198519971062908E-2</c:v>
                      </c:pt>
                      <c:pt idx="30">
                        <c:v>2.4819769484640999E-2</c:v>
                      </c:pt>
                      <c:pt idx="31">
                        <c:v>2.571853551054722E-2</c:v>
                      </c:pt>
                      <c:pt idx="32">
                        <c:v>2.4404954395761212E-2</c:v>
                      </c:pt>
                    </c:numCache>
                  </c:numRef>
                </c:val>
                <c:smooth val="0"/>
                <c:extLst>
                  <c:ext xmlns:c16="http://schemas.microsoft.com/office/drawing/2014/chart" uri="{C3380CC4-5D6E-409C-BE32-E72D297353CC}">
                    <c16:uniqueId val="{00000005-E73C-44B9-AE98-95EC15817418}"/>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'Combustion CO2'!$A$146</c15:sqref>
                        </c15:formulaRef>
                      </c:ext>
                    </c:extLst>
                    <c:strCache>
                      <c:ptCount val="1"/>
                      <c:pt idx="0">
                        <c:v>Hydrocarbon Gas Liquids</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c:ext xmlns:c15="http://schemas.microsoft.com/office/drawing/2012/chart" uri="{02D57815-91ED-43cb-92C2-25804820EDAC}">
                        <c15:fullRef>
                          <c15:sqref>'Combustion CO2'!$B$100:$AI$100</c15:sqref>
                        </c15:fullRef>
                        <c15:formulaRef>
                          <c15:sqref>'Combustion CO2'!$C$100:$AI$100</c15:sqref>
                        </c15:formulaRef>
                      </c:ext>
                    </c:extLst>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CO2'!$B$146:$AI$146</c15:sqref>
                        </c15:fullRef>
                        <c15:formulaRef>
                          <c15:sqref>'Combustion CO2'!$C$146:$AI$146</c15:sqref>
                        </c15:formulaRef>
                      </c:ext>
                    </c:extLst>
                    <c:numCache>
                      <c:formatCode>_(* #,##0.00_);_(* \(#,##0.00\);_(* "-"??_);_(@_)</c:formatCode>
                      <c:ptCount val="33"/>
                      <c:pt idx="0">
                        <c:v>1.6600434384995998E-2</c:v>
                      </c:pt>
                      <c:pt idx="1">
                        <c:v>1.5342825719465996E-2</c:v>
                      </c:pt>
                      <c:pt idx="2">
                        <c:v>1.4839782253253999E-2</c:v>
                      </c:pt>
                      <c:pt idx="3">
                        <c:v>2.1253586447456996E-2</c:v>
                      </c:pt>
                      <c:pt idx="4">
                        <c:v>1.2073043189087996E-2</c:v>
                      </c:pt>
                      <c:pt idx="5">
                        <c:v>1.0878314956834499E-2</c:v>
                      </c:pt>
                      <c:pt idx="6">
                        <c:v>1.1255597556493496E-2</c:v>
                      </c:pt>
                      <c:pt idx="7">
                        <c:v>1.0941195390110998E-2</c:v>
                      </c:pt>
                      <c:pt idx="8">
                        <c:v>3.7728259965899999E-2</c:v>
                      </c:pt>
                      <c:pt idx="9">
                        <c:v>1.3519293154447496E-2</c:v>
                      </c:pt>
                      <c:pt idx="10">
                        <c:v>9.9979888909635002E-3</c:v>
                      </c:pt>
                      <c:pt idx="11">
                        <c:v>9.3691845581985005E-3</c:v>
                      </c:pt>
                      <c:pt idx="12">
                        <c:v>9.4320649914749997E-3</c:v>
                      </c:pt>
                      <c:pt idx="13">
                        <c:v>7.7342932930094983E-3</c:v>
                      </c:pt>
                      <c:pt idx="14">
                        <c:v>9.6207062913044993E-3</c:v>
                      </c:pt>
                      <c:pt idx="15">
                        <c:v>8.2373367592214995E-3</c:v>
                      </c:pt>
                      <c:pt idx="16">
                        <c:v>7.1054889602444986E-3</c:v>
                      </c:pt>
                      <c:pt idx="17">
                        <c:v>1.3142010554788499E-2</c:v>
                      </c:pt>
                      <c:pt idx="18">
                        <c:v>6.0994020278205005E-3</c:v>
                      </c:pt>
                      <c:pt idx="19">
                        <c:v>2.4523368977834997E-3</c:v>
                      </c:pt>
                      <c:pt idx="20">
                        <c:v>2.5780977643364996E-3</c:v>
                      </c:pt>
                      <c:pt idx="21">
                        <c:v>2.5780977643364996E-3</c:v>
                      </c:pt>
                      <c:pt idx="22">
                        <c:v>2.9553803639954992E-3</c:v>
                      </c:pt>
                      <c:pt idx="23" formatCode="_(* #,##0.000_);_(* \(#,##0.000\);_(* &quot;-&quot;??_);_(@_)">
                        <c:v>3.9614672964194998E-3</c:v>
                      </c:pt>
                      <c:pt idx="24">
                        <c:v>6.0365215945439978E-3</c:v>
                      </c:pt>
                      <c:pt idx="25">
                        <c:v>7.9858150261154989E-3</c:v>
                      </c:pt>
                      <c:pt idx="26">
                        <c:v>1.3833695320829998E-2</c:v>
                      </c:pt>
                      <c:pt idx="27">
                        <c:v>3.3326629636544996E-3</c:v>
                      </c:pt>
                      <c:pt idx="28">
                        <c:v>2.7038586308894999E-3</c:v>
                      </c:pt>
                      <c:pt idx="29">
                        <c:v>6.2251628943734991E-3</c:v>
                      </c:pt>
                      <c:pt idx="30">
                        <c:v>4.9675542288434987E-3</c:v>
                      </c:pt>
                      <c:pt idx="31">
                        <c:v>4.2129890295254995E-3</c:v>
                      </c:pt>
                      <c:pt idx="32">
                        <c:v>4.4645107626314993E-3</c:v>
                      </c:pt>
                    </c:numCache>
                  </c:numRef>
                </c:val>
                <c:smooth val="0"/>
                <c:extLst xmlns:c15="http://schemas.microsoft.com/office/drawing/2012/chart">
                  <c:ext xmlns:c16="http://schemas.microsoft.com/office/drawing/2014/chart" uri="{C3380CC4-5D6E-409C-BE32-E72D297353CC}">
                    <c16:uniqueId val="{00000006-E73C-44B9-AE98-95EC15817418}"/>
                  </c:ext>
                </c:extLst>
              </c15:ser>
            </c15:filteredLineSeries>
            <c15:filteredLineSeries>
              <c15:ser>
                <c:idx val="6"/>
                <c:order val="7"/>
                <c:tx>
                  <c:strRef>
                    <c:extLst xmlns:c15="http://schemas.microsoft.com/office/drawing/2012/chart">
                      <c:ext xmlns:c15="http://schemas.microsoft.com/office/drawing/2012/chart" uri="{02D57815-91ED-43cb-92C2-25804820EDAC}">
                        <c15:formulaRef>
                          <c15:sqref>'Combustion CO2'!$A$148</c15:sqref>
                        </c15:formulaRef>
                      </c:ext>
                    </c:extLst>
                    <c:strCache>
                      <c:ptCount val="1"/>
                      <c:pt idx="0">
                        <c:v>Residual Fuel</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c:ext xmlns:c15="http://schemas.microsoft.com/office/drawing/2012/chart" uri="{02D57815-91ED-43cb-92C2-25804820EDAC}">
                        <c15:fullRef>
                          <c15:sqref>'Combustion CO2'!$B$100:$AI$100</c15:sqref>
                        </c15:fullRef>
                        <c15:formulaRef>
                          <c15:sqref>'Combustion CO2'!$C$100:$AI$100</c15:sqref>
                        </c15:formulaRef>
                      </c:ext>
                    </c:extLst>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CO2'!$B$148:$AI$148</c15:sqref>
                        </c15:fullRef>
                        <c15:formulaRef>
                          <c15:sqref>'Combustion CO2'!$C$148:$AI$148</c15:sqref>
                        </c15:formulaRef>
                      </c:ext>
                    </c:extLst>
                    <c:numCache>
                      <c:formatCode>_(* #,##0.00_);_(* \(#,##0.00\);_(* "-"??_);_(@_)</c:formatCode>
                      <c:ptCount val="33"/>
                      <c:pt idx="0">
                        <c:v>6.1585965938213832E-2</c:v>
                      </c:pt>
                      <c:pt idx="1">
                        <c:v>9.6495853802575263E-2</c:v>
                      </c:pt>
                      <c:pt idx="2">
                        <c:v>8.1025606726777111E-2</c:v>
                      </c:pt>
                      <c:pt idx="3">
                        <c:v>7.9002317549601991E-2</c:v>
                      </c:pt>
                      <c:pt idx="4">
                        <c:v>5.4362466193265638E-2</c:v>
                      </c:pt>
                      <c:pt idx="5">
                        <c:v>0.36579875202169565</c:v>
                      </c:pt>
                      <c:pt idx="6">
                        <c:v>0.12387597310358811</c:v>
                      </c:pt>
                      <c:pt idx="7">
                        <c:v>6.5209070294800038E-3</c:v>
                      </c:pt>
                      <c:pt idx="8">
                        <c:v>4.008470504408816E-3</c:v>
                      </c:pt>
                      <c:pt idx="9">
                        <c:v>0.12764780712541798</c:v>
                      </c:pt>
                      <c:pt idx="10">
                        <c:v>3.6595699536087364E-2</c:v>
                      </c:pt>
                      <c:pt idx="11">
                        <c:v>5.1242470519291927E-2</c:v>
                      </c:pt>
                      <c:pt idx="12">
                        <c:v>6.0266650648790627E-4</c:v>
                      </c:pt>
                      <c:pt idx="13">
                        <c:v>2.8516693526735206E-4</c:v>
                      </c:pt>
                      <c:pt idx="14">
                        <c:v>0.12809616947653038</c:v>
                      </c:pt>
                      <c:pt idx="15">
                        <c:v>7.3376922269902348E-2</c:v>
                      </c:pt>
                      <c:pt idx="16">
                        <c:v>6.0552929532684471E-2</c:v>
                      </c:pt>
                      <c:pt idx="17">
                        <c:v>4.1800182721536489E-2</c:v>
                      </c:pt>
                      <c:pt idx="18">
                        <c:v>4.3697243660195256E-2</c:v>
                      </c:pt>
                      <c:pt idx="19">
                        <c:v>4.0789256924809517E-2</c:v>
                      </c:pt>
                      <c:pt idx="20">
                        <c:v>3.2662739022375292E-2</c:v>
                      </c:pt>
                      <c:pt idx="21">
                        <c:v>2.4262975604721772E-2</c:v>
                      </c:pt>
                      <c:pt idx="22">
                        <c:v>3.2099914731705412E-2</c:v>
                      </c:pt>
                      <c:pt idx="23" formatCode="_(* #,##0.000_);_(* \(#,##0.000\);_(* &quot;-&quot;??_);_(@_)">
                        <c:v>7.6787191247035119E-3</c:v>
                      </c:pt>
                      <c:pt idx="24">
                        <c:v>4.9615533286217622E-3</c:v>
                      </c:pt>
                      <c:pt idx="25">
                        <c:v>2.610919786271787E-2</c:v>
                      </c:pt>
                      <c:pt idx="26">
                        <c:v>5.1331748269194927E-2</c:v>
                      </c:pt>
                      <c:pt idx="27">
                        <c:v>1.6050177793555609E-2</c:v>
                      </c:pt>
                      <c:pt idx="28">
                        <c:v>3.6367389618220627E-2</c:v>
                      </c:pt>
                      <c:pt idx="29">
                        <c:v>1.4918477759929879E-3</c:v>
                      </c:pt>
                      <c:pt idx="30">
                        <c:v>9.8537356568704562E-2</c:v>
                      </c:pt>
                      <c:pt idx="31">
                        <c:v>0.10059389219002367</c:v>
                      </c:pt>
                      <c:pt idx="32">
                        <c:v>8.7558265046840666E-2</c:v>
                      </c:pt>
                    </c:numCache>
                  </c:numRef>
                </c:val>
                <c:smooth val="0"/>
                <c:extLst xmlns:c15="http://schemas.microsoft.com/office/drawing/2012/chart">
                  <c:ext xmlns:c16="http://schemas.microsoft.com/office/drawing/2014/chart" uri="{C3380CC4-5D6E-409C-BE32-E72D297353CC}">
                    <c16:uniqueId val="{00000007-E73C-44B9-AE98-95EC15817418}"/>
                  </c:ext>
                </c:extLst>
              </c15:ser>
            </c15:filteredLineSeries>
            <c15:filteredLineSeries>
              <c15:ser>
                <c:idx val="7"/>
                <c:order val="8"/>
                <c:tx>
                  <c:strRef>
                    <c:extLst xmlns:c15="http://schemas.microsoft.com/office/drawing/2012/chart">
                      <c:ext xmlns:c15="http://schemas.microsoft.com/office/drawing/2012/chart" uri="{02D57815-91ED-43cb-92C2-25804820EDAC}">
                        <c15:formulaRef>
                          <c15:sqref>'Combustion CO2'!$A$149</c15:sqref>
                        </c15:formulaRef>
                      </c:ext>
                    </c:extLst>
                    <c:strCache>
                      <c:ptCount val="1"/>
                      <c:pt idx="0">
                        <c:v>Natural Gas</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c:ext xmlns:c15="http://schemas.microsoft.com/office/drawing/2012/chart" uri="{02D57815-91ED-43cb-92C2-25804820EDAC}">
                        <c15:fullRef>
                          <c15:sqref>'Combustion CO2'!$B$100:$AI$100</c15:sqref>
                        </c15:fullRef>
                        <c15:formulaRef>
                          <c15:sqref>'Combustion CO2'!$C$100:$AI$100</c15:sqref>
                        </c15:formulaRef>
                      </c:ext>
                    </c:extLst>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CO2'!$B$149:$AI$149</c15:sqref>
                        </c15:fullRef>
                        <c15:formulaRef>
                          <c15:sqref>'Combustion CO2'!$C$149:$AI$149</c15:sqref>
                        </c15:formulaRef>
                      </c:ext>
                    </c:extLst>
                    <c:numCache>
                      <c:formatCode>_(* #,##0.00_);_(* \(#,##0.00\);_(* "-"??_);_(@_)</c:formatCode>
                      <c:ptCount val="33"/>
                      <c:pt idx="0">
                        <c:v>5.4588806964422069E-5</c:v>
                      </c:pt>
                      <c:pt idx="1">
                        <c:v>1.0917761392884414E-4</c:v>
                      </c:pt>
                      <c:pt idx="2">
                        <c:v>1.09253332631684E-4</c:v>
                      </c:pt>
                      <c:pt idx="3">
                        <c:v>4.9152619781934082E-4</c:v>
                      </c:pt>
                      <c:pt idx="4">
                        <c:v>6.5567202359502615E-4</c:v>
                      </c:pt>
                      <c:pt idx="5">
                        <c:v>2.7319667649792757E-4</c:v>
                      </c:pt>
                      <c:pt idx="6">
                        <c:v>3.8793928062705709E-3</c:v>
                      </c:pt>
                      <c:pt idx="7">
                        <c:v>3.984065238362298E-3</c:v>
                      </c:pt>
                      <c:pt idx="8">
                        <c:v>4.9710266347416212E-3</c:v>
                      </c:pt>
                      <c:pt idx="9">
                        <c:v>5.5198549293330283E-3</c:v>
                      </c:pt>
                      <c:pt idx="10">
                        <c:v>6.8267527474908454E-3</c:v>
                      </c:pt>
                      <c:pt idx="11">
                        <c:v>6.8877581849242937E-3</c:v>
                      </c:pt>
                      <c:pt idx="12">
                        <c:v>8.4105593849087244E-3</c:v>
                      </c:pt>
                      <c:pt idx="13">
                        <c:v>9.4526050068282959E-3</c:v>
                      </c:pt>
                      <c:pt idx="14">
                        <c:v>4.2162024968503464E-2</c:v>
                      </c:pt>
                      <c:pt idx="15">
                        <c:v>3.9049025715647639E-2</c:v>
                      </c:pt>
                      <c:pt idx="16">
                        <c:v>3.8238666421089397E-2</c:v>
                      </c:pt>
                      <c:pt idx="17">
                        <c:v>4.1407013067408231E-2</c:v>
                      </c:pt>
                      <c:pt idx="18">
                        <c:v>4.2027410303535635E-2</c:v>
                      </c:pt>
                      <c:pt idx="19">
                        <c:v>4.018795578253808E-2</c:v>
                      </c:pt>
                      <c:pt idx="20">
                        <c:v>4.1564596961506863E-2</c:v>
                      </c:pt>
                      <c:pt idx="21">
                        <c:v>4.1599872847042758E-2</c:v>
                      </c:pt>
                      <c:pt idx="22">
                        <c:v>3.8184039754773559E-2</c:v>
                      </c:pt>
                      <c:pt idx="23" formatCode="_(* #,##0.000_);_(* \(#,##0.000\);_(* &quot;-&quot;??_);_(@_)">
                        <c:v>3.9231292881024088E-2</c:v>
                      </c:pt>
                      <c:pt idx="24">
                        <c:v>4.4091568157977469E-2</c:v>
                      </c:pt>
                      <c:pt idx="25">
                        <c:v>1.972947796438547E-2</c:v>
                      </c:pt>
                      <c:pt idx="26">
                        <c:v>6.1600533035981583E-3</c:v>
                      </c:pt>
                      <c:pt idx="27">
                        <c:v>6.9232457482917356E-3</c:v>
                      </c:pt>
                      <c:pt idx="28">
                        <c:v>7.0835594153091644E-3</c:v>
                      </c:pt>
                      <c:pt idx="29">
                        <c:v>5.0686227919553841E-3</c:v>
                      </c:pt>
                      <c:pt idx="30">
                        <c:v>4.3601056274885025E-3</c:v>
                      </c:pt>
                      <c:pt idx="31">
                        <c:v>6.214567049647699E-3</c:v>
                      </c:pt>
                      <c:pt idx="32">
                        <c:v>8.6131718758275123E-3</c:v>
                      </c:pt>
                    </c:numCache>
                  </c:numRef>
                </c:val>
                <c:smooth val="0"/>
                <c:extLst xmlns:c15="http://schemas.microsoft.com/office/drawing/2012/chart">
                  <c:ext xmlns:c16="http://schemas.microsoft.com/office/drawing/2014/chart" uri="{C3380CC4-5D6E-409C-BE32-E72D297353CC}">
                    <c16:uniqueId val="{00000008-E73C-44B9-AE98-95EC15817418}"/>
                  </c:ext>
                </c:extLst>
              </c15:ser>
            </c15:filteredLineSeries>
            <c15:filteredLineSeries>
              <c15:ser>
                <c:idx val="8"/>
                <c:order val="9"/>
                <c:tx>
                  <c:strRef>
                    <c:extLst xmlns:c15="http://schemas.microsoft.com/office/drawing/2012/chart">
                      <c:ext xmlns:c15="http://schemas.microsoft.com/office/drawing/2012/chart" uri="{02D57815-91ED-43cb-92C2-25804820EDAC}">
                        <c15:formulaRef>
                          <c15:sqref>'Combustion CO2'!$A$151</c15:sqref>
                        </c15:formulaRef>
                      </c:ext>
                    </c:extLst>
                    <c:strCache>
                      <c:ptCount val="1"/>
                      <c:pt idx="0">
                        <c:v>Lubricants</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extLst>
                      <c:ext xmlns:c15="http://schemas.microsoft.com/office/drawing/2012/chart" uri="{02D57815-91ED-43cb-92C2-25804820EDAC}">
                        <c15:fullRef>
                          <c15:sqref>'Combustion CO2'!$B$100:$AI$100</c15:sqref>
                        </c15:fullRef>
                        <c15:formulaRef>
                          <c15:sqref>'Combustion CO2'!$C$100:$AI$100</c15:sqref>
                        </c15:formulaRef>
                      </c:ext>
                    </c:extLst>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CO2'!$B$151:$AI$151</c15:sqref>
                        </c15:fullRef>
                        <c15:formulaRef>
                          <c15:sqref>'Combustion CO2'!$C$151:$AI$151</c15:sqref>
                        </c15:formulaRef>
                      </c:ext>
                    </c:extLst>
                    <c:numCache>
                      <c:formatCode>_(* #,##0.00_);_(* \(#,##0.00\);_(* "-"??_);_(@_)</c:formatCode>
                      <c:ptCount val="33"/>
                      <c:pt idx="0">
                        <c:v>0.17320677985908084</c:v>
                      </c:pt>
                      <c:pt idx="1">
                        <c:v>0.1765700183029465</c:v>
                      </c:pt>
                      <c:pt idx="2">
                        <c:v>0.17979872720905746</c:v>
                      </c:pt>
                      <c:pt idx="3">
                        <c:v>0.18793776424321237</c:v>
                      </c:pt>
                      <c:pt idx="4">
                        <c:v>0.18470905533710133</c:v>
                      </c:pt>
                      <c:pt idx="5">
                        <c:v>0.17926060905803903</c:v>
                      </c:pt>
                      <c:pt idx="6">
                        <c:v>0.18935032438963592</c:v>
                      </c:pt>
                      <c:pt idx="7">
                        <c:v>0.19822927388144126</c:v>
                      </c:pt>
                      <c:pt idx="8">
                        <c:v>0.20031448171663796</c:v>
                      </c:pt>
                      <c:pt idx="9">
                        <c:v>0.19728756711715884</c:v>
                      </c:pt>
                      <c:pt idx="10">
                        <c:v>0.18074043397333989</c:v>
                      </c:pt>
                      <c:pt idx="11">
                        <c:v>0.17865522613814319</c:v>
                      </c:pt>
                      <c:pt idx="12">
                        <c:v>0.16513500759380326</c:v>
                      </c:pt>
                      <c:pt idx="13">
                        <c:v>0.16728748019787731</c:v>
                      </c:pt>
                      <c:pt idx="14">
                        <c:v>0.16641303820247225</c:v>
                      </c:pt>
                      <c:pt idx="15">
                        <c:v>0.16217535776320149</c:v>
                      </c:pt>
                      <c:pt idx="16">
                        <c:v>0.1674220097356319</c:v>
                      </c:pt>
                      <c:pt idx="17">
                        <c:v>0.15544888087547021</c:v>
                      </c:pt>
                      <c:pt idx="18">
                        <c:v>0.1397761897270563</c:v>
                      </c:pt>
                      <c:pt idx="19">
                        <c:v>0.15982109085249557</c:v>
                      </c:pt>
                      <c:pt idx="20">
                        <c:v>0.15558341041322485</c:v>
                      </c:pt>
                      <c:pt idx="21">
                        <c:v>0.14132327941123449</c:v>
                      </c:pt>
                      <c:pt idx="22">
                        <c:v>0.16089732715453256</c:v>
                      </c:pt>
                      <c:pt idx="23" formatCode="_(* #,##0.000_);_(* \(#,##0.000\);_(* &quot;-&quot;??_);_(@_)">
                        <c:v>0.14778069722345655</c:v>
                      </c:pt>
                      <c:pt idx="24">
                        <c:v>0.16466415421166208</c:v>
                      </c:pt>
                      <c:pt idx="25">
                        <c:v>0.15625605810199794</c:v>
                      </c:pt>
                      <c:pt idx="26">
                        <c:v>0.13890174773165123</c:v>
                      </c:pt>
                      <c:pt idx="27">
                        <c:v>0.13439500821687125</c:v>
                      </c:pt>
                      <c:pt idx="28">
                        <c:v>0.12692861887148957</c:v>
                      </c:pt>
                      <c:pt idx="29">
                        <c:v>0.10479850991085357</c:v>
                      </c:pt>
                      <c:pt idx="30">
                        <c:v>0.11246669356286725</c:v>
                      </c:pt>
                      <c:pt idx="31">
                        <c:v>0.11919317045059855</c:v>
                      </c:pt>
                      <c:pt idx="32">
                        <c:v>9.6282976811833121E-2</c:v>
                      </c:pt>
                    </c:numCache>
                  </c:numRef>
                </c:val>
                <c:smooth val="0"/>
                <c:extLst xmlns:c15="http://schemas.microsoft.com/office/drawing/2012/chart">
                  <c:ext xmlns:c16="http://schemas.microsoft.com/office/drawing/2014/chart" uri="{C3380CC4-5D6E-409C-BE32-E72D297353CC}">
                    <c16:uniqueId val="{00000009-E73C-44B9-AE98-95EC15817418}"/>
                  </c:ext>
                </c:extLst>
              </c15:ser>
            </c15:filteredLineSeries>
          </c:ext>
        </c:extLst>
      </c:lineChart>
      <c:catAx>
        <c:axId val="2065229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2065226719"/>
        <c:crosses val="autoZero"/>
        <c:auto val="1"/>
        <c:lblAlgn val="ctr"/>
        <c:lblOffset val="100"/>
        <c:noMultiLvlLbl val="0"/>
      </c:catAx>
      <c:valAx>
        <c:axId val="2065226719"/>
        <c:scaling>
          <c:orientation val="minMax"/>
          <c:max val="3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r>
                  <a:rPr lang="en-US" sz="1200">
                    <a:latin typeface="Aptos" panose="020B0004020202020204" pitchFamily="34" charset="0"/>
                  </a:rPr>
                  <a:t>MMTCO2</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2065229119"/>
        <c:crosses val="autoZero"/>
        <c:crossBetween val="between"/>
      </c:valAx>
      <c:spPr>
        <a:noFill/>
        <a:ln>
          <a:noFill/>
        </a:ln>
        <a:effectLst/>
      </c:spPr>
    </c:plotArea>
    <c:legend>
      <c:legendPos val="r"/>
      <c:layout>
        <c:manualLayout>
          <c:xMode val="edge"/>
          <c:yMode val="edge"/>
          <c:x val="0.78794676845269795"/>
          <c:y val="9.5981438406601803E-3"/>
          <c:w val="0.20361991475671495"/>
          <c:h val="0.9854151812326861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r>
              <a:rPr lang="en-US" sz="1600" b="1" i="0" u="none" strike="noStrike" kern="1200" spc="0" baseline="0">
                <a:solidFill>
                  <a:sysClr val="windowText" lastClr="000000">
                    <a:lumMod val="65000"/>
                    <a:lumOff val="35000"/>
                  </a:sysClr>
                </a:solidFill>
                <a:latin typeface="Aptos" panose="020B0004020202020204" pitchFamily="34" charset="0"/>
              </a:rPr>
              <a:t>Transportation CO</a:t>
            </a:r>
            <a:r>
              <a:rPr lang="en-US" sz="1600" b="1" i="0" u="none" strike="noStrike" kern="1200" spc="0" baseline="-25000">
                <a:solidFill>
                  <a:sysClr val="windowText" lastClr="000000">
                    <a:lumMod val="65000"/>
                    <a:lumOff val="35000"/>
                  </a:sysClr>
                </a:solidFill>
                <a:latin typeface="Aptos" panose="020B0004020202020204" pitchFamily="34" charset="0"/>
              </a:rPr>
              <a:t>2</a:t>
            </a:r>
            <a:r>
              <a:rPr lang="en-US" sz="1600" b="1" i="0" u="none" strike="noStrike" kern="1200" spc="0" baseline="0">
                <a:solidFill>
                  <a:sysClr val="windowText" lastClr="000000">
                    <a:lumMod val="65000"/>
                    <a:lumOff val="35000"/>
                  </a:sysClr>
                </a:solidFill>
                <a:latin typeface="Aptos" panose="020B0004020202020204" pitchFamily="34" charset="0"/>
              </a:rPr>
              <a:t> Emissions (Minor Fuel Types)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0.11047089374051292"/>
          <c:y val="0.13265270776910623"/>
          <c:w val="0.69630469053821797"/>
          <c:h val="0.69763040809653987"/>
        </c:manualLayout>
      </c:layout>
      <c:lineChart>
        <c:grouping val="standard"/>
        <c:varyColors val="0"/>
        <c:ser>
          <c:idx val="8"/>
          <c:order val="0"/>
          <c:tx>
            <c:strRef>
              <c:f>'Combustion CO2'!$A$151</c:f>
              <c:strCache>
                <c:ptCount val="1"/>
                <c:pt idx="0">
                  <c:v>Lubricants</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CO2'!$B$151:$AI$151</c15:sqref>
                  </c15:fullRef>
                </c:ext>
              </c:extLst>
              <c:f>'Combustion CO2'!$C$151:$AI$151</c:f>
              <c:numCache>
                <c:formatCode>_(* #,##0.00_);_(* \(#,##0.00\);_(* "-"??_);_(@_)</c:formatCode>
                <c:ptCount val="33"/>
                <c:pt idx="0">
                  <c:v>0.17320677985908084</c:v>
                </c:pt>
                <c:pt idx="1">
                  <c:v>0.1765700183029465</c:v>
                </c:pt>
                <c:pt idx="2">
                  <c:v>0.17979872720905746</c:v>
                </c:pt>
                <c:pt idx="3">
                  <c:v>0.18793776424321237</c:v>
                </c:pt>
                <c:pt idx="4">
                  <c:v>0.18470905533710133</c:v>
                </c:pt>
                <c:pt idx="5">
                  <c:v>0.17926060905803903</c:v>
                </c:pt>
                <c:pt idx="6">
                  <c:v>0.18935032438963592</c:v>
                </c:pt>
                <c:pt idx="7">
                  <c:v>0.19822927388144126</c:v>
                </c:pt>
                <c:pt idx="8">
                  <c:v>0.20031448171663796</c:v>
                </c:pt>
                <c:pt idx="9">
                  <c:v>0.19728756711715884</c:v>
                </c:pt>
                <c:pt idx="10">
                  <c:v>0.18074043397333989</c:v>
                </c:pt>
                <c:pt idx="11">
                  <c:v>0.17865522613814319</c:v>
                </c:pt>
                <c:pt idx="12">
                  <c:v>0.16513500759380326</c:v>
                </c:pt>
                <c:pt idx="13">
                  <c:v>0.16728748019787731</c:v>
                </c:pt>
                <c:pt idx="14">
                  <c:v>0.16641303820247225</c:v>
                </c:pt>
                <c:pt idx="15">
                  <c:v>0.16217535776320149</c:v>
                </c:pt>
                <c:pt idx="16">
                  <c:v>0.1674220097356319</c:v>
                </c:pt>
                <c:pt idx="17">
                  <c:v>0.15544888087547021</c:v>
                </c:pt>
                <c:pt idx="18">
                  <c:v>0.1397761897270563</c:v>
                </c:pt>
                <c:pt idx="19">
                  <c:v>0.15982109085249557</c:v>
                </c:pt>
                <c:pt idx="20">
                  <c:v>0.15558341041322485</c:v>
                </c:pt>
                <c:pt idx="21">
                  <c:v>0.14132327941123449</c:v>
                </c:pt>
                <c:pt idx="22">
                  <c:v>0.16089732715453256</c:v>
                </c:pt>
                <c:pt idx="23" formatCode="_(* #,##0.000_);_(* \(#,##0.000\);_(* &quot;-&quot;??_);_(@_)">
                  <c:v>0.14778069722345655</c:v>
                </c:pt>
                <c:pt idx="24">
                  <c:v>0.16466415421166208</c:v>
                </c:pt>
                <c:pt idx="25">
                  <c:v>0.15625605810199794</c:v>
                </c:pt>
                <c:pt idx="26">
                  <c:v>0.13890174773165123</c:v>
                </c:pt>
                <c:pt idx="27">
                  <c:v>0.13439500821687125</c:v>
                </c:pt>
                <c:pt idx="28">
                  <c:v>0.12692861887148957</c:v>
                </c:pt>
                <c:pt idx="29">
                  <c:v>0.10479850991085357</c:v>
                </c:pt>
                <c:pt idx="30">
                  <c:v>0.11246669356286725</c:v>
                </c:pt>
                <c:pt idx="31">
                  <c:v>0.11919317045059855</c:v>
                </c:pt>
                <c:pt idx="32">
                  <c:v>9.6282976811833121E-2</c:v>
                </c:pt>
              </c:numCache>
            </c:numRef>
          </c:val>
          <c:smooth val="0"/>
          <c:extLst>
            <c:ext xmlns:c16="http://schemas.microsoft.com/office/drawing/2014/chart" uri="{C3380CC4-5D6E-409C-BE32-E72D297353CC}">
              <c16:uniqueId val="{00000000-279C-487D-BEAE-822937F51ED1}"/>
            </c:ext>
          </c:extLst>
        </c:ser>
        <c:ser>
          <c:idx val="6"/>
          <c:order val="1"/>
          <c:tx>
            <c:strRef>
              <c:f>'Combustion CO2'!$A$148</c:f>
              <c:strCache>
                <c:ptCount val="1"/>
                <c:pt idx="0">
                  <c:v>Residual Fuel</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CO2'!$B$148:$AI$148</c15:sqref>
                  </c15:fullRef>
                </c:ext>
              </c:extLst>
              <c:f>'Combustion CO2'!$C$148:$AI$148</c:f>
              <c:numCache>
                <c:formatCode>_(* #,##0.00_);_(* \(#,##0.00\);_(* "-"??_);_(@_)</c:formatCode>
                <c:ptCount val="33"/>
                <c:pt idx="0">
                  <c:v>6.1585965938213832E-2</c:v>
                </c:pt>
                <c:pt idx="1">
                  <c:v>9.6495853802575263E-2</c:v>
                </c:pt>
                <c:pt idx="2">
                  <c:v>8.1025606726777111E-2</c:v>
                </c:pt>
                <c:pt idx="3">
                  <c:v>7.9002317549601991E-2</c:v>
                </c:pt>
                <c:pt idx="4">
                  <c:v>5.4362466193265638E-2</c:v>
                </c:pt>
                <c:pt idx="5">
                  <c:v>0.36579875202169565</c:v>
                </c:pt>
                <c:pt idx="6">
                  <c:v>0.12387597310358811</c:v>
                </c:pt>
                <c:pt idx="7">
                  <c:v>6.5209070294800038E-3</c:v>
                </c:pt>
                <c:pt idx="8">
                  <c:v>4.008470504408816E-3</c:v>
                </c:pt>
                <c:pt idx="9">
                  <c:v>0.12764780712541798</c:v>
                </c:pt>
                <c:pt idx="10">
                  <c:v>3.6595699536087364E-2</c:v>
                </c:pt>
                <c:pt idx="11">
                  <c:v>5.1242470519291927E-2</c:v>
                </c:pt>
                <c:pt idx="12">
                  <c:v>6.0266650648790627E-4</c:v>
                </c:pt>
                <c:pt idx="13">
                  <c:v>2.8516693526735206E-4</c:v>
                </c:pt>
                <c:pt idx="14">
                  <c:v>0.12809616947653038</c:v>
                </c:pt>
                <c:pt idx="15">
                  <c:v>7.3376922269902348E-2</c:v>
                </c:pt>
                <c:pt idx="16">
                  <c:v>6.0552929532684471E-2</c:v>
                </c:pt>
                <c:pt idx="17">
                  <c:v>4.1800182721536489E-2</c:v>
                </c:pt>
                <c:pt idx="18">
                  <c:v>4.3697243660195256E-2</c:v>
                </c:pt>
                <c:pt idx="19">
                  <c:v>4.0789256924809517E-2</c:v>
                </c:pt>
                <c:pt idx="20">
                  <c:v>3.2662739022375292E-2</c:v>
                </c:pt>
                <c:pt idx="21">
                  <c:v>2.4262975604721772E-2</c:v>
                </c:pt>
                <c:pt idx="22">
                  <c:v>3.2099914731705412E-2</c:v>
                </c:pt>
                <c:pt idx="23" formatCode="_(* #,##0.000_);_(* \(#,##0.000\);_(* &quot;-&quot;??_);_(@_)">
                  <c:v>7.6787191247035119E-3</c:v>
                </c:pt>
                <c:pt idx="24">
                  <c:v>4.9615533286217622E-3</c:v>
                </c:pt>
                <c:pt idx="25">
                  <c:v>2.610919786271787E-2</c:v>
                </c:pt>
                <c:pt idx="26">
                  <c:v>5.1331748269194927E-2</c:v>
                </c:pt>
                <c:pt idx="27">
                  <c:v>1.6050177793555609E-2</c:v>
                </c:pt>
                <c:pt idx="28">
                  <c:v>3.6367389618220627E-2</c:v>
                </c:pt>
                <c:pt idx="29">
                  <c:v>1.4918477759929879E-3</c:v>
                </c:pt>
                <c:pt idx="30">
                  <c:v>9.8537356568704562E-2</c:v>
                </c:pt>
                <c:pt idx="31">
                  <c:v>0.10059389219002367</c:v>
                </c:pt>
                <c:pt idx="32">
                  <c:v>8.7558265046840666E-2</c:v>
                </c:pt>
              </c:numCache>
            </c:numRef>
          </c:val>
          <c:smooth val="0"/>
          <c:extLst>
            <c:ext xmlns:c16="http://schemas.microsoft.com/office/drawing/2014/chart" uri="{C3380CC4-5D6E-409C-BE32-E72D297353CC}">
              <c16:uniqueId val="{00000001-279C-487D-BEAE-822937F51ED1}"/>
            </c:ext>
          </c:extLst>
        </c:ser>
        <c:ser>
          <c:idx val="0"/>
          <c:order val="2"/>
          <c:tx>
            <c:strRef>
              <c:f>'Combustion CO2'!$A$142</c:f>
              <c:strCache>
                <c:ptCount val="1"/>
                <c:pt idx="0">
                  <c:v>Aviation Gasoline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CO2'!$B$142:$AI$142</c15:sqref>
                  </c15:fullRef>
                </c:ext>
              </c:extLst>
              <c:f>'Combustion CO2'!$C$142:$AI$142</c:f>
              <c:numCache>
                <c:formatCode>_(* #,##0.00_);_(* \(#,##0.00\);_(* "-"??_);_(@_)</c:formatCode>
                <c:ptCount val="33"/>
                <c:pt idx="0">
                  <c:v>1.5624701681138903E-2</c:v>
                </c:pt>
                <c:pt idx="1">
                  <c:v>1.5555565832992271E-2</c:v>
                </c:pt>
                <c:pt idx="2">
                  <c:v>2.9797550551198523E-2</c:v>
                </c:pt>
                <c:pt idx="3">
                  <c:v>2.544199211796069E-2</c:v>
                </c:pt>
                <c:pt idx="4">
                  <c:v>2.945187131046537E-2</c:v>
                </c:pt>
                <c:pt idx="5">
                  <c:v>3.1387675058571068E-2</c:v>
                </c:pt>
                <c:pt idx="6">
                  <c:v>3.0350637336371587E-2</c:v>
                </c:pt>
                <c:pt idx="7">
                  <c:v>3.0350637336371587E-2</c:v>
                </c:pt>
                <c:pt idx="8">
                  <c:v>3.3530886351116673E-2</c:v>
                </c:pt>
                <c:pt idx="9">
                  <c:v>4.0375335317633279E-2</c:v>
                </c:pt>
                <c:pt idx="10">
                  <c:v>2.7861746803092821E-2</c:v>
                </c:pt>
                <c:pt idx="11">
                  <c:v>2.6962980777186601E-2</c:v>
                </c:pt>
                <c:pt idx="12">
                  <c:v>2.8069154347532717E-2</c:v>
                </c:pt>
                <c:pt idx="13">
                  <c:v>3.3323478806676778E-2</c:v>
                </c:pt>
                <c:pt idx="14">
                  <c:v>4.0859286254659698E-2</c:v>
                </c:pt>
                <c:pt idx="15">
                  <c:v>1.7214826188511445E-2</c:v>
                </c:pt>
                <c:pt idx="16">
                  <c:v>3.0350637336371587E-2</c:v>
                </c:pt>
                <c:pt idx="17">
                  <c:v>1.7422233732951344E-2</c:v>
                </c:pt>
                <c:pt idx="18">
                  <c:v>3.387656559184983E-2</c:v>
                </c:pt>
                <c:pt idx="19">
                  <c:v>1.9565445025496946E-2</c:v>
                </c:pt>
                <c:pt idx="20">
                  <c:v>1.8320999758857561E-2</c:v>
                </c:pt>
                <c:pt idx="21">
                  <c:v>1.7491369581097971E-2</c:v>
                </c:pt>
                <c:pt idx="22">
                  <c:v>1.500247904781921E-2</c:v>
                </c:pt>
                <c:pt idx="23" formatCode="_(* #,##0.000_);_(* \(#,##0.000\);_(* &quot;-&quot;??_);_(@_)">
                  <c:v>2.5925943054987119E-2</c:v>
                </c:pt>
                <c:pt idx="24">
                  <c:v>2.4750633636494365E-2</c:v>
                </c:pt>
                <c:pt idx="25">
                  <c:v>2.4128411003174678E-2</c:v>
                </c:pt>
                <c:pt idx="26">
                  <c:v>2.3367916673561723E-2</c:v>
                </c:pt>
                <c:pt idx="27">
                  <c:v>2.6962980777186601E-2</c:v>
                </c:pt>
                <c:pt idx="28">
                  <c:v>2.6824709080893336E-2</c:v>
                </c:pt>
                <c:pt idx="29">
                  <c:v>2.198519971062908E-2</c:v>
                </c:pt>
                <c:pt idx="30">
                  <c:v>2.4819769484640999E-2</c:v>
                </c:pt>
                <c:pt idx="31">
                  <c:v>2.571853551054722E-2</c:v>
                </c:pt>
                <c:pt idx="32">
                  <c:v>2.4404954395761212E-2</c:v>
                </c:pt>
              </c:numCache>
            </c:numRef>
          </c:val>
          <c:smooth val="0"/>
          <c:extLst>
            <c:ext xmlns:c16="http://schemas.microsoft.com/office/drawing/2014/chart" uri="{C3380CC4-5D6E-409C-BE32-E72D297353CC}">
              <c16:uniqueId val="{00000002-279C-487D-BEAE-822937F51ED1}"/>
            </c:ext>
          </c:extLst>
        </c:ser>
        <c:ser>
          <c:idx val="4"/>
          <c:order val="4"/>
          <c:tx>
            <c:strRef>
              <c:f>'Combustion CO2'!$A$146</c:f>
              <c:strCache>
                <c:ptCount val="1"/>
                <c:pt idx="0">
                  <c:v>Hydrocarbon Gas Liquids</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CO2'!$B$146:$AI$146</c15:sqref>
                  </c15:fullRef>
                </c:ext>
              </c:extLst>
              <c:f>'Combustion CO2'!$C$146:$AI$146</c:f>
              <c:numCache>
                <c:formatCode>_(* #,##0.00_);_(* \(#,##0.00\);_(* "-"??_);_(@_)</c:formatCode>
                <c:ptCount val="33"/>
                <c:pt idx="0">
                  <c:v>1.6600434384995998E-2</c:v>
                </c:pt>
                <c:pt idx="1">
                  <c:v>1.5342825719465996E-2</c:v>
                </c:pt>
                <c:pt idx="2">
                  <c:v>1.4839782253253999E-2</c:v>
                </c:pt>
                <c:pt idx="3">
                  <c:v>2.1253586447456996E-2</c:v>
                </c:pt>
                <c:pt idx="4">
                  <c:v>1.2073043189087996E-2</c:v>
                </c:pt>
                <c:pt idx="5">
                  <c:v>1.0878314956834499E-2</c:v>
                </c:pt>
                <c:pt idx="6">
                  <c:v>1.1255597556493496E-2</c:v>
                </c:pt>
                <c:pt idx="7">
                  <c:v>1.0941195390110998E-2</c:v>
                </c:pt>
                <c:pt idx="8">
                  <c:v>3.7728259965899999E-2</c:v>
                </c:pt>
                <c:pt idx="9">
                  <c:v>1.3519293154447496E-2</c:v>
                </c:pt>
                <c:pt idx="10">
                  <c:v>9.9979888909635002E-3</c:v>
                </c:pt>
                <c:pt idx="11">
                  <c:v>9.3691845581985005E-3</c:v>
                </c:pt>
                <c:pt idx="12">
                  <c:v>9.4320649914749997E-3</c:v>
                </c:pt>
                <c:pt idx="13">
                  <c:v>7.7342932930094983E-3</c:v>
                </c:pt>
                <c:pt idx="14">
                  <c:v>9.6207062913044993E-3</c:v>
                </c:pt>
                <c:pt idx="15">
                  <c:v>8.2373367592214995E-3</c:v>
                </c:pt>
                <c:pt idx="16">
                  <c:v>7.1054889602444986E-3</c:v>
                </c:pt>
                <c:pt idx="17">
                  <c:v>1.3142010554788499E-2</c:v>
                </c:pt>
                <c:pt idx="18">
                  <c:v>6.0994020278205005E-3</c:v>
                </c:pt>
                <c:pt idx="19">
                  <c:v>2.4523368977834997E-3</c:v>
                </c:pt>
                <c:pt idx="20">
                  <c:v>2.5780977643364996E-3</c:v>
                </c:pt>
                <c:pt idx="21">
                  <c:v>2.5780977643364996E-3</c:v>
                </c:pt>
                <c:pt idx="22">
                  <c:v>2.9553803639954992E-3</c:v>
                </c:pt>
                <c:pt idx="23" formatCode="_(* #,##0.000_);_(* \(#,##0.000\);_(* &quot;-&quot;??_);_(@_)">
                  <c:v>3.9614672964194998E-3</c:v>
                </c:pt>
                <c:pt idx="24">
                  <c:v>6.0365215945439978E-3</c:v>
                </c:pt>
                <c:pt idx="25">
                  <c:v>7.9858150261154989E-3</c:v>
                </c:pt>
                <c:pt idx="26">
                  <c:v>1.3833695320829998E-2</c:v>
                </c:pt>
                <c:pt idx="27">
                  <c:v>3.3326629636544996E-3</c:v>
                </c:pt>
                <c:pt idx="28">
                  <c:v>2.7038586308894999E-3</c:v>
                </c:pt>
                <c:pt idx="29">
                  <c:v>6.2251628943734991E-3</c:v>
                </c:pt>
                <c:pt idx="30">
                  <c:v>4.9675542288434987E-3</c:v>
                </c:pt>
                <c:pt idx="31">
                  <c:v>4.2129890295254995E-3</c:v>
                </c:pt>
                <c:pt idx="32">
                  <c:v>4.4645107626314993E-3</c:v>
                </c:pt>
              </c:numCache>
            </c:numRef>
          </c:val>
          <c:smooth val="0"/>
          <c:extLst>
            <c:ext xmlns:c16="http://schemas.microsoft.com/office/drawing/2014/chart" uri="{C3380CC4-5D6E-409C-BE32-E72D297353CC}">
              <c16:uniqueId val="{00000003-279C-487D-BEAE-822937F51ED1}"/>
            </c:ext>
          </c:extLst>
        </c:ser>
        <c:ser>
          <c:idx val="7"/>
          <c:order val="5"/>
          <c:tx>
            <c:strRef>
              <c:f>'Combustion CO2'!$A$149</c:f>
              <c:strCache>
                <c:ptCount val="1"/>
                <c:pt idx="0">
                  <c:v>Natural Gas</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CO2'!$B$149:$AI$149</c15:sqref>
                  </c15:fullRef>
                </c:ext>
              </c:extLst>
              <c:f>'Combustion CO2'!$C$149:$AI$149</c:f>
              <c:numCache>
                <c:formatCode>_(* #,##0.00_);_(* \(#,##0.00\);_(* "-"??_);_(@_)</c:formatCode>
                <c:ptCount val="33"/>
                <c:pt idx="0">
                  <c:v>5.4588806964422069E-5</c:v>
                </c:pt>
                <c:pt idx="1">
                  <c:v>1.0917761392884414E-4</c:v>
                </c:pt>
                <c:pt idx="2">
                  <c:v>1.09253332631684E-4</c:v>
                </c:pt>
                <c:pt idx="3">
                  <c:v>4.9152619781934082E-4</c:v>
                </c:pt>
                <c:pt idx="4">
                  <c:v>6.5567202359502615E-4</c:v>
                </c:pt>
                <c:pt idx="5">
                  <c:v>2.7319667649792757E-4</c:v>
                </c:pt>
                <c:pt idx="6">
                  <c:v>3.8793928062705709E-3</c:v>
                </c:pt>
                <c:pt idx="7">
                  <c:v>3.984065238362298E-3</c:v>
                </c:pt>
                <c:pt idx="8">
                  <c:v>4.9710266347416212E-3</c:v>
                </c:pt>
                <c:pt idx="9">
                  <c:v>5.5198549293330283E-3</c:v>
                </c:pt>
                <c:pt idx="10">
                  <c:v>6.8267527474908454E-3</c:v>
                </c:pt>
                <c:pt idx="11">
                  <c:v>6.8877581849242937E-3</c:v>
                </c:pt>
                <c:pt idx="12">
                  <c:v>8.4105593849087244E-3</c:v>
                </c:pt>
                <c:pt idx="13">
                  <c:v>9.4526050068282959E-3</c:v>
                </c:pt>
                <c:pt idx="14">
                  <c:v>4.2162024968503464E-2</c:v>
                </c:pt>
                <c:pt idx="15">
                  <c:v>3.9049025715647639E-2</c:v>
                </c:pt>
                <c:pt idx="16">
                  <c:v>3.8238666421089397E-2</c:v>
                </c:pt>
                <c:pt idx="17">
                  <c:v>4.1407013067408231E-2</c:v>
                </c:pt>
                <c:pt idx="18">
                  <c:v>4.2027410303535635E-2</c:v>
                </c:pt>
                <c:pt idx="19">
                  <c:v>4.018795578253808E-2</c:v>
                </c:pt>
                <c:pt idx="20">
                  <c:v>4.1564596961506863E-2</c:v>
                </c:pt>
                <c:pt idx="21">
                  <c:v>4.1599872847042758E-2</c:v>
                </c:pt>
                <c:pt idx="22">
                  <c:v>3.8184039754773559E-2</c:v>
                </c:pt>
                <c:pt idx="23" formatCode="_(* #,##0.000_);_(* \(#,##0.000\);_(* &quot;-&quot;??_);_(@_)">
                  <c:v>3.9231292881024088E-2</c:v>
                </c:pt>
                <c:pt idx="24">
                  <c:v>4.4091568157977469E-2</c:v>
                </c:pt>
                <c:pt idx="25">
                  <c:v>1.972947796438547E-2</c:v>
                </c:pt>
                <c:pt idx="26">
                  <c:v>6.1600533035981583E-3</c:v>
                </c:pt>
                <c:pt idx="27">
                  <c:v>6.9232457482917356E-3</c:v>
                </c:pt>
                <c:pt idx="28">
                  <c:v>7.0835594153091644E-3</c:v>
                </c:pt>
                <c:pt idx="29">
                  <c:v>5.0686227919553841E-3</c:v>
                </c:pt>
                <c:pt idx="30">
                  <c:v>4.3601056274885025E-3</c:v>
                </c:pt>
                <c:pt idx="31">
                  <c:v>6.214567049647699E-3</c:v>
                </c:pt>
                <c:pt idx="32">
                  <c:v>8.6131718758275123E-3</c:v>
                </c:pt>
              </c:numCache>
            </c:numRef>
          </c:val>
          <c:smooth val="0"/>
          <c:extLst>
            <c:ext xmlns:c16="http://schemas.microsoft.com/office/drawing/2014/chart" uri="{C3380CC4-5D6E-409C-BE32-E72D297353CC}">
              <c16:uniqueId val="{00000004-279C-487D-BEAE-822937F51ED1}"/>
            </c:ext>
          </c:extLst>
        </c:ser>
        <c:dLbls>
          <c:showLegendKey val="0"/>
          <c:showVal val="0"/>
          <c:showCatName val="0"/>
          <c:showSerName val="0"/>
          <c:showPercent val="0"/>
          <c:showBubbleSize val="0"/>
        </c:dLbls>
        <c:marker val="1"/>
        <c:smooth val="0"/>
        <c:axId val="2065229119"/>
        <c:axId val="2065226719"/>
        <c:extLst>
          <c:ext xmlns:c15="http://schemas.microsoft.com/office/drawing/2012/chart" uri="{02D57815-91ED-43cb-92C2-25804820EDAC}">
            <c15:filteredLineSeries>
              <c15:ser>
                <c:idx val="3"/>
                <c:order val="3"/>
                <c:tx>
                  <c:strRef>
                    <c:extLst>
                      <c:ext uri="{02D57815-91ED-43cb-92C2-25804820EDAC}">
                        <c15:formulaRef>
                          <c15:sqref>'Combustion CO2'!$A$145</c15:sqref>
                        </c15:formulaRef>
                      </c:ext>
                    </c:extLst>
                    <c:strCache>
                      <c:ptCount val="1"/>
                      <c:pt idx="0">
                        <c:v>Jet Fuel, Naphtha (1990-1998)</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c:ext uri="{02D57815-91ED-43cb-92C2-25804820EDAC}">
                        <c15:fullRef>
                          <c15:sqref>'Combustion CO2'!$B$100:$AI$100</c15:sqref>
                        </c15:fullRef>
                        <c15:formulaRef>
                          <c15:sqref>'Combustion CO2'!$C$100:$AI$100</c15:sqref>
                        </c15:formulaRef>
                      </c:ext>
                    </c:extLst>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uri="{02D57815-91ED-43cb-92C2-25804820EDAC}">
                        <c15:fullRef>
                          <c15:sqref>'Combustion CO2'!$B$145:$AI$145</c15:sqref>
                        </c15:fullRef>
                        <c15:formulaRef>
                          <c15:sqref>'Combustion CO2'!$C$145:$AI$145</c15:sqref>
                        </c15:formulaRef>
                      </c:ext>
                    </c:extLst>
                    <c:numCache>
                      <c:formatCode>_(* #,##0.00_);_(* \(#,##0.00\);_(* "-"??_);_(@_)</c:formatCode>
                      <c:ptCount val="33"/>
                      <c:pt idx="0">
                        <c:v>0.54074836077790933</c:v>
                      </c:pt>
                      <c:pt idx="1">
                        <c:v>0.18816190284027892</c:v>
                      </c:pt>
                      <c:pt idx="2">
                        <c:v>0.15530593980586097</c:v>
                      </c:pt>
                      <c:pt idx="3">
                        <c:v>4.6823365822177096E-2</c:v>
                      </c:pt>
                      <c:pt idx="4">
                        <c:v>4.7040475710069729E-3</c:v>
                      </c:pt>
                      <c:pt idx="5">
                        <c:v>1.8092490657719126E-3</c:v>
                      </c:pt>
                      <c:pt idx="6">
                        <c:v>8.6843955157051792E-4</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formatCode="_(* #,##0.000_);_(* \(#,##0.000\);_(* &quot;-&quot;??_);_(@_)">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279C-487D-BEAE-822937F51ED1}"/>
                  </c:ext>
                </c:extLst>
              </c15:ser>
            </c15:filteredLineSeries>
          </c:ext>
        </c:extLst>
      </c:lineChart>
      <c:catAx>
        <c:axId val="2065229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2065226719"/>
        <c:crosses val="autoZero"/>
        <c:auto val="1"/>
        <c:lblAlgn val="ctr"/>
        <c:lblOffset val="100"/>
        <c:noMultiLvlLbl val="0"/>
      </c:catAx>
      <c:valAx>
        <c:axId val="2065226719"/>
        <c:scaling>
          <c:orientation val="minMax"/>
          <c:max val="0.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r>
                  <a:rPr lang="en-US" sz="1200">
                    <a:latin typeface="Aptos" panose="020B0004020202020204" pitchFamily="34" charset="0"/>
                  </a:rPr>
                  <a:t>MMTCO2</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title>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2065229119"/>
        <c:crosses val="autoZero"/>
        <c:crossBetween val="between"/>
      </c:valAx>
      <c:spPr>
        <a:noFill/>
        <a:ln>
          <a:noFill/>
        </a:ln>
        <a:effectLst/>
      </c:spPr>
    </c:plotArea>
    <c:legend>
      <c:legendPos val="r"/>
      <c:layout>
        <c:manualLayout>
          <c:xMode val="edge"/>
          <c:yMode val="edge"/>
          <c:x val="0.80677558427873097"/>
          <c:y val="0.15972096473365285"/>
          <c:w val="0.18047879702769495"/>
          <c:h val="0.65942090410197385"/>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r>
              <a:rPr lang="en-US" sz="1600" b="1">
                <a:latin typeface="Aptos" panose="020B0004020202020204" pitchFamily="34" charset="0"/>
              </a:rPr>
              <a:t>Residential </a:t>
            </a:r>
            <a:r>
              <a:rPr lang="en-US" sz="1600" b="1" i="0" u="none" strike="noStrike" kern="1200" spc="0" baseline="0">
                <a:solidFill>
                  <a:sysClr val="windowText" lastClr="000000">
                    <a:lumMod val="65000"/>
                    <a:lumOff val="35000"/>
                  </a:sysClr>
                </a:solidFill>
                <a:latin typeface="Aptos" panose="020B0004020202020204" pitchFamily="34" charset="0"/>
              </a:rPr>
              <a:t>CO</a:t>
            </a:r>
            <a:r>
              <a:rPr lang="en-US" sz="1600" b="1" i="0" u="none" strike="noStrike" kern="1200" spc="0" baseline="-25000">
                <a:solidFill>
                  <a:sysClr val="windowText" lastClr="000000">
                    <a:lumMod val="65000"/>
                    <a:lumOff val="35000"/>
                  </a:sysClr>
                </a:solidFill>
                <a:latin typeface="Aptos" panose="020B0004020202020204" pitchFamily="34" charset="0"/>
              </a:rPr>
              <a:t>2</a:t>
            </a:r>
            <a:r>
              <a:rPr lang="en-US" sz="1600" b="1" i="0" u="none" strike="noStrike" kern="1200" spc="0" baseline="0">
                <a:solidFill>
                  <a:sysClr val="windowText" lastClr="000000">
                    <a:lumMod val="65000"/>
                    <a:lumOff val="35000"/>
                  </a:sysClr>
                </a:solidFill>
                <a:latin typeface="Aptos" panose="020B0004020202020204" pitchFamily="34" charset="0"/>
              </a:rPr>
              <a:t> Emissions by Fuel Type </a:t>
            </a:r>
            <a:endParaRPr lang="en-US" sz="1600" b="1">
              <a:latin typeface="Aptos" panose="020B0004020202020204" pitchFamily="34" charset="0"/>
            </a:endParaRP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0.11211736754139087"/>
          <c:y val="0.11474611147285722"/>
          <c:w val="0.64663619393051508"/>
          <c:h val="0.7446702548813805"/>
        </c:manualLayout>
      </c:layout>
      <c:lineChart>
        <c:grouping val="standard"/>
        <c:varyColors val="0"/>
        <c:ser>
          <c:idx val="5"/>
          <c:order val="0"/>
          <c:tx>
            <c:strRef>
              <c:f>'Combustion CO2'!$A$101</c:f>
              <c:strCache>
                <c:ptCount val="1"/>
                <c:pt idx="0">
                  <c:v>Residential CO2 Total</c:v>
                </c:pt>
              </c:strCache>
            </c:strRef>
          </c:tx>
          <c:spPr>
            <a:ln w="28575" cap="rnd">
              <a:solidFill>
                <a:srgbClr val="002060"/>
              </a:solidFill>
              <a:round/>
            </a:ln>
            <a:effectLst/>
          </c:spPr>
          <c:marker>
            <c:symbol val="circle"/>
            <c:size val="5"/>
            <c:spPr>
              <a:solidFill>
                <a:srgbClr val="002060"/>
              </a:solidFill>
              <a:ln w="9525">
                <a:solidFill>
                  <a:srgbClr val="002060"/>
                </a:solidFill>
              </a:ln>
              <a:effectLst/>
            </c:spPr>
          </c:marker>
          <c:cat>
            <c:strLit>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'Combustion CO2'!$B$101:$AI$101</c15:sqref>
                  </c15:fullRef>
                </c:ext>
              </c:extLst>
              <c:f>'Combustion CO2'!$C$101:$AI$101</c:f>
              <c:numCache>
                <c:formatCode>0.00</c:formatCode>
                <c:ptCount val="33"/>
                <c:pt idx="0">
                  <c:v>14.295364882071031</c:v>
                </c:pt>
                <c:pt idx="1">
                  <c:v>16.396053585147094</c:v>
                </c:pt>
                <c:pt idx="2">
                  <c:v>16.518072434056428</c:v>
                </c:pt>
                <c:pt idx="3">
                  <c:v>16.3428113958593</c:v>
                </c:pt>
                <c:pt idx="4">
                  <c:v>14.751248409471906</c:v>
                </c:pt>
                <c:pt idx="5">
                  <c:v>14.548991126703285</c:v>
                </c:pt>
                <c:pt idx="6">
                  <c:v>14.378872297176235</c:v>
                </c:pt>
                <c:pt idx="7">
                  <c:v>13.187544748996457</c:v>
                </c:pt>
                <c:pt idx="8">
                  <c:v>14.010791823643139</c:v>
                </c:pt>
                <c:pt idx="9">
                  <c:v>15.683527402244092</c:v>
                </c:pt>
                <c:pt idx="10">
                  <c:v>16.028702298201722</c:v>
                </c:pt>
                <c:pt idx="11">
                  <c:v>15.947149742292991</c:v>
                </c:pt>
                <c:pt idx="12">
                  <c:v>16.423981121913869</c:v>
                </c:pt>
                <c:pt idx="13">
                  <c:v>15.023642667589684</c:v>
                </c:pt>
                <c:pt idx="14">
                  <c:v>14.927432156389226</c:v>
                </c:pt>
                <c:pt idx="15">
                  <c:v>12.839080399416046</c:v>
                </c:pt>
                <c:pt idx="16">
                  <c:v>13.515090275824232</c:v>
                </c:pt>
                <c:pt idx="17">
                  <c:v>14.388754011560863</c:v>
                </c:pt>
                <c:pt idx="18">
                  <c:v>13.844098792417579</c:v>
                </c:pt>
                <c:pt idx="19">
                  <c:v>13.58211312760811</c:v>
                </c:pt>
                <c:pt idx="20">
                  <c:v>13.600460828624321</c:v>
                </c:pt>
                <c:pt idx="21">
                  <c:v>11.771252865487984</c:v>
                </c:pt>
                <c:pt idx="22">
                  <c:v>12.275948634716979</c:v>
                </c:pt>
                <c:pt idx="23">
                  <c:v>13.597318047079337</c:v>
                </c:pt>
                <c:pt idx="24">
                  <c:v>13.519448387674942</c:v>
                </c:pt>
                <c:pt idx="25">
                  <c:v>11.310053467582465</c:v>
                </c:pt>
                <c:pt idx="26">
                  <c:v>12.297294972031565</c:v>
                </c:pt>
                <c:pt idx="27">
                  <c:v>13.287752133780446</c:v>
                </c:pt>
                <c:pt idx="28">
                  <c:v>13.607792464408146</c:v>
                </c:pt>
                <c:pt idx="29">
                  <c:v>12.105531353840195</c:v>
                </c:pt>
                <c:pt idx="30">
                  <c:v>12.481778897291681</c:v>
                </c:pt>
                <c:pt idx="31">
                  <c:v>12.880271418154674</c:v>
                </c:pt>
                <c:pt idx="32">
                  <c:v>11.712554814178027</c:v>
                </c:pt>
              </c:numCache>
            </c:numRef>
          </c:val>
          <c:smooth val="0"/>
          <c:extLst>
            <c:ext xmlns:c16="http://schemas.microsoft.com/office/drawing/2014/chart" uri="{C3380CC4-5D6E-409C-BE32-E72D297353CC}">
              <c16:uniqueId val="{00000000-E796-4D3E-B499-BD94FD4134F9}"/>
            </c:ext>
          </c:extLst>
        </c:ser>
        <c:ser>
          <c:idx val="4"/>
          <c:order val="1"/>
          <c:tx>
            <c:strRef>
              <c:f>'Combustion CO2'!$A$106</c:f>
              <c:strCache>
                <c:ptCount val="1"/>
                <c:pt idx="0">
                  <c:v>Natural Gas</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CO2'!$B$106:$AI$106</c15:sqref>
                  </c15:fullRef>
                </c:ext>
              </c:extLst>
              <c:f>'Combustion CO2'!$C$106:$AI$106</c:f>
              <c:numCache>
                <c:formatCode>_(* #,##0.00_);_(* \(#,##0.00\);_(* "-"??_);_(@_)</c:formatCode>
                <c:ptCount val="33"/>
                <c:pt idx="0">
                  <c:v>5.6727310227542871</c:v>
                </c:pt>
                <c:pt idx="1">
                  <c:v>6.5912539484828301</c:v>
                </c:pt>
                <c:pt idx="2">
                  <c:v>6.6902816269364269</c:v>
                </c:pt>
                <c:pt idx="3">
                  <c:v>6.4974248926196569</c:v>
                </c:pt>
                <c:pt idx="4">
                  <c:v>5.7571823120324437</c:v>
                </c:pt>
                <c:pt idx="5">
                  <c:v>6.2245342964881214</c:v>
                </c:pt>
                <c:pt idx="6">
                  <c:v>6.0732416903964541</c:v>
                </c:pt>
                <c:pt idx="7">
                  <c:v>5.490316369243069</c:v>
                </c:pt>
                <c:pt idx="8">
                  <c:v>5.9438586155488924</c:v>
                </c:pt>
                <c:pt idx="9">
                  <c:v>6.3219132501231661</c:v>
                </c:pt>
                <c:pt idx="10">
                  <c:v>5.9107218312527738</c:v>
                </c:pt>
                <c:pt idx="11">
                  <c:v>6.0025607834267412</c:v>
                </c:pt>
                <c:pt idx="12">
                  <c:v>6.8622783734389534</c:v>
                </c:pt>
                <c:pt idx="13">
                  <c:v>6.152495250530027</c:v>
                </c:pt>
                <c:pt idx="14">
                  <c:v>6.3816749800155987</c:v>
                </c:pt>
                <c:pt idx="15">
                  <c:v>5.5618283704489695</c:v>
                </c:pt>
                <c:pt idx="16">
                  <c:v>6.2050059018976373</c:v>
                </c:pt>
                <c:pt idx="17">
                  <c:v>7.1352502972178993</c:v>
                </c:pt>
                <c:pt idx="18">
                  <c:v>7.2667035689898762</c:v>
                </c:pt>
                <c:pt idx="19">
                  <c:v>6.8910625665977587</c:v>
                </c:pt>
                <c:pt idx="20">
                  <c:v>7.058335466641581</c:v>
                </c:pt>
                <c:pt idx="21">
                  <c:v>6.3273118416294825</c:v>
                </c:pt>
                <c:pt idx="22">
                  <c:v>6.4006011886673706</c:v>
                </c:pt>
                <c:pt idx="23">
                  <c:v>6.8833418894657168</c:v>
                </c:pt>
                <c:pt idx="24">
                  <c:v>6.8985443079193987</c:v>
                </c:pt>
                <c:pt idx="25">
                  <c:v>6.1099154939377405</c:v>
                </c:pt>
                <c:pt idx="26">
                  <c:v>6.6052665383250915</c:v>
                </c:pt>
                <c:pt idx="27">
                  <c:v>7.1070047058490236</c:v>
                </c:pt>
                <c:pt idx="28">
                  <c:v>7.371610057701683</c:v>
                </c:pt>
                <c:pt idx="29">
                  <c:v>6.5567734068520656</c:v>
                </c:pt>
                <c:pt idx="30">
                  <c:v>6.694190813582499</c:v>
                </c:pt>
                <c:pt idx="31">
                  <c:v>7.1712039038665898</c:v>
                </c:pt>
                <c:pt idx="32">
                  <c:v>5.9851859085033192</c:v>
                </c:pt>
              </c:numCache>
            </c:numRef>
          </c:val>
          <c:smooth val="0"/>
          <c:extLst>
            <c:ext xmlns:c16="http://schemas.microsoft.com/office/drawing/2014/chart" uri="{C3380CC4-5D6E-409C-BE32-E72D297353CC}">
              <c16:uniqueId val="{00000001-E796-4D3E-B499-BD94FD4134F9}"/>
            </c:ext>
          </c:extLst>
        </c:ser>
        <c:ser>
          <c:idx val="1"/>
          <c:order val="2"/>
          <c:tx>
            <c:strRef>
              <c:f>'Combustion CO2'!$A$103</c:f>
              <c:strCache>
                <c:ptCount val="1"/>
                <c:pt idx="0">
                  <c:v>Distillate Fuel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CO2'!$B$103:$AI$103</c15:sqref>
                  </c15:fullRef>
                </c:ext>
              </c:extLst>
              <c:f>'Combustion CO2'!$C$103:$AI$103</c:f>
              <c:numCache>
                <c:formatCode>_(* #,##0.00_);_(* \(#,##0.00\);_(* "-"??_);_(@_)</c:formatCode>
                <c:ptCount val="33"/>
                <c:pt idx="0">
                  <c:v>8.2991671049315485</c:v>
                </c:pt>
                <c:pt idx="1">
                  <c:v>9.4247524614953342</c:v>
                </c:pt>
                <c:pt idx="2">
                  <c:v>9.4329630138104132</c:v>
                </c:pt>
                <c:pt idx="3">
                  <c:v>9.4649915647332072</c:v>
                </c:pt>
                <c:pt idx="4">
                  <c:v>8.6375010354646857</c:v>
                </c:pt>
                <c:pt idx="5">
                  <c:v>7.9046907491088074</c:v>
                </c:pt>
                <c:pt idx="6">
                  <c:v>7.8918941225276473</c:v>
                </c:pt>
                <c:pt idx="7">
                  <c:v>7.3082791876989504</c:v>
                </c:pt>
                <c:pt idx="8">
                  <c:v>7.6723543092739614</c:v>
                </c:pt>
                <c:pt idx="9">
                  <c:v>8.8958454972813215</c:v>
                </c:pt>
                <c:pt idx="10">
                  <c:v>9.6853388019566644</c:v>
                </c:pt>
                <c:pt idx="11">
                  <c:v>9.5864813859571676</c:v>
                </c:pt>
                <c:pt idx="12">
                  <c:v>9.047729951657745</c:v>
                </c:pt>
                <c:pt idx="13">
                  <c:v>8.4109995971210072</c:v>
                </c:pt>
                <c:pt idx="14">
                  <c:v>8.0033531210794511</c:v>
                </c:pt>
                <c:pt idx="15">
                  <c:v>6.7558650997916931</c:v>
                </c:pt>
                <c:pt idx="16">
                  <c:v>6.8042109714579002</c:v>
                </c:pt>
                <c:pt idx="17">
                  <c:v>6.7637008749228187</c:v>
                </c:pt>
                <c:pt idx="18">
                  <c:v>6.102748094674828</c:v>
                </c:pt>
                <c:pt idx="19">
                  <c:v>6.242562648050189</c:v>
                </c:pt>
                <c:pt idx="20">
                  <c:v>6.0361087360415002</c:v>
                </c:pt>
                <c:pt idx="21">
                  <c:v>5.0559635879423057</c:v>
                </c:pt>
                <c:pt idx="22">
                  <c:v>5.4126793317645507</c:v>
                </c:pt>
                <c:pt idx="23">
                  <c:v>6.1810174646549756</c:v>
                </c:pt>
                <c:pt idx="24">
                  <c:v>6.1245135129384449</c:v>
                </c:pt>
                <c:pt idx="25">
                  <c:v>4.7036602528003799</c:v>
                </c:pt>
                <c:pt idx="26">
                  <c:v>5.1653537716440745</c:v>
                </c:pt>
                <c:pt idx="27">
                  <c:v>5.622631593681084</c:v>
                </c:pt>
                <c:pt idx="28">
                  <c:v>5.5677913021508978</c:v>
                </c:pt>
                <c:pt idx="29">
                  <c:v>4.9853828993024534</c:v>
                </c:pt>
                <c:pt idx="30">
                  <c:v>5.2636707954467061</c:v>
                </c:pt>
                <c:pt idx="31">
                  <c:v>5.1966844855582472</c:v>
                </c:pt>
                <c:pt idx="32">
                  <c:v>5.222745014529794</c:v>
                </c:pt>
              </c:numCache>
            </c:numRef>
          </c:val>
          <c:smooth val="0"/>
          <c:extLst>
            <c:ext xmlns:c16="http://schemas.microsoft.com/office/drawing/2014/chart" uri="{C3380CC4-5D6E-409C-BE32-E72D297353CC}">
              <c16:uniqueId val="{00000002-E796-4D3E-B499-BD94FD4134F9}"/>
            </c:ext>
          </c:extLst>
        </c:ser>
        <c:ser>
          <c:idx val="3"/>
          <c:order val="3"/>
          <c:tx>
            <c:strRef>
              <c:f>'Combustion CO2'!$A$105</c:f>
              <c:strCache>
                <c:ptCount val="1"/>
                <c:pt idx="0">
                  <c:v>Hydrocarbon Gas Liquids</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CO2'!$B$105:$AI$105</c15:sqref>
                  </c15:fullRef>
                </c:ext>
              </c:extLst>
              <c:f>'Combustion CO2'!$C$105:$AI$105</c:f>
              <c:numCache>
                <c:formatCode>_(* #,##0.00_);_(* \(#,##0.00\);_(* "-"??_);_(@_)</c:formatCode>
                <c:ptCount val="33"/>
                <c:pt idx="0">
                  <c:v>0.2493209179413225</c:v>
                </c:pt>
                <c:pt idx="1">
                  <c:v>0.24730874407647446</c:v>
                </c:pt>
                <c:pt idx="2">
                  <c:v>0.27258667825362748</c:v>
                </c:pt>
                <c:pt idx="3">
                  <c:v>0.28183010194527297</c:v>
                </c:pt>
                <c:pt idx="4">
                  <c:v>0.29428042773402002</c:v>
                </c:pt>
                <c:pt idx="5">
                  <c:v>0.34892352425129847</c:v>
                </c:pt>
                <c:pt idx="6">
                  <c:v>0.32754417693728843</c:v>
                </c:pt>
                <c:pt idx="7">
                  <c:v>0.29987678629562847</c:v>
                </c:pt>
                <c:pt idx="8">
                  <c:v>0.30880580782089145</c:v>
                </c:pt>
                <c:pt idx="9">
                  <c:v>0.38206151258801396</c:v>
                </c:pt>
                <c:pt idx="10">
                  <c:v>0.34665982865334449</c:v>
                </c:pt>
                <c:pt idx="11">
                  <c:v>0.28057249327974298</c:v>
                </c:pt>
                <c:pt idx="12">
                  <c:v>0.39696417527454442</c:v>
                </c:pt>
                <c:pt idx="13">
                  <c:v>0.33603303542961593</c:v>
                </c:pt>
                <c:pt idx="14">
                  <c:v>0.41004330539605649</c:v>
                </c:pt>
                <c:pt idx="15">
                  <c:v>0.4190980877878725</c:v>
                </c:pt>
                <c:pt idx="16">
                  <c:v>0.43330906570836142</c:v>
                </c:pt>
                <c:pt idx="17">
                  <c:v>0.4637431954141874</c:v>
                </c:pt>
                <c:pt idx="18">
                  <c:v>0.43343482657491439</c:v>
                </c:pt>
                <c:pt idx="19">
                  <c:v>0.40683640329895493</c:v>
                </c:pt>
                <c:pt idx="20">
                  <c:v>0.48046939066573641</c:v>
                </c:pt>
                <c:pt idx="21">
                  <c:v>0.37589923012691689</c:v>
                </c:pt>
                <c:pt idx="22">
                  <c:v>0.45022390225973991</c:v>
                </c:pt>
                <c:pt idx="23">
                  <c:v>0.51121792253794496</c:v>
                </c:pt>
                <c:pt idx="24">
                  <c:v>0.47801705376795289</c:v>
                </c:pt>
                <c:pt idx="25">
                  <c:v>0.4748101516708515</c:v>
                </c:pt>
                <c:pt idx="26">
                  <c:v>0.51159520513760393</c:v>
                </c:pt>
                <c:pt idx="27">
                  <c:v>0.54347558480878932</c:v>
                </c:pt>
                <c:pt idx="28">
                  <c:v>0.65074960397849846</c:v>
                </c:pt>
                <c:pt idx="29">
                  <c:v>0.54309830220913047</c:v>
                </c:pt>
                <c:pt idx="30">
                  <c:v>0.50832542260722602</c:v>
                </c:pt>
                <c:pt idx="31">
                  <c:v>0.49876759674919796</c:v>
                </c:pt>
                <c:pt idx="32">
                  <c:v>0.47958906459986539</c:v>
                </c:pt>
              </c:numCache>
            </c:numRef>
          </c:val>
          <c:smooth val="0"/>
          <c:extLst>
            <c:ext xmlns:c16="http://schemas.microsoft.com/office/drawing/2014/chart" uri="{C3380CC4-5D6E-409C-BE32-E72D297353CC}">
              <c16:uniqueId val="{00000003-E796-4D3E-B499-BD94FD4134F9}"/>
            </c:ext>
          </c:extLst>
        </c:ser>
        <c:ser>
          <c:idx val="2"/>
          <c:order val="4"/>
          <c:tx>
            <c:strRef>
              <c:f>'Combustion CO2'!$A$104</c:f>
              <c:strCache>
                <c:ptCount val="1"/>
                <c:pt idx="0">
                  <c:v>Kerosene</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CO2'!$B$104:$AI$104</c15:sqref>
                  </c15:fullRef>
                </c:ext>
              </c:extLst>
              <c:f>'Combustion CO2'!$C$104:$AI$104</c:f>
              <c:numCache>
                <c:formatCode>_(* #,##0.00_);_(* \(#,##0.00\);_(* "-"??_);_(@_)</c:formatCode>
                <c:ptCount val="33"/>
                <c:pt idx="0">
                  <c:v>6.2587066362622748E-2</c:v>
                </c:pt>
                <c:pt idx="1">
                  <c:v>0.10767903464259422</c:v>
                </c:pt>
                <c:pt idx="2">
                  <c:v>0.10372616729337596</c:v>
                </c:pt>
                <c:pt idx="3">
                  <c:v>9.0623144043189413E-2</c:v>
                </c:pt>
                <c:pt idx="4">
                  <c:v>5.3949319192108727E-2</c:v>
                </c:pt>
                <c:pt idx="5">
                  <c:v>6.1489047654506544E-2</c:v>
                </c:pt>
                <c:pt idx="6">
                  <c:v>7.8691340748326843E-2</c:v>
                </c:pt>
                <c:pt idx="7">
                  <c:v>8.1619390636636688E-2</c:v>
                </c:pt>
                <c:pt idx="8">
                  <c:v>7.4152863421446599E-2</c:v>
                </c:pt>
                <c:pt idx="9">
                  <c:v>7.9130548231573325E-2</c:v>
                </c:pt>
                <c:pt idx="10">
                  <c:v>8.1692591883844423E-2</c:v>
                </c:pt>
                <c:pt idx="11">
                  <c:v>5.2778099236784795E-2</c:v>
                </c:pt>
                <c:pt idx="12">
                  <c:v>0.10116412364110483</c:v>
                </c:pt>
                <c:pt idx="13">
                  <c:v>0.11595077557706951</c:v>
                </c:pt>
                <c:pt idx="14">
                  <c:v>0.12414931526433703</c:v>
                </c:pt>
                <c:pt idx="15">
                  <c:v>9.8821683730456952E-2</c:v>
                </c:pt>
                <c:pt idx="16">
                  <c:v>6.7052342442295243E-2</c:v>
                </c:pt>
                <c:pt idx="17">
                  <c:v>2.605964400595754E-2</c:v>
                </c:pt>
                <c:pt idx="18">
                  <c:v>4.1212302177960937E-2</c:v>
                </c:pt>
                <c:pt idx="19">
                  <c:v>4.1651509661207418E-2</c:v>
                </c:pt>
                <c:pt idx="20">
                  <c:v>2.554723527550332E-2</c:v>
                </c:pt>
                <c:pt idx="21">
                  <c:v>1.2078205789278073E-2</c:v>
                </c:pt>
                <c:pt idx="22">
                  <c:v>1.2444212025316804E-2</c:v>
                </c:pt>
                <c:pt idx="23">
                  <c:v>2.1740770420700533E-2</c:v>
                </c:pt>
                <c:pt idx="24">
                  <c:v>1.8373513049144224E-2</c:v>
                </c:pt>
                <c:pt idx="25">
                  <c:v>2.1667569173492787E-2</c:v>
                </c:pt>
                <c:pt idx="26">
                  <c:v>1.5079456924795655E-2</c:v>
                </c:pt>
                <c:pt idx="27">
                  <c:v>1.4640249441549178E-2</c:v>
                </c:pt>
                <c:pt idx="28">
                  <c:v>1.7641500577066763E-2</c:v>
                </c:pt>
                <c:pt idx="29">
                  <c:v>2.0276745476545611E-2</c:v>
                </c:pt>
                <c:pt idx="30">
                  <c:v>1.5591865655249877E-2</c:v>
                </c:pt>
                <c:pt idx="31">
                  <c:v>1.3615431980640738E-2</c:v>
                </c:pt>
                <c:pt idx="32">
                  <c:v>2.5034826545049099E-2</c:v>
                </c:pt>
              </c:numCache>
            </c:numRef>
          </c:val>
          <c:smooth val="0"/>
          <c:extLst>
            <c:ext xmlns:c16="http://schemas.microsoft.com/office/drawing/2014/chart" uri="{C3380CC4-5D6E-409C-BE32-E72D297353CC}">
              <c16:uniqueId val="{00000004-E796-4D3E-B499-BD94FD4134F9}"/>
            </c:ext>
          </c:extLst>
        </c:ser>
        <c:ser>
          <c:idx val="0"/>
          <c:order val="5"/>
          <c:tx>
            <c:strRef>
              <c:f>'Combustion CO2'!$A$102</c:f>
              <c:strCache>
                <c:ptCount val="1"/>
                <c:pt idx="0">
                  <c:v>Coal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CO2'!$B$102:$AI$102</c15:sqref>
                  </c15:fullRef>
                </c:ext>
              </c:extLst>
              <c:f>'Combustion CO2'!$C$102:$AI$102</c:f>
              <c:numCache>
                <c:formatCode>_(* #,##0.00_);_(* \(#,##0.00\);_(* "-"??_);_(@_)</c:formatCode>
                <c:ptCount val="33"/>
                <c:pt idx="0">
                  <c:v>1.1558770081251947E-2</c:v>
                </c:pt>
                <c:pt idx="1">
                  <c:v>2.5059396449863026E-2</c:v>
                </c:pt>
                <c:pt idx="2">
                  <c:v>1.8514947762586775E-2</c:v>
                </c:pt>
                <c:pt idx="3">
                  <c:v>7.9416925179722382E-3</c:v>
                </c:pt>
                <c:pt idx="4">
                  <c:v>8.3353150486474466E-3</c:v>
                </c:pt>
                <c:pt idx="5">
                  <c:v>9.3535092005508254E-3</c:v>
                </c:pt>
                <c:pt idx="6">
                  <c:v>7.5009665665182745E-3</c:v>
                </c:pt>
                <c:pt idx="7">
                  <c:v>7.4530151221721694E-3</c:v>
                </c:pt>
                <c:pt idx="8">
                  <c:v>1.1620227577947674E-2</c:v>
                </c:pt>
                <c:pt idx="9">
                  <c:v>4.5765940200198259E-3</c:v>
                </c:pt>
                <c:pt idx="10">
                  <c:v>4.2892444550980255E-3</c:v>
                </c:pt>
                <c:pt idx="11">
                  <c:v>2.4756980392554646E-2</c:v>
                </c:pt>
                <c:pt idx="12">
                  <c:v>1.5844497901523053E-2</c:v>
                </c:pt>
                <c:pt idx="13">
                  <c:v>8.1640089319647106E-3</c:v>
                </c:pt>
                <c:pt idx="14">
                  <c:v>8.2114346337846898E-3</c:v>
                </c:pt>
                <c:pt idx="15">
                  <c:v>3.4671576570533048E-3</c:v>
                </c:pt>
                <c:pt idx="16">
                  <c:v>5.51199431803737E-3</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E796-4D3E-B499-BD94FD4134F9}"/>
            </c:ext>
          </c:extLst>
        </c:ser>
        <c:dLbls>
          <c:showLegendKey val="0"/>
          <c:showVal val="0"/>
          <c:showCatName val="0"/>
          <c:showSerName val="0"/>
          <c:showPercent val="0"/>
          <c:showBubbleSize val="0"/>
        </c:dLbls>
        <c:marker val="1"/>
        <c:smooth val="0"/>
        <c:axId val="2065229119"/>
        <c:axId val="2065226719"/>
      </c:lineChart>
      <c:catAx>
        <c:axId val="2065229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2065226719"/>
        <c:crosses val="autoZero"/>
        <c:auto val="1"/>
        <c:lblAlgn val="ctr"/>
        <c:lblOffset val="100"/>
        <c:noMultiLvlLbl val="0"/>
      </c:catAx>
      <c:valAx>
        <c:axId val="2065226719"/>
        <c:scaling>
          <c:orientation val="minMax"/>
          <c:max val="17"/>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r>
                  <a:rPr lang="en-US" sz="1200">
                    <a:latin typeface="Aptos" panose="020B0004020202020204" pitchFamily="34" charset="0"/>
                  </a:rPr>
                  <a:t>MMTCO2</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2065229119"/>
        <c:crosses val="autoZero"/>
        <c:crossBetween val="between"/>
        <c:majorUnit val="1"/>
      </c:valAx>
      <c:spPr>
        <a:noFill/>
        <a:ln>
          <a:noFill/>
        </a:ln>
        <a:effectLst/>
      </c:spPr>
    </c:plotArea>
    <c:legend>
      <c:legendPos val="r"/>
      <c:layout>
        <c:manualLayout>
          <c:xMode val="edge"/>
          <c:yMode val="edge"/>
          <c:x val="0.76330711789132366"/>
          <c:y val="0.24762989914961647"/>
          <c:w val="0.22303235455937423"/>
          <c:h val="0.56685719320861561"/>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r>
              <a:rPr lang="en-US" sz="1600" b="1" i="0" u="none" strike="noStrike" kern="1200" spc="0" baseline="0">
                <a:solidFill>
                  <a:sysClr val="windowText" lastClr="000000">
                    <a:lumMod val="65000"/>
                    <a:lumOff val="35000"/>
                  </a:sysClr>
                </a:solidFill>
                <a:latin typeface="Aptos" panose="020B0004020202020204" pitchFamily="34" charset="0"/>
              </a:rPr>
              <a:t>Commercial CO</a:t>
            </a:r>
            <a:r>
              <a:rPr lang="en-US" sz="1600" b="1" i="0" u="none" strike="noStrike" kern="1200" spc="0" baseline="-25000">
                <a:solidFill>
                  <a:sysClr val="windowText" lastClr="000000">
                    <a:lumMod val="65000"/>
                    <a:lumOff val="35000"/>
                  </a:sysClr>
                </a:solidFill>
                <a:latin typeface="Aptos" panose="020B0004020202020204" pitchFamily="34" charset="0"/>
              </a:rPr>
              <a:t>2</a:t>
            </a:r>
            <a:r>
              <a:rPr lang="en-US" sz="1600" b="1" i="0" u="none" strike="noStrike" kern="1200" spc="0" baseline="0">
                <a:solidFill>
                  <a:sysClr val="windowText" lastClr="000000">
                    <a:lumMod val="65000"/>
                    <a:lumOff val="35000"/>
                  </a:sysClr>
                </a:solidFill>
                <a:latin typeface="Aptos" panose="020B0004020202020204" pitchFamily="34" charset="0"/>
              </a:rPr>
              <a:t> Emissions by Fuel Type </a:t>
            </a:r>
            <a:endParaRPr lang="en-US" sz="1600" b="1">
              <a:latin typeface="Aptos" panose="020B0004020202020204" pitchFamily="34" charset="0"/>
            </a:endParaRP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8.145749788018998E-2"/>
          <c:y val="8.4631405482536434E-2"/>
          <c:w val="0.66440298028534095"/>
          <c:h val="0.75519124053283815"/>
        </c:manualLayout>
      </c:layout>
      <c:lineChart>
        <c:grouping val="standard"/>
        <c:varyColors val="0"/>
        <c:ser>
          <c:idx val="0"/>
          <c:order val="0"/>
          <c:tx>
            <c:strRef>
              <c:f>'Combustion CO2'!$A$108</c:f>
              <c:strCache>
                <c:ptCount val="1"/>
                <c:pt idx="0">
                  <c:v>Commercial CO2 Total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CO2'!$B$108:$AI$108</c15:sqref>
                  </c15:fullRef>
                </c:ext>
              </c:extLst>
              <c:f>'Combustion CO2'!$C$108:$AI$108</c:f>
              <c:numCache>
                <c:formatCode>0.00</c:formatCode>
                <c:ptCount val="33"/>
                <c:pt idx="0">
                  <c:v>9.1714074410264743</c:v>
                </c:pt>
                <c:pt idx="1">
                  <c:v>8.9309955359805997</c:v>
                </c:pt>
                <c:pt idx="2">
                  <c:v>7.9899165283760167</c:v>
                </c:pt>
                <c:pt idx="3">
                  <c:v>8.8622762327746258</c:v>
                </c:pt>
                <c:pt idx="4">
                  <c:v>8.9583234115736357</c:v>
                </c:pt>
                <c:pt idx="5">
                  <c:v>9.0613426494264466</c:v>
                </c:pt>
                <c:pt idx="6">
                  <c:v>9.4523565880490032</c:v>
                </c:pt>
                <c:pt idx="7">
                  <c:v>8.0754548915353475</c:v>
                </c:pt>
                <c:pt idx="8">
                  <c:v>6.195992559435517</c:v>
                </c:pt>
                <c:pt idx="9">
                  <c:v>6.7932535616058303</c:v>
                </c:pt>
                <c:pt idx="10">
                  <c:v>5.7670060508675824</c:v>
                </c:pt>
                <c:pt idx="11">
                  <c:v>5.8880337932122524</c:v>
                </c:pt>
                <c:pt idx="12">
                  <c:v>7.1132084080597142</c:v>
                </c:pt>
                <c:pt idx="13">
                  <c:v>6.5373600288097862</c:v>
                </c:pt>
                <c:pt idx="14">
                  <c:v>6.6865712143985894</c:v>
                </c:pt>
                <c:pt idx="15">
                  <c:v>5.0160944446169093</c:v>
                </c:pt>
                <c:pt idx="16">
                  <c:v>5.3484329327599989</c:v>
                </c:pt>
                <c:pt idx="17">
                  <c:v>5.5954704389832894</c:v>
                </c:pt>
                <c:pt idx="18">
                  <c:v>5.7930992378099821</c:v>
                </c:pt>
                <c:pt idx="19">
                  <c:v>6.7205520029870884</c:v>
                </c:pt>
                <c:pt idx="20">
                  <c:v>6.3331977627934162</c:v>
                </c:pt>
                <c:pt idx="21">
                  <c:v>5.238030122354929</c:v>
                </c:pt>
                <c:pt idx="22">
                  <c:v>6.7631182630681863</c:v>
                </c:pt>
                <c:pt idx="23">
                  <c:v>7.1468891863233202</c:v>
                </c:pt>
                <c:pt idx="24">
                  <c:v>7.5477779593100482</c:v>
                </c:pt>
                <c:pt idx="25">
                  <c:v>6.9658066582217053</c:v>
                </c:pt>
                <c:pt idx="26">
                  <c:v>7.3094808835971969</c:v>
                </c:pt>
                <c:pt idx="27">
                  <c:v>7.8497504734391494</c:v>
                </c:pt>
                <c:pt idx="28">
                  <c:v>8.0270134847250123</c:v>
                </c:pt>
                <c:pt idx="29">
                  <c:v>7.2217716233752993</c:v>
                </c:pt>
                <c:pt idx="30">
                  <c:v>7.3504067174673029</c:v>
                </c:pt>
                <c:pt idx="31">
                  <c:v>8.0934423507441764</c:v>
                </c:pt>
                <c:pt idx="32">
                  <c:v>7.5112031192163426</c:v>
                </c:pt>
              </c:numCache>
            </c:numRef>
          </c:val>
          <c:smooth val="0"/>
          <c:extLst>
            <c:ext xmlns:c16="http://schemas.microsoft.com/office/drawing/2014/chart" uri="{C3380CC4-5D6E-409C-BE32-E72D297353CC}">
              <c16:uniqueId val="{00000000-2476-4289-92F0-FC46B01A6CD3}"/>
            </c:ext>
          </c:extLst>
        </c:ser>
        <c:ser>
          <c:idx val="7"/>
          <c:order val="1"/>
          <c:tx>
            <c:strRef>
              <c:f>'Combustion CO2'!$A$115</c:f>
              <c:strCache>
                <c:ptCount val="1"/>
                <c:pt idx="0">
                  <c:v>Natural Gas</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CO2'!$B$115:$AI$115</c15:sqref>
                  </c15:fullRef>
                </c:ext>
              </c:extLst>
              <c:f>'Combustion CO2'!$C$115:$AI$115</c:f>
              <c:numCache>
                <c:formatCode>_(* #,##0.00_);_(* \(#,##0.00\);_(* "-"??_);_(@_)</c:formatCode>
                <c:ptCount val="33"/>
                <c:pt idx="0">
                  <c:v>2.9306239513637697</c:v>
                </c:pt>
                <c:pt idx="1">
                  <c:v>3.544403537242383</c:v>
                </c:pt>
                <c:pt idx="2">
                  <c:v>3.6108756790755212</c:v>
                </c:pt>
                <c:pt idx="3">
                  <c:v>4.5908122689747959</c:v>
                </c:pt>
                <c:pt idx="4">
                  <c:v>4.4769773811733193</c:v>
                </c:pt>
                <c:pt idx="5">
                  <c:v>5.2351909922771789</c:v>
                </c:pt>
                <c:pt idx="6">
                  <c:v>5.7220115554269819</c:v>
                </c:pt>
                <c:pt idx="7">
                  <c:v>4.8464227560421289</c:v>
                </c:pt>
                <c:pt idx="8">
                  <c:v>3.6625323518829296</c:v>
                </c:pt>
                <c:pt idx="9">
                  <c:v>3.5352964936230031</c:v>
                </c:pt>
                <c:pt idx="10">
                  <c:v>3.4186787059764838</c:v>
                </c:pt>
                <c:pt idx="11">
                  <c:v>3.5573482479511904</c:v>
                </c:pt>
                <c:pt idx="12">
                  <c:v>3.4120507906876578</c:v>
                </c:pt>
                <c:pt idx="13">
                  <c:v>3.1029837660329664</c:v>
                </c:pt>
                <c:pt idx="14">
                  <c:v>3.0486289395707473</c:v>
                </c:pt>
                <c:pt idx="15">
                  <c:v>2.799207231421645</c:v>
                </c:pt>
                <c:pt idx="16">
                  <c:v>3.3128156162648099</c:v>
                </c:pt>
                <c:pt idx="17">
                  <c:v>3.8842741886465557</c:v>
                </c:pt>
                <c:pt idx="18">
                  <c:v>3.9125016141904223</c:v>
                </c:pt>
                <c:pt idx="19">
                  <c:v>3.9531295042785106</c:v>
                </c:pt>
                <c:pt idx="20">
                  <c:v>4.4282649744413778</c:v>
                </c:pt>
                <c:pt idx="21">
                  <c:v>4.0078812979729381</c:v>
                </c:pt>
                <c:pt idx="22">
                  <c:v>5.4648410911171599</c:v>
                </c:pt>
                <c:pt idx="23">
                  <c:v>5.7388287675535068</c:v>
                </c:pt>
                <c:pt idx="24">
                  <c:v>5.728088768113019</c:v>
                </c:pt>
                <c:pt idx="25">
                  <c:v>5.7157069147534036</c:v>
                </c:pt>
                <c:pt idx="26">
                  <c:v>5.9669264498750749</c:v>
                </c:pt>
                <c:pt idx="27">
                  <c:v>6.4741233123708817</c:v>
                </c:pt>
                <c:pt idx="28">
                  <c:v>6.620600053162045</c:v>
                </c:pt>
                <c:pt idx="29">
                  <c:v>5.952997755723004</c:v>
                </c:pt>
                <c:pt idx="30">
                  <c:v>5.6002481937006605</c:v>
                </c:pt>
                <c:pt idx="31">
                  <c:v>6.3303612603589166</c:v>
                </c:pt>
                <c:pt idx="32">
                  <c:v>5.7924459245459383</c:v>
                </c:pt>
              </c:numCache>
            </c:numRef>
          </c:val>
          <c:smooth val="0"/>
          <c:extLst>
            <c:ext xmlns:c16="http://schemas.microsoft.com/office/drawing/2014/chart" uri="{C3380CC4-5D6E-409C-BE32-E72D297353CC}">
              <c16:uniqueId val="{00000001-2476-4289-92F0-FC46B01A6CD3}"/>
            </c:ext>
          </c:extLst>
        </c:ser>
        <c:ser>
          <c:idx val="2"/>
          <c:order val="2"/>
          <c:tx>
            <c:strRef>
              <c:f>'Combustion CO2'!$A$110</c:f>
              <c:strCache>
                <c:ptCount val="1"/>
                <c:pt idx="0">
                  <c:v>Distillate Fuel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CO2'!$B$110:$AI$110</c15:sqref>
                  </c15:fullRef>
                </c:ext>
              </c:extLst>
              <c:f>'Combustion CO2'!$C$110:$AI$110</c:f>
              <c:numCache>
                <c:formatCode>_(* #,##0.00_);_(* \(#,##0.00\);_(* "-"??_);_(@_)</c:formatCode>
                <c:ptCount val="33"/>
                <c:pt idx="0">
                  <c:v>3.7954942377604564</c:v>
                </c:pt>
                <c:pt idx="1">
                  <c:v>3.349165655155089</c:v>
                </c:pt>
                <c:pt idx="2">
                  <c:v>2.9108996869852515</c:v>
                </c:pt>
                <c:pt idx="3">
                  <c:v>2.6570382856757355</c:v>
                </c:pt>
                <c:pt idx="4">
                  <c:v>2.7889988742352276</c:v>
                </c:pt>
                <c:pt idx="5">
                  <c:v>2.4266990072148289</c:v>
                </c:pt>
                <c:pt idx="6">
                  <c:v>2.4442296459416228</c:v>
                </c:pt>
                <c:pt idx="7">
                  <c:v>2.3261012491201485</c:v>
                </c:pt>
                <c:pt idx="8">
                  <c:v>1.6486936986561198</c:v>
                </c:pt>
                <c:pt idx="9">
                  <c:v>2.2649571739444649</c:v>
                </c:pt>
                <c:pt idx="10">
                  <c:v>1.832520816371322</c:v>
                </c:pt>
                <c:pt idx="11">
                  <c:v>1.6660162561909018</c:v>
                </c:pt>
                <c:pt idx="12">
                  <c:v>2.4941635577660342</c:v>
                </c:pt>
                <c:pt idx="13">
                  <c:v>1.8757494456387227</c:v>
                </c:pt>
                <c:pt idx="14">
                  <c:v>2.047816748803172</c:v>
                </c:pt>
                <c:pt idx="15">
                  <c:v>1.4124578084815276</c:v>
                </c:pt>
                <c:pt idx="16">
                  <c:v>1.3973198467536001</c:v>
                </c:pt>
                <c:pt idx="17">
                  <c:v>1.04472234290655</c:v>
                </c:pt>
                <c:pt idx="18">
                  <c:v>1.3573615101012122</c:v>
                </c:pt>
                <c:pt idx="19">
                  <c:v>2.3308338310284715</c:v>
                </c:pt>
                <c:pt idx="20">
                  <c:v>1.5371030999355573</c:v>
                </c:pt>
                <c:pt idx="21">
                  <c:v>0.96902230256924415</c:v>
                </c:pt>
                <c:pt idx="22">
                  <c:v>1.0008092900779051</c:v>
                </c:pt>
                <c:pt idx="23">
                  <c:v>1.130491620623211</c:v>
                </c:pt>
                <c:pt idx="24">
                  <c:v>1.1524203566065294</c:v>
                </c:pt>
                <c:pt idx="25">
                  <c:v>0.63004087420194377</c:v>
                </c:pt>
                <c:pt idx="26">
                  <c:v>0.72161041852178087</c:v>
                </c:pt>
                <c:pt idx="27">
                  <c:v>0.68359405993949052</c:v>
                </c:pt>
                <c:pt idx="28">
                  <c:v>0.73112972845990842</c:v>
                </c:pt>
                <c:pt idx="29">
                  <c:v>0.54478738800265358</c:v>
                </c:pt>
                <c:pt idx="30">
                  <c:v>1.0076490732640262</c:v>
                </c:pt>
                <c:pt idx="31">
                  <c:v>0.98147733293129125</c:v>
                </c:pt>
                <c:pt idx="32">
                  <c:v>0.98963283275169045</c:v>
                </c:pt>
              </c:numCache>
            </c:numRef>
          </c:val>
          <c:smooth val="0"/>
          <c:extLst>
            <c:ext xmlns:c16="http://schemas.microsoft.com/office/drawing/2014/chart" uri="{C3380CC4-5D6E-409C-BE32-E72D297353CC}">
              <c16:uniqueId val="{00000002-2476-4289-92F0-FC46B01A6CD3}"/>
            </c:ext>
          </c:extLst>
        </c:ser>
        <c:ser>
          <c:idx val="5"/>
          <c:order val="3"/>
          <c:tx>
            <c:strRef>
              <c:f>'Combustion CO2'!$A$113</c:f>
              <c:strCache>
                <c:ptCount val="1"/>
                <c:pt idx="0">
                  <c:v>Motor Gasoline</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CO2'!$B$113:$AI$113</c15:sqref>
                  </c15:fullRef>
                </c:ext>
              </c:extLst>
              <c:f>'Combustion CO2'!$C$113:$AI$113</c:f>
              <c:numCache>
                <c:formatCode>_(* #,##0.00_);_(* \(#,##0.00\);_(* "-"??_);_(@_)</c:formatCode>
                <c:ptCount val="33"/>
                <c:pt idx="0">
                  <c:v>6.8293992879882859E-2</c:v>
                </c:pt>
                <c:pt idx="1">
                  <c:v>6.1474927242889575E-2</c:v>
                </c:pt>
                <c:pt idx="2">
                  <c:v>1.9746993248089005E-2</c:v>
                </c:pt>
                <c:pt idx="3">
                  <c:v>2.1019660834396471E-2</c:v>
                </c:pt>
                <c:pt idx="4">
                  <c:v>2.399410929535074E-2</c:v>
                </c:pt>
                <c:pt idx="5">
                  <c:v>2.4132683305480594E-2</c:v>
                </c:pt>
                <c:pt idx="6">
                  <c:v>1.7887081601669096E-2</c:v>
                </c:pt>
                <c:pt idx="7">
                  <c:v>2.4360939948238149E-2</c:v>
                </c:pt>
                <c:pt idx="8">
                  <c:v>2.3170485891292992E-2</c:v>
                </c:pt>
                <c:pt idx="9">
                  <c:v>0.10367548209156599</c:v>
                </c:pt>
                <c:pt idx="10">
                  <c:v>3.0852419109434998E-2</c:v>
                </c:pt>
                <c:pt idx="11">
                  <c:v>4.3096057270728003E-2</c:v>
                </c:pt>
                <c:pt idx="12">
                  <c:v>3.8978074004792994E-2</c:v>
                </c:pt>
                <c:pt idx="13">
                  <c:v>2.5651856219219997E-2</c:v>
                </c:pt>
                <c:pt idx="14">
                  <c:v>2.1113823257604004E-2</c:v>
                </c:pt>
                <c:pt idx="15">
                  <c:v>2.5561861287038998E-2</c:v>
                </c:pt>
                <c:pt idx="16">
                  <c:v>2.7702669828603001E-2</c:v>
                </c:pt>
                <c:pt idx="17">
                  <c:v>2.7178359500407499E-2</c:v>
                </c:pt>
                <c:pt idx="18">
                  <c:v>2.7518645961576004E-2</c:v>
                </c:pt>
                <c:pt idx="19">
                  <c:v>1.5928296195504E-2</c:v>
                </c:pt>
                <c:pt idx="20">
                  <c:v>4.8826321383608998E-2</c:v>
                </c:pt>
                <c:pt idx="21">
                  <c:v>1.4263316604652502E-2</c:v>
                </c:pt>
                <c:pt idx="22">
                  <c:v>1.5696524406024003E-2</c:v>
                </c:pt>
                <c:pt idx="23">
                  <c:v>1.5327083107413004E-2</c:v>
                </c:pt>
                <c:pt idx="24">
                  <c:v>0.46027041942231944</c:v>
                </c:pt>
                <c:pt idx="25">
                  <c:v>0.46432260145980109</c:v>
                </c:pt>
                <c:pt idx="26">
                  <c:v>0.46969241808681583</c:v>
                </c:pt>
                <c:pt idx="27">
                  <c:v>0.46664908724124143</c:v>
                </c:pt>
                <c:pt idx="28">
                  <c:v>0.46899242660509477</c:v>
                </c:pt>
                <c:pt idx="29">
                  <c:v>0.47283235224360487</c:v>
                </c:pt>
                <c:pt idx="30">
                  <c:v>0.47770836962588092</c:v>
                </c:pt>
                <c:pt idx="31">
                  <c:v>0.52809388257606626</c:v>
                </c:pt>
                <c:pt idx="32">
                  <c:v>0.50208845653726097</c:v>
                </c:pt>
              </c:numCache>
            </c:numRef>
          </c:val>
          <c:smooth val="0"/>
          <c:extLst>
            <c:ext xmlns:c16="http://schemas.microsoft.com/office/drawing/2014/chart" uri="{C3380CC4-5D6E-409C-BE32-E72D297353CC}">
              <c16:uniqueId val="{00000003-2476-4289-92F0-FC46B01A6CD3}"/>
            </c:ext>
          </c:extLst>
        </c:ser>
        <c:ser>
          <c:idx val="4"/>
          <c:order val="4"/>
          <c:tx>
            <c:strRef>
              <c:f>'Combustion CO2'!$A$112</c:f>
              <c:strCache>
                <c:ptCount val="1"/>
                <c:pt idx="0">
                  <c:v>Hydrocarbon Gas Liquids</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CO2'!$B$112:$AI$112</c15:sqref>
                  </c15:fullRef>
                </c:ext>
              </c:extLst>
              <c:f>'Combustion CO2'!$C$112:$AI$112</c:f>
              <c:numCache>
                <c:formatCode>_(* #,##0.00_);_(* \(#,##0.00\);_(* "-"??_);_(@_)</c:formatCode>
                <c:ptCount val="33"/>
                <c:pt idx="0">
                  <c:v>9.9854128043081983E-2</c:v>
                </c:pt>
                <c:pt idx="1">
                  <c:v>9.9036682410487478E-2</c:v>
                </c:pt>
                <c:pt idx="2">
                  <c:v>0.10916043216800399</c:v>
                </c:pt>
                <c:pt idx="3">
                  <c:v>0.11287037773131749</c:v>
                </c:pt>
                <c:pt idx="4">
                  <c:v>0.11790081239343748</c:v>
                </c:pt>
                <c:pt idx="5">
                  <c:v>0.13978320317365947</c:v>
                </c:pt>
                <c:pt idx="6">
                  <c:v>0.13116858381477897</c:v>
                </c:pt>
                <c:pt idx="7">
                  <c:v>0.12010162755811499</c:v>
                </c:pt>
                <c:pt idx="8">
                  <c:v>0.12368581225487546</c:v>
                </c:pt>
                <c:pt idx="9">
                  <c:v>0.15305097459500097</c:v>
                </c:pt>
                <c:pt idx="10">
                  <c:v>0.13883999667451202</c:v>
                </c:pt>
                <c:pt idx="11">
                  <c:v>0.11236733426510549</c:v>
                </c:pt>
                <c:pt idx="12">
                  <c:v>0.17751146313955948</c:v>
                </c:pt>
                <c:pt idx="13">
                  <c:v>0.11381358423046499</c:v>
                </c:pt>
                <c:pt idx="14">
                  <c:v>0.18511999556601599</c:v>
                </c:pt>
                <c:pt idx="15">
                  <c:v>0.17537352840815848</c:v>
                </c:pt>
                <c:pt idx="16">
                  <c:v>0.15625787669210245</c:v>
                </c:pt>
                <c:pt idx="17">
                  <c:v>0.18122140870287295</c:v>
                </c:pt>
                <c:pt idx="18">
                  <c:v>0.15625787669210245</c:v>
                </c:pt>
                <c:pt idx="19">
                  <c:v>0.14053776837297749</c:v>
                </c:pt>
                <c:pt idx="20">
                  <c:v>0.15581771365916697</c:v>
                </c:pt>
                <c:pt idx="21">
                  <c:v>0.14242418137127247</c:v>
                </c:pt>
                <c:pt idx="22">
                  <c:v>0.17606521317419999</c:v>
                </c:pt>
                <c:pt idx="23">
                  <c:v>0.19367173449161995</c:v>
                </c:pt>
                <c:pt idx="24">
                  <c:v>0.17770010443938897</c:v>
                </c:pt>
                <c:pt idx="25">
                  <c:v>0.13538157284430452</c:v>
                </c:pt>
                <c:pt idx="26">
                  <c:v>0.13588461631051646</c:v>
                </c:pt>
                <c:pt idx="27">
                  <c:v>0.21549124483856547</c:v>
                </c:pt>
                <c:pt idx="28">
                  <c:v>0.19134515846038946</c:v>
                </c:pt>
                <c:pt idx="29">
                  <c:v>0.22850749452680094</c:v>
                </c:pt>
                <c:pt idx="30">
                  <c:v>0.25139597223944704</c:v>
                </c:pt>
                <c:pt idx="31">
                  <c:v>0.24039189641605949</c:v>
                </c:pt>
                <c:pt idx="32">
                  <c:v>0.21234722317474047</c:v>
                </c:pt>
              </c:numCache>
            </c:numRef>
          </c:val>
          <c:smooth val="0"/>
          <c:extLst>
            <c:ext xmlns:c16="http://schemas.microsoft.com/office/drawing/2014/chart" uri="{C3380CC4-5D6E-409C-BE32-E72D297353CC}">
              <c16:uniqueId val="{00000004-2476-4289-92F0-FC46B01A6CD3}"/>
            </c:ext>
          </c:extLst>
        </c:ser>
        <c:ser>
          <c:idx val="6"/>
          <c:order val="5"/>
          <c:tx>
            <c:strRef>
              <c:f>'Combustion CO2'!$A$114</c:f>
              <c:strCache>
                <c:ptCount val="1"/>
                <c:pt idx="0">
                  <c:v>Residual Fuel</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CO2'!$B$114:$AI$114</c15:sqref>
                  </c15:fullRef>
                </c:ext>
              </c:extLst>
              <c:f>'Combustion CO2'!$C$114:$AI$114</c:f>
              <c:numCache>
                <c:formatCode>_(* #,##0.00_);_(* \(#,##0.00\);_(* "-"??_);_(@_)</c:formatCode>
                <c:ptCount val="33"/>
                <c:pt idx="0">
                  <c:v>2.141272665360773</c:v>
                </c:pt>
                <c:pt idx="1">
                  <c:v>1.7323920880193944</c:v>
                </c:pt>
                <c:pt idx="2">
                  <c:v>1.2078685191067169</c:v>
                </c:pt>
                <c:pt idx="3">
                  <c:v>1.394324069802519</c:v>
                </c:pt>
                <c:pt idx="4">
                  <c:v>1.448991665818042</c:v>
                </c:pt>
                <c:pt idx="5">
                  <c:v>1.1474187735126289</c:v>
                </c:pt>
                <c:pt idx="6">
                  <c:v>1.0571571658056798</c:v>
                </c:pt>
                <c:pt idx="7">
                  <c:v>0.66877693697012253</c:v>
                </c:pt>
                <c:pt idx="8">
                  <c:v>0.55914137353239746</c:v>
                </c:pt>
                <c:pt idx="9">
                  <c:v>0.65511003796624179</c:v>
                </c:pt>
                <c:pt idx="10">
                  <c:v>0.24668001773488121</c:v>
                </c:pt>
                <c:pt idx="11">
                  <c:v>0.30322493504214626</c:v>
                </c:pt>
                <c:pt idx="12">
                  <c:v>0.85493211625924603</c:v>
                </c:pt>
                <c:pt idx="13">
                  <c:v>1.3084178474924113</c:v>
                </c:pt>
                <c:pt idx="14">
                  <c:v>1.2570543369503537</c:v>
                </c:pt>
                <c:pt idx="15">
                  <c:v>0.55238301688212676</c:v>
                </c:pt>
                <c:pt idx="16">
                  <c:v>0.39431256411746157</c:v>
                </c:pt>
                <c:pt idx="17">
                  <c:v>0.44965599579801185</c:v>
                </c:pt>
                <c:pt idx="18">
                  <c:v>0.33228586863831039</c:v>
                </c:pt>
                <c:pt idx="19">
                  <c:v>0.26079747384878005</c:v>
                </c:pt>
                <c:pt idx="20">
                  <c:v>0.16062360972143408</c:v>
                </c:pt>
                <c:pt idx="21">
                  <c:v>0.10385341385916005</c:v>
                </c:pt>
                <c:pt idx="22">
                  <c:v>0.10475452807919615</c:v>
                </c:pt>
                <c:pt idx="23">
                  <c:v>6.3153088254196382E-2</c:v>
                </c:pt>
                <c:pt idx="24">
                  <c:v>2.3954619682626216E-2</c:v>
                </c:pt>
                <c:pt idx="25">
                  <c:v>1.4718198927256232E-2</c:v>
                </c:pt>
                <c:pt idx="26">
                  <c:v>1.1414113453790549E-2</c:v>
                </c:pt>
                <c:pt idx="27">
                  <c:v>6.2327066885829972E-3</c:v>
                </c:pt>
                <c:pt idx="28">
                  <c:v>9.2364207553699805E-3</c:v>
                </c:pt>
                <c:pt idx="29">
                  <c:v>1.5619313147292327E-2</c:v>
                </c:pt>
                <c:pt idx="30">
                  <c:v>9.0862350520306331E-3</c:v>
                </c:pt>
                <c:pt idx="31">
                  <c:v>9.3115136070396568E-3</c:v>
                </c:pt>
                <c:pt idx="32">
                  <c:v>7.734563721976488E-3</c:v>
                </c:pt>
              </c:numCache>
            </c:numRef>
          </c:val>
          <c:smooth val="0"/>
          <c:extLst>
            <c:ext xmlns:c16="http://schemas.microsoft.com/office/drawing/2014/chart" uri="{C3380CC4-5D6E-409C-BE32-E72D297353CC}">
              <c16:uniqueId val="{00000005-2476-4289-92F0-FC46B01A6CD3}"/>
            </c:ext>
          </c:extLst>
        </c:ser>
        <c:ser>
          <c:idx val="3"/>
          <c:order val="6"/>
          <c:tx>
            <c:strRef>
              <c:f>'Combustion CO2'!$A$111</c:f>
              <c:strCache>
                <c:ptCount val="1"/>
                <c:pt idx="0">
                  <c:v>Kerosene</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CO2'!$B$111:$AI$111</c15:sqref>
                  </c15:fullRef>
                </c:ext>
              </c:extLst>
              <c:f>'Combustion CO2'!$C$111:$AI$111</c:f>
              <c:numCache>
                <c:formatCode>_(* #,##0.00_);_(* \(#,##0.00\);_(* "-"??_);_(@_)</c:formatCode>
                <c:ptCount val="33"/>
                <c:pt idx="0">
                  <c:v>8.3083415580791603E-2</c:v>
                </c:pt>
                <c:pt idx="1">
                  <c:v>3.0158913849591309E-2</c:v>
                </c:pt>
                <c:pt idx="2">
                  <c:v>4.6848798212957371E-2</c:v>
                </c:pt>
                <c:pt idx="3">
                  <c:v>4.1431905919584178E-2</c:v>
                </c:pt>
                <c:pt idx="4">
                  <c:v>4.5604377010425697E-2</c:v>
                </c:pt>
                <c:pt idx="5">
                  <c:v>1.9398330510052662E-2</c:v>
                </c:pt>
                <c:pt idx="6">
                  <c:v>1.9325129262844916E-2</c:v>
                </c:pt>
                <c:pt idx="7">
                  <c:v>2.9207297635890611E-2</c:v>
                </c:pt>
                <c:pt idx="8">
                  <c:v>9.3331590189876037E-2</c:v>
                </c:pt>
                <c:pt idx="9">
                  <c:v>4.4359955807894015E-2</c:v>
                </c:pt>
                <c:pt idx="10">
                  <c:v>6.4929506273270626E-2</c:v>
                </c:pt>
                <c:pt idx="11">
                  <c:v>2.4302814072971638E-2</c:v>
                </c:pt>
                <c:pt idx="12">
                  <c:v>2.9719706366344835E-2</c:v>
                </c:pt>
                <c:pt idx="13">
                  <c:v>3.7552239817573656E-2</c:v>
                </c:pt>
                <c:pt idx="14">
                  <c:v>3.2501353760239181E-2</c:v>
                </c:pt>
                <c:pt idx="15">
                  <c:v>1.5957871891288607E-2</c:v>
                </c:pt>
                <c:pt idx="16">
                  <c:v>1.0321375856292172E-2</c:v>
                </c:pt>
                <c:pt idx="17">
                  <c:v>8.4181434288907783E-3</c:v>
                </c:pt>
                <c:pt idx="18">
                  <c:v>7.1737222263590986E-3</c:v>
                </c:pt>
                <c:pt idx="19">
                  <c:v>1.9325129262844916E-2</c:v>
                </c:pt>
                <c:pt idx="20">
                  <c:v>2.5620436522711064E-3</c:v>
                </c:pt>
                <c:pt idx="21">
                  <c:v>5.8560997766196718E-4</c:v>
                </c:pt>
                <c:pt idx="22">
                  <c:v>9.5161621370069675E-4</c:v>
                </c:pt>
                <c:pt idx="23">
                  <c:v>5.4168922933731968E-3</c:v>
                </c:pt>
                <c:pt idx="24">
                  <c:v>5.3436910461654519E-3</c:v>
                </c:pt>
                <c:pt idx="25">
                  <c:v>5.636496034996435E-3</c:v>
                </c:pt>
                <c:pt idx="26">
                  <c:v>3.9528673492182781E-3</c:v>
                </c:pt>
                <c:pt idx="27">
                  <c:v>3.6600623603872946E-3</c:v>
                </c:pt>
                <c:pt idx="28">
                  <c:v>5.7096972822041799E-3</c:v>
                </c:pt>
                <c:pt idx="29">
                  <c:v>7.027319731943607E-3</c:v>
                </c:pt>
                <c:pt idx="30">
                  <c:v>4.3188735852570078E-3</c:v>
                </c:pt>
                <c:pt idx="31">
                  <c:v>3.806464854802787E-3</c:v>
                </c:pt>
                <c:pt idx="32">
                  <c:v>6.9541184847358604E-3</c:v>
                </c:pt>
              </c:numCache>
            </c:numRef>
          </c:val>
          <c:smooth val="0"/>
          <c:extLst>
            <c:ext xmlns:c16="http://schemas.microsoft.com/office/drawing/2014/chart" uri="{C3380CC4-5D6E-409C-BE32-E72D297353CC}">
              <c16:uniqueId val="{00000006-2476-4289-92F0-FC46B01A6CD3}"/>
            </c:ext>
          </c:extLst>
        </c:ser>
        <c:ser>
          <c:idx val="1"/>
          <c:order val="7"/>
          <c:tx>
            <c:strRef>
              <c:f>'Combustion CO2'!$A$109</c:f>
              <c:strCache>
                <c:ptCount val="1"/>
                <c:pt idx="0">
                  <c:v>Coal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CO2'!$B$109:$AI$109</c15:sqref>
                  </c15:fullRef>
                </c:ext>
              </c:extLst>
              <c:f>'Combustion CO2'!$C$109:$AI$109</c:f>
              <c:numCache>
                <c:formatCode>_(* #,##0.00_);_(* \(#,##0.00\);_(* "-"??_);_(@_)</c:formatCode>
                <c:ptCount val="33"/>
                <c:pt idx="0">
                  <c:v>5.2785050037717225E-2</c:v>
                </c:pt>
                <c:pt idx="1">
                  <c:v>0.11436373206076487</c:v>
                </c:pt>
                <c:pt idx="2">
                  <c:v>8.4516419579476434E-2</c:v>
                </c:pt>
                <c:pt idx="3">
                  <c:v>4.4779663836277198E-2</c:v>
                </c:pt>
                <c:pt idx="4">
                  <c:v>5.5856191647832877E-2</c:v>
                </c:pt>
                <c:pt idx="5">
                  <c:v>6.8719659432618291E-2</c:v>
                </c:pt>
                <c:pt idx="6">
                  <c:v>6.0577426195426075E-2</c:v>
                </c:pt>
                <c:pt idx="7">
                  <c:v>6.0484084260704916E-2</c:v>
                </c:pt>
                <c:pt idx="8">
                  <c:v>8.5437247028025118E-2</c:v>
                </c:pt>
                <c:pt idx="9">
                  <c:v>3.6803443577659432E-2</c:v>
                </c:pt>
                <c:pt idx="10">
                  <c:v>3.4504588727677442E-2</c:v>
                </c:pt>
                <c:pt idx="11">
                  <c:v>0.18167814841920868</c:v>
                </c:pt>
                <c:pt idx="12">
                  <c:v>0.10585269983607871</c:v>
                </c:pt>
                <c:pt idx="13">
                  <c:v>7.3191289378427796E-2</c:v>
                </c:pt>
                <c:pt idx="14">
                  <c:v>9.4336016490456656E-2</c:v>
                </c:pt>
                <c:pt idx="15">
                  <c:v>3.5153126245123782E-2</c:v>
                </c:pt>
                <c:pt idx="16">
                  <c:v>4.9702983247130073E-2</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7-2476-4289-92F0-FC46B01A6CD3}"/>
            </c:ext>
          </c:extLst>
        </c:ser>
        <c:dLbls>
          <c:showLegendKey val="0"/>
          <c:showVal val="0"/>
          <c:showCatName val="0"/>
          <c:showSerName val="0"/>
          <c:showPercent val="0"/>
          <c:showBubbleSize val="0"/>
        </c:dLbls>
        <c:marker val="1"/>
        <c:smooth val="0"/>
        <c:axId val="1883541088"/>
        <c:axId val="1883541568"/>
      </c:lineChart>
      <c:catAx>
        <c:axId val="1883541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1883541568"/>
        <c:crosses val="autoZero"/>
        <c:auto val="1"/>
        <c:lblAlgn val="ctr"/>
        <c:lblOffset val="100"/>
        <c:noMultiLvlLbl val="0"/>
      </c:catAx>
      <c:valAx>
        <c:axId val="18835415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r>
                  <a:rPr lang="en-US" sz="1200">
                    <a:latin typeface="Aptos" panose="020B0004020202020204" pitchFamily="34" charset="0"/>
                  </a:rPr>
                  <a:t>MMTCO2</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1883541088"/>
        <c:crosses val="autoZero"/>
        <c:crossBetween val="between"/>
      </c:valAx>
      <c:spPr>
        <a:noFill/>
        <a:ln>
          <a:noFill/>
        </a:ln>
        <a:effectLst/>
      </c:spPr>
    </c:plotArea>
    <c:legend>
      <c:legendPos val="r"/>
      <c:layout>
        <c:manualLayout>
          <c:xMode val="edge"/>
          <c:yMode val="edge"/>
          <c:x val="0.752565637439508"/>
          <c:y val="0.13726787329373685"/>
          <c:w val="0.23661523843816146"/>
          <c:h val="0.69372444445722081"/>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r>
              <a:rPr lang="en-US" sz="1600" b="1">
                <a:latin typeface="Aptos" panose="020B0004020202020204" pitchFamily="34" charset="0"/>
              </a:rPr>
              <a:t>Industrial </a:t>
            </a:r>
            <a:r>
              <a:rPr lang="en-US" sz="1600" b="1" i="0" u="none" strike="noStrike" kern="1200" spc="0" baseline="0">
                <a:solidFill>
                  <a:sysClr val="windowText" lastClr="000000">
                    <a:lumMod val="65000"/>
                    <a:lumOff val="35000"/>
                  </a:sysClr>
                </a:solidFill>
                <a:latin typeface="Aptos" panose="020B0004020202020204" pitchFamily="34" charset="0"/>
              </a:rPr>
              <a:t>CO</a:t>
            </a:r>
            <a:r>
              <a:rPr lang="en-US" sz="1600" b="1" i="0" u="none" strike="noStrike" kern="1200" spc="0" baseline="-25000">
                <a:solidFill>
                  <a:sysClr val="windowText" lastClr="000000">
                    <a:lumMod val="65000"/>
                    <a:lumOff val="35000"/>
                  </a:sysClr>
                </a:solidFill>
                <a:latin typeface="Aptos" panose="020B0004020202020204" pitchFamily="34" charset="0"/>
              </a:rPr>
              <a:t>2</a:t>
            </a:r>
            <a:r>
              <a:rPr lang="en-US" sz="1600" b="1" i="0" u="none" strike="noStrike" kern="1200" spc="0" baseline="0">
                <a:solidFill>
                  <a:sysClr val="windowText" lastClr="000000">
                    <a:lumMod val="65000"/>
                    <a:lumOff val="35000"/>
                  </a:sysClr>
                </a:solidFill>
                <a:latin typeface="Aptos" panose="020B0004020202020204" pitchFamily="34" charset="0"/>
              </a:rPr>
              <a:t> Emissions by Fuel Type </a:t>
            </a:r>
            <a:endParaRPr lang="en-US" sz="1600" b="1">
              <a:latin typeface="Aptos" panose="020B0004020202020204" pitchFamily="34" charset="0"/>
            </a:endParaRPr>
          </a:p>
        </c:rich>
      </c:tx>
      <c:layout>
        <c:manualLayout>
          <c:xMode val="edge"/>
          <c:yMode val="edge"/>
          <c:x val="0.14585621416333169"/>
          <c:y val="2.022755843972578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5.3467971758408651E-2"/>
          <c:y val="8.460570068229796E-2"/>
          <c:w val="0.66894822567184253"/>
          <c:h val="0.80544961849186059"/>
        </c:manualLayout>
      </c:layout>
      <c:lineChart>
        <c:grouping val="standard"/>
        <c:varyColors val="0"/>
        <c:ser>
          <c:idx val="0"/>
          <c:order val="0"/>
          <c:tx>
            <c:strRef>
              <c:f>'Combustion CO2'!$A$117</c:f>
              <c:strCache>
                <c:ptCount val="1"/>
                <c:pt idx="0">
                  <c:v>Industrial CO2 Total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CO2'!$B$117:$AI$117</c15:sqref>
                  </c15:fullRef>
                </c:ext>
              </c:extLst>
              <c:f>'Combustion CO2'!$C$117:$AI$117</c:f>
              <c:numCache>
                <c:formatCode>0.00</c:formatCode>
                <c:ptCount val="33"/>
                <c:pt idx="0">
                  <c:v>4.5241963792028006</c:v>
                </c:pt>
                <c:pt idx="1">
                  <c:v>6.196120339667166</c:v>
                </c:pt>
                <c:pt idx="2">
                  <c:v>6.3524480004604289</c:v>
                </c:pt>
                <c:pt idx="3">
                  <c:v>5.4819205214131737</c:v>
                </c:pt>
                <c:pt idx="4">
                  <c:v>4.799124624067149</c:v>
                </c:pt>
                <c:pt idx="5">
                  <c:v>4.7550449315001408</c:v>
                </c:pt>
                <c:pt idx="6">
                  <c:v>4.8391149240722529</c:v>
                </c:pt>
                <c:pt idx="7">
                  <c:v>4.6425953861799725</c:v>
                </c:pt>
                <c:pt idx="8">
                  <c:v>5.324582932332838</c:v>
                </c:pt>
                <c:pt idx="9">
                  <c:v>5.2136458030450861</c:v>
                </c:pt>
                <c:pt idx="10">
                  <c:v>6.3114014118719552</c:v>
                </c:pt>
                <c:pt idx="11">
                  <c:v>6.1690505039776617</c:v>
                </c:pt>
                <c:pt idx="12">
                  <c:v>4.1418598354447296</c:v>
                </c:pt>
                <c:pt idx="13">
                  <c:v>4.0150990192714158</c:v>
                </c:pt>
                <c:pt idx="14">
                  <c:v>4.2697051145872669</c:v>
                </c:pt>
                <c:pt idx="15">
                  <c:v>4.0677081935533161</c:v>
                </c:pt>
                <c:pt idx="16">
                  <c:v>3.9614178944807477</c:v>
                </c:pt>
                <c:pt idx="17">
                  <c:v>3.6776679080539032</c:v>
                </c:pt>
                <c:pt idx="18">
                  <c:v>2.9614097522885441</c:v>
                </c:pt>
                <c:pt idx="19">
                  <c:v>3.4875602377014707</c:v>
                </c:pt>
                <c:pt idx="20">
                  <c:v>3.6789297255419582</c:v>
                </c:pt>
                <c:pt idx="21">
                  <c:v>3.1915395199877956</c:v>
                </c:pt>
                <c:pt idx="22">
                  <c:v>3.36302927042578</c:v>
                </c:pt>
                <c:pt idx="23">
                  <c:v>3.2602165239692176</c:v>
                </c:pt>
                <c:pt idx="24">
                  <c:v>3.2823083352570848</c:v>
                </c:pt>
                <c:pt idx="25">
                  <c:v>3.1662665581676288</c:v>
                </c:pt>
                <c:pt idx="26">
                  <c:v>3.2336648396866163</c:v>
                </c:pt>
                <c:pt idx="27">
                  <c:v>3.2038785042914624</c:v>
                </c:pt>
                <c:pt idx="28">
                  <c:v>3.244068751389845</c:v>
                </c:pt>
                <c:pt idx="29">
                  <c:v>3.0398049356378154</c:v>
                </c:pt>
                <c:pt idx="30">
                  <c:v>3.2122856536414424</c:v>
                </c:pt>
                <c:pt idx="31">
                  <c:v>3.2423547772972263</c:v>
                </c:pt>
                <c:pt idx="32">
                  <c:v>2.981429791228452</c:v>
                </c:pt>
              </c:numCache>
            </c:numRef>
          </c:val>
          <c:smooth val="0"/>
          <c:extLst>
            <c:ext xmlns:c16="http://schemas.microsoft.com/office/drawing/2014/chart" uri="{C3380CC4-5D6E-409C-BE32-E72D297353CC}">
              <c16:uniqueId val="{00000000-B136-4812-A0F7-7B99EA2EC524}"/>
            </c:ext>
          </c:extLst>
        </c:ser>
        <c:ser>
          <c:idx val="22"/>
          <c:order val="1"/>
          <c:tx>
            <c:strRef>
              <c:f>'Combustion CO2'!$A$139</c:f>
              <c:strCache>
                <c:ptCount val="1"/>
                <c:pt idx="0">
                  <c:v>Natural Gas</c:v>
                </c:pt>
              </c:strCache>
            </c:strRef>
          </c:tx>
          <c:spPr>
            <a:ln w="28575"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CO2'!$B$139:$AI$139</c15:sqref>
                  </c15:fullRef>
                </c:ext>
              </c:extLst>
              <c:f>'Combustion CO2'!$C$139:$AI$139</c:f>
              <c:numCache>
                <c:formatCode>_(* #,##0.00_);_(* \(#,##0.00\);_(* "-"??_);_(@_)</c:formatCode>
                <c:ptCount val="33"/>
                <c:pt idx="0">
                  <c:v>2.7966299053821677</c:v>
                </c:pt>
                <c:pt idx="1">
                  <c:v>3.6095015171878266</c:v>
                </c:pt>
                <c:pt idx="2">
                  <c:v>3.6304259223923827</c:v>
                </c:pt>
                <c:pt idx="3">
                  <c:v>3.2776429031000216</c:v>
                </c:pt>
                <c:pt idx="4">
                  <c:v>3.1903182041108562</c:v>
                </c:pt>
                <c:pt idx="5">
                  <c:v>3.1104662243858061</c:v>
                </c:pt>
                <c:pt idx="6">
                  <c:v>3.2401048952951004</c:v>
                </c:pt>
                <c:pt idx="7">
                  <c:v>3.1184882938218399</c:v>
                </c:pt>
                <c:pt idx="8">
                  <c:v>4.0138255033743171</c:v>
                </c:pt>
                <c:pt idx="9">
                  <c:v>3.8434739480769324</c:v>
                </c:pt>
                <c:pt idx="10">
                  <c:v>4.1956313541546884</c:v>
                </c:pt>
                <c:pt idx="11">
                  <c:v>4.3955433373117687</c:v>
                </c:pt>
                <c:pt idx="12">
                  <c:v>2.2616852161116334</c:v>
                </c:pt>
                <c:pt idx="13">
                  <c:v>2.2319713324191759</c:v>
                </c:pt>
                <c:pt idx="14">
                  <c:v>2.4139883806579645</c:v>
                </c:pt>
                <c:pt idx="15">
                  <c:v>2.1831562465087706</c:v>
                </c:pt>
                <c:pt idx="16">
                  <c:v>2.3440485475391766</c:v>
                </c:pt>
                <c:pt idx="17">
                  <c:v>2.2638362233203084</c:v>
                </c:pt>
                <c:pt idx="18">
                  <c:v>2.027552599045928</c:v>
                </c:pt>
                <c:pt idx="19">
                  <c:v>2.2792165965411635</c:v>
                </c:pt>
                <c:pt idx="20">
                  <c:v>2.4414464617694986</c:v>
                </c:pt>
                <c:pt idx="21">
                  <c:v>2.2650003419583009</c:v>
                </c:pt>
                <c:pt idx="22">
                  <c:v>2.4121479015227054</c:v>
                </c:pt>
                <c:pt idx="23">
                  <c:v>2.3325985159623941</c:v>
                </c:pt>
                <c:pt idx="24">
                  <c:v>2.2756383195628573</c:v>
                </c:pt>
                <c:pt idx="25">
                  <c:v>2.3227826190572349</c:v>
                </c:pt>
                <c:pt idx="26">
                  <c:v>2.3608606424893379</c:v>
                </c:pt>
                <c:pt idx="27">
                  <c:v>2.3816094300240498</c:v>
                </c:pt>
                <c:pt idx="28">
                  <c:v>2.4450619094059327</c:v>
                </c:pt>
                <c:pt idx="29">
                  <c:v>2.2832453647370832</c:v>
                </c:pt>
                <c:pt idx="30">
                  <c:v>2.3885479588271816</c:v>
                </c:pt>
                <c:pt idx="31">
                  <c:v>2.3932574681715586</c:v>
                </c:pt>
                <c:pt idx="32">
                  <c:v>2.1765829078056607</c:v>
                </c:pt>
              </c:numCache>
            </c:numRef>
          </c:val>
          <c:smooth val="0"/>
          <c:extLst>
            <c:ext xmlns:c16="http://schemas.microsoft.com/office/drawing/2014/chart" uri="{C3380CC4-5D6E-409C-BE32-E72D297353CC}">
              <c16:uniqueId val="{00000001-B136-4812-A0F7-7B99EA2EC524}"/>
            </c:ext>
          </c:extLst>
        </c:ser>
        <c:ser>
          <c:idx val="6"/>
          <c:order val="2"/>
          <c:tx>
            <c:strRef>
              <c:f>'Combustion CO2'!$A$123</c:f>
              <c:strCache>
                <c:ptCount val="1"/>
                <c:pt idx="0">
                  <c:v>Distillate Fuel</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CO2'!$B$123:$AI$123</c15:sqref>
                  </c15:fullRef>
                </c:ext>
              </c:extLst>
              <c:f>'Combustion CO2'!$C$123:$AI$123</c:f>
              <c:numCache>
                <c:formatCode>_(* #,##0.00_);_(* \(#,##0.00\);_(* "-"??_);_(@_)</c:formatCode>
                <c:ptCount val="33"/>
                <c:pt idx="0">
                  <c:v>0.58269096240684048</c:v>
                </c:pt>
                <c:pt idx="1">
                  <c:v>0.91109904165945255</c:v>
                </c:pt>
                <c:pt idx="2">
                  <c:v>0.63209474122471787</c:v>
                </c:pt>
                <c:pt idx="3">
                  <c:v>0.53047449986616979</c:v>
                </c:pt>
                <c:pt idx="4">
                  <c:v>0.53950322670435436</c:v>
                </c:pt>
                <c:pt idx="5">
                  <c:v>0.5130146494349308</c:v>
                </c:pt>
                <c:pt idx="6">
                  <c:v>0.47636191724042443</c:v>
                </c:pt>
                <c:pt idx="7">
                  <c:v>0.42442773818691937</c:v>
                </c:pt>
                <c:pt idx="8">
                  <c:v>0.51255260832682115</c:v>
                </c:pt>
                <c:pt idx="9">
                  <c:v>0.40157284220649642</c:v>
                </c:pt>
                <c:pt idx="10">
                  <c:v>0.54901550807431487</c:v>
                </c:pt>
                <c:pt idx="11">
                  <c:v>0.4196842697302483</c:v>
                </c:pt>
                <c:pt idx="12">
                  <c:v>0.84533909213648206</c:v>
                </c:pt>
                <c:pt idx="13">
                  <c:v>0.83938901531852328</c:v>
                </c:pt>
                <c:pt idx="14">
                  <c:v>0.81617234638805314</c:v>
                </c:pt>
                <c:pt idx="15">
                  <c:v>0.67664205563473423</c:v>
                </c:pt>
                <c:pt idx="16">
                  <c:v>0.57482740428966117</c:v>
                </c:pt>
                <c:pt idx="17">
                  <c:v>0.66674864434630243</c:v>
                </c:pt>
                <c:pt idx="18">
                  <c:v>0.37315048899327213</c:v>
                </c:pt>
                <c:pt idx="19">
                  <c:v>0.52875420407554596</c:v>
                </c:pt>
                <c:pt idx="20">
                  <c:v>0.53882386834479523</c:v>
                </c:pt>
                <c:pt idx="21">
                  <c:v>0.2869635876339533</c:v>
                </c:pt>
                <c:pt idx="22">
                  <c:v>0.2646622684975925</c:v>
                </c:pt>
                <c:pt idx="23">
                  <c:v>0.31587134969479908</c:v>
                </c:pt>
                <c:pt idx="24">
                  <c:v>0.4091659320808802</c:v>
                </c:pt>
                <c:pt idx="25">
                  <c:v>0.34638907077952169</c:v>
                </c:pt>
                <c:pt idx="26">
                  <c:v>0.39628256251826699</c:v>
                </c:pt>
                <c:pt idx="27">
                  <c:v>0.34990298729296704</c:v>
                </c:pt>
                <c:pt idx="28">
                  <c:v>0.33204823510519005</c:v>
                </c:pt>
                <c:pt idx="29">
                  <c:v>0.29784399662887578</c:v>
                </c:pt>
                <c:pt idx="30">
                  <c:v>0.36369014998927396</c:v>
                </c:pt>
                <c:pt idx="31">
                  <c:v>0.36771744987879473</c:v>
                </c:pt>
                <c:pt idx="32">
                  <c:v>0.35902149711190451</c:v>
                </c:pt>
              </c:numCache>
            </c:numRef>
          </c:val>
          <c:smooth val="0"/>
          <c:extLst>
            <c:ext xmlns:c16="http://schemas.microsoft.com/office/drawing/2014/chart" uri="{C3380CC4-5D6E-409C-BE32-E72D297353CC}">
              <c16:uniqueId val="{00000002-B136-4812-A0F7-7B99EA2EC524}"/>
            </c:ext>
          </c:extLst>
        </c:ser>
        <c:ser>
          <c:idx val="12"/>
          <c:order val="3"/>
          <c:tx>
            <c:strRef>
              <c:f>'Combustion CO2'!$A$129</c:f>
              <c:strCache>
                <c:ptCount val="1"/>
                <c:pt idx="0">
                  <c:v>Motor Gasoline</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CO2'!$B$129:$AI$129</c15:sqref>
                  </c15:fullRef>
                </c:ext>
              </c:extLst>
              <c:f>'Combustion CO2'!$C$129:$AI$129</c:f>
              <c:numCache>
                <c:formatCode>_(* #,##0.00_);_(* \(#,##0.00\);_(* "-"??_);_(@_)</c:formatCode>
                <c:ptCount val="33"/>
                <c:pt idx="0">
                  <c:v>0.12425514570943197</c:v>
                </c:pt>
                <c:pt idx="1">
                  <c:v>0.12545174105961765</c:v>
                </c:pt>
                <c:pt idx="2">
                  <c:v>6.5015371271686551E-2</c:v>
                </c:pt>
                <c:pt idx="3">
                  <c:v>0.12867441024299464</c:v>
                </c:pt>
                <c:pt idx="4">
                  <c:v>0.13778865722566799</c:v>
                </c:pt>
                <c:pt idx="5">
                  <c:v>0.13769825180185985</c:v>
                </c:pt>
                <c:pt idx="6">
                  <c:v>0.14465822342937149</c:v>
                </c:pt>
                <c:pt idx="7">
                  <c:v>0.11683307934359112</c:v>
                </c:pt>
                <c:pt idx="8">
                  <c:v>0.10947523150473294</c:v>
                </c:pt>
                <c:pt idx="9">
                  <c:v>0.11381454438977701</c:v>
                </c:pt>
                <c:pt idx="10">
                  <c:v>0.33675238145194802</c:v>
                </c:pt>
                <c:pt idx="11">
                  <c:v>0.33823660105065601</c:v>
                </c:pt>
                <c:pt idx="12">
                  <c:v>0.35029925918329657</c:v>
                </c:pt>
                <c:pt idx="13">
                  <c:v>0.35805715972661251</c:v>
                </c:pt>
                <c:pt idx="14">
                  <c:v>0.32846874034312801</c:v>
                </c:pt>
                <c:pt idx="15">
                  <c:v>0.32780588035976549</c:v>
                </c:pt>
                <c:pt idx="16">
                  <c:v>0.2750889467695215</c:v>
                </c:pt>
                <c:pt idx="17">
                  <c:v>0.25014025388756256</c:v>
                </c:pt>
                <c:pt idx="18">
                  <c:v>0.23661758017220408</c:v>
                </c:pt>
                <c:pt idx="19">
                  <c:v>0.30192654306299099</c:v>
                </c:pt>
                <c:pt idx="20">
                  <c:v>0.31754876847447594</c:v>
                </c:pt>
                <c:pt idx="21">
                  <c:v>0.30783217627354498</c:v>
                </c:pt>
                <c:pt idx="22">
                  <c:v>0.31767785655975606</c:v>
                </c:pt>
                <c:pt idx="23">
                  <c:v>0.25264966025445301</c:v>
                </c:pt>
                <c:pt idx="24">
                  <c:v>0.24930431829731708</c:v>
                </c:pt>
                <c:pt idx="25">
                  <c:v>0.25183478992913294</c:v>
                </c:pt>
                <c:pt idx="26">
                  <c:v>0.25559808691612806</c:v>
                </c:pt>
                <c:pt idx="27">
                  <c:v>0.26109454532955589</c:v>
                </c:pt>
                <c:pt idx="28">
                  <c:v>0.26353446086727983</c:v>
                </c:pt>
                <c:pt idx="29">
                  <c:v>0.26471827701457834</c:v>
                </c:pt>
                <c:pt idx="30">
                  <c:v>0.26281027021281816</c:v>
                </c:pt>
                <c:pt idx="31">
                  <c:v>0.27192630271011675</c:v>
                </c:pt>
                <c:pt idx="32">
                  <c:v>0.27213830346586798</c:v>
                </c:pt>
              </c:numCache>
            </c:numRef>
          </c:val>
          <c:smooth val="0"/>
          <c:extLst>
            <c:ext xmlns:c16="http://schemas.microsoft.com/office/drawing/2014/chart" uri="{C3380CC4-5D6E-409C-BE32-E72D297353CC}">
              <c16:uniqueId val="{00000003-B136-4812-A0F7-7B99EA2EC524}"/>
            </c:ext>
          </c:extLst>
        </c:ser>
        <c:ser>
          <c:idx val="17"/>
          <c:order val="4"/>
          <c:tx>
            <c:strRef>
              <c:f>'Combustion CO2'!$A$134</c:f>
              <c:strCache>
                <c:ptCount val="1"/>
                <c:pt idx="0">
                  <c:v>Residual Fuel</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CO2'!$B$134:$AI$134</c15:sqref>
                  </c15:fullRef>
                </c:ext>
              </c:extLst>
              <c:f>'Combustion CO2'!$C$134:$AI$134</c:f>
              <c:numCache>
                <c:formatCode>_(* #,##0.00_);_(* \(#,##0.00\);_(* "-"??_);_(@_)</c:formatCode>
                <c:ptCount val="33"/>
                <c:pt idx="0">
                  <c:v>0.53550857163671017</c:v>
                </c:pt>
                <c:pt idx="1">
                  <c:v>0.86278523122370754</c:v>
                </c:pt>
                <c:pt idx="2">
                  <c:v>1.4457269077385222</c:v>
                </c:pt>
                <c:pt idx="3">
                  <c:v>1.1165633491238192</c:v>
                </c:pt>
                <c:pt idx="4">
                  <c:v>0.58187442745014983</c:v>
                </c:pt>
                <c:pt idx="5">
                  <c:v>0.67042328739080193</c:v>
                </c:pt>
                <c:pt idx="6">
                  <c:v>0.65920123070052772</c:v>
                </c:pt>
                <c:pt idx="7">
                  <c:v>0.63342394666922108</c:v>
                </c:pt>
                <c:pt idx="8">
                  <c:v>0.31549456927018282</c:v>
                </c:pt>
                <c:pt idx="9">
                  <c:v>0.41055632332874981</c:v>
                </c:pt>
                <c:pt idx="10">
                  <c:v>0.78059100314049801</c:v>
                </c:pt>
                <c:pt idx="11">
                  <c:v>0.62851047090472567</c:v>
                </c:pt>
                <c:pt idx="12">
                  <c:v>0.35629224220911415</c:v>
                </c:pt>
                <c:pt idx="13">
                  <c:v>0.26701943640237591</c:v>
                </c:pt>
                <c:pt idx="14">
                  <c:v>0.28732192425988151</c:v>
                </c:pt>
                <c:pt idx="15">
                  <c:v>0.38813697236189221</c:v>
                </c:pt>
                <c:pt idx="16">
                  <c:v>0.28959699978877729</c:v>
                </c:pt>
                <c:pt idx="17">
                  <c:v>0.10886743033641265</c:v>
                </c:pt>
                <c:pt idx="18">
                  <c:v>4.6817952364205662E-2</c:v>
                </c:pt>
                <c:pt idx="19">
                  <c:v>1.2084920688412793E-2</c:v>
                </c:pt>
                <c:pt idx="20">
                  <c:v>4.0056544027015056E-2</c:v>
                </c:pt>
                <c:pt idx="21">
                  <c:v>0</c:v>
                </c:pt>
                <c:pt idx="22">
                  <c:v>0</c:v>
                </c:pt>
                <c:pt idx="23">
                  <c:v>0</c:v>
                </c:pt>
                <c:pt idx="24">
                  <c:v>0</c:v>
                </c:pt>
                <c:pt idx="25">
                  <c:v>2.884015359222323E-4</c:v>
                </c:pt>
                <c:pt idx="26">
                  <c:v>4.9827641651342355E-4</c:v>
                </c:pt>
                <c:pt idx="27">
                  <c:v>0</c:v>
                </c:pt>
                <c:pt idx="28">
                  <c:v>0</c:v>
                </c:pt>
                <c:pt idx="29">
                  <c:v>0</c:v>
                </c:pt>
                <c:pt idx="30">
                  <c:v>3.3311405887157105E-4</c:v>
                </c:pt>
                <c:pt idx="31">
                  <c:v>5.4034433501227704E-4</c:v>
                </c:pt>
                <c:pt idx="32">
                  <c:v>7.1338209086190931E-3</c:v>
                </c:pt>
              </c:numCache>
            </c:numRef>
          </c:val>
          <c:smooth val="0"/>
          <c:extLst>
            <c:ext xmlns:c16="http://schemas.microsoft.com/office/drawing/2014/chart" uri="{C3380CC4-5D6E-409C-BE32-E72D297353CC}">
              <c16:uniqueId val="{00000004-B136-4812-A0F7-7B99EA2EC524}"/>
            </c:ext>
          </c:extLst>
        </c:ser>
        <c:ser>
          <c:idx val="1"/>
          <c:order val="5"/>
          <c:tx>
            <c:strRef>
              <c:f>'Combustion CO2'!$A$118</c:f>
              <c:strCache>
                <c:ptCount val="1"/>
                <c:pt idx="0">
                  <c:v>Coking Coal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CO2'!$B$118:$AI$118</c15:sqref>
                  </c15:fullRef>
                </c:ext>
              </c:extLst>
              <c:f>'Combustion CO2'!$C$118:$AI$118</c:f>
              <c:numCache>
                <c:formatCode>_(* #,##0.00_);_(* \(#,##0.00\);_(*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5-B136-4812-A0F7-7B99EA2EC524}"/>
            </c:ext>
          </c:extLst>
        </c:ser>
        <c:ser>
          <c:idx val="2"/>
          <c:order val="6"/>
          <c:tx>
            <c:strRef>
              <c:f>'Combustion CO2'!$A$119</c:f>
              <c:strCache>
                <c:ptCount val="1"/>
                <c:pt idx="0">
                  <c:v>Other Coal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CO2'!$B$119:$AI$119</c15:sqref>
                  </c15:fullRef>
                </c:ext>
              </c:extLst>
              <c:f>'Combustion CO2'!$C$119:$AI$119</c:f>
              <c:numCache>
                <c:formatCode>_(* #,##0.00_);_(* \(#,##0.00\);_(* "-"??_);_(@_)</c:formatCode>
                <c:ptCount val="33"/>
                <c:pt idx="0">
                  <c:v>0.18261537862815175</c:v>
                </c:pt>
                <c:pt idx="1">
                  <c:v>0.34370159298707625</c:v>
                </c:pt>
                <c:pt idx="2">
                  <c:v>0.25926736276675005</c:v>
                </c:pt>
                <c:pt idx="3">
                  <c:v>0.13691430566268589</c:v>
                </c:pt>
                <c:pt idx="4">
                  <c:v>5.6956847758346425E-2</c:v>
                </c:pt>
                <c:pt idx="5">
                  <c:v>4.3204144605224697E-2</c:v>
                </c:pt>
                <c:pt idx="6">
                  <c:v>6.7408505663128615E-2</c:v>
                </c:pt>
                <c:pt idx="7">
                  <c:v>7.1338278427875268E-2</c:v>
                </c:pt>
                <c:pt idx="8">
                  <c:v>6.1433942761636058E-2</c:v>
                </c:pt>
                <c:pt idx="9">
                  <c:v>0.12944301136812089</c:v>
                </c:pt>
                <c:pt idx="10">
                  <c:v>0.12824622281611239</c:v>
                </c:pt>
                <c:pt idx="11">
                  <c:v>9.1529212349241079E-2</c:v>
                </c:pt>
                <c:pt idx="12">
                  <c:v>0.10432647198262388</c:v>
                </c:pt>
                <c:pt idx="13">
                  <c:v>0.12119280142248856</c:v>
                </c:pt>
                <c:pt idx="14">
                  <c:v>0.1616197523007423</c:v>
                </c:pt>
                <c:pt idx="15">
                  <c:v>0.17519142479627134</c:v>
                </c:pt>
                <c:pt idx="16">
                  <c:v>0.1949262835370579</c:v>
                </c:pt>
                <c:pt idx="17">
                  <c:v>0.19496970678531561</c:v>
                </c:pt>
                <c:pt idx="18">
                  <c:v>0.11629625811066953</c:v>
                </c:pt>
                <c:pt idx="19">
                  <c:v>0.1548035471373678</c:v>
                </c:pt>
                <c:pt idx="20">
                  <c:v>0.14243050810687197</c:v>
                </c:pt>
                <c:pt idx="21">
                  <c:v>0.14332950491669513</c:v>
                </c:pt>
                <c:pt idx="22">
                  <c:v>0.13934940726156647</c:v>
                </c:pt>
                <c:pt idx="23">
                  <c:v>0.12293262078051174</c:v>
                </c:pt>
                <c:pt idx="24">
                  <c:v>9.629313343025557E-2</c:v>
                </c:pt>
                <c:pt idx="25">
                  <c:v>3.0454800826430466E-3</c:v>
                </c:pt>
                <c:pt idx="26">
                  <c:v>3.4632459700504343E-3</c:v>
                </c:pt>
                <c:pt idx="27">
                  <c:v>9.3194530070134034E-4</c:v>
                </c:pt>
                <c:pt idx="28">
                  <c:v>2.4787542455229814E-3</c:v>
                </c:pt>
                <c:pt idx="29">
                  <c:v>0</c:v>
                </c:pt>
                <c:pt idx="30">
                  <c:v>0</c:v>
                </c:pt>
                <c:pt idx="31">
                  <c:v>0</c:v>
                </c:pt>
                <c:pt idx="32">
                  <c:v>0</c:v>
                </c:pt>
              </c:numCache>
            </c:numRef>
          </c:val>
          <c:smooth val="0"/>
          <c:extLst>
            <c:ext xmlns:c16="http://schemas.microsoft.com/office/drawing/2014/chart" uri="{C3380CC4-5D6E-409C-BE32-E72D297353CC}">
              <c16:uniqueId val="{00000006-B136-4812-A0F7-7B99EA2EC524}"/>
            </c:ext>
          </c:extLst>
        </c:ser>
        <c:ser>
          <c:idx val="3"/>
          <c:order val="7"/>
          <c:tx>
            <c:strRef>
              <c:f>'Combustion CO2'!$A$120</c:f>
              <c:strCache>
                <c:ptCount val="1"/>
                <c:pt idx="0">
                  <c:v>Asphalt and Road Oil</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CO2'!$B$120:$AI$120</c15:sqref>
                  </c15:fullRef>
                </c:ext>
              </c:extLst>
              <c:f>'Combustion CO2'!$C$120:$AI$120</c:f>
              <c:numCache>
                <c:formatCode>_(* #,##0.00_);_(* \(#,##0.00\);_(* "-"??_);_(@_)</c:formatCode>
                <c:ptCount val="33"/>
                <c:pt idx="0">
                  <c:v>4.340700071045903E-3</c:v>
                </c:pt>
                <c:pt idx="1">
                  <c:v>3.4425100746432232E-3</c:v>
                </c:pt>
                <c:pt idx="2">
                  <c:v>3.1933070284783801E-3</c:v>
                </c:pt>
                <c:pt idx="3">
                  <c:v>1.9466299037734054E-3</c:v>
                </c:pt>
                <c:pt idx="4">
                  <c:v>2.7438810833365908E-3</c:v>
                </c:pt>
                <c:pt idx="5">
                  <c:v>2.7885589202983007E-3</c:v>
                </c:pt>
                <c:pt idx="6">
                  <c:v>2.011826451043669E-3</c:v>
                </c:pt>
                <c:pt idx="7">
                  <c:v>1.8407268828268943E-3</c:v>
                </c:pt>
                <c:pt idx="8">
                  <c:v>2.1246793577397566E-3</c:v>
                </c:pt>
                <c:pt idx="9">
                  <c:v>3.9382685914491761E-3</c:v>
                </c:pt>
                <c:pt idx="10">
                  <c:v>3.9932057835651612E-3</c:v>
                </c:pt>
                <c:pt idx="11">
                  <c:v>4.1401462251284384E-3</c:v>
                </c:pt>
                <c:pt idx="12">
                  <c:v>3.0854183258891034E-3</c:v>
                </c:pt>
                <c:pt idx="13">
                  <c:v>3.1797382039196083E-3</c:v>
                </c:pt>
                <c:pt idx="14">
                  <c:v>2.8901596310189682E-3</c:v>
                </c:pt>
                <c:pt idx="15">
                  <c:v>3.4524384828569822E-3</c:v>
                </c:pt>
                <c:pt idx="16">
                  <c:v>2.039295047101662E-3</c:v>
                </c:pt>
                <c:pt idx="17">
                  <c:v>4.8351348000901266E-4</c:v>
                </c:pt>
                <c:pt idx="18">
                  <c:v>4.9592399027618391E-3</c:v>
                </c:pt>
                <c:pt idx="19">
                  <c:v>5.0575311440777372E-3</c:v>
                </c:pt>
                <c:pt idx="20">
                  <c:v>5.0939353075281409E-3</c:v>
                </c:pt>
                <c:pt idx="21">
                  <c:v>4.7629883670702875E-3</c:v>
                </c:pt>
                <c:pt idx="22">
                  <c:v>4.6034719417695179E-3</c:v>
                </c:pt>
                <c:pt idx="23">
                  <c:v>5.078711748267053E-3</c:v>
                </c:pt>
                <c:pt idx="24">
                  <c:v>4.8252063918762982E-3</c:v>
                </c:pt>
                <c:pt idx="25">
                  <c:v>5.0356886460075218E-3</c:v>
                </c:pt>
                <c:pt idx="26">
                  <c:v>5.1174325403006713E-3</c:v>
                </c:pt>
                <c:pt idx="27">
                  <c:v>4.7196343178702374E-3</c:v>
                </c:pt>
                <c:pt idx="28">
                  <c:v>4.548203802713013E-3</c:v>
                </c:pt>
                <c:pt idx="29">
                  <c:v>4.74180776288097E-3</c:v>
                </c:pt>
                <c:pt idx="30">
                  <c:v>5.033372017424308E-3</c:v>
                </c:pt>
                <c:pt idx="31">
                  <c:v>5.1346417812044567E-3</c:v>
                </c:pt>
                <c:pt idx="32">
                  <c:v>4.3926587406977764E-3</c:v>
                </c:pt>
              </c:numCache>
            </c:numRef>
          </c:val>
          <c:smooth val="0"/>
          <c:extLst>
            <c:ext xmlns:c16="http://schemas.microsoft.com/office/drawing/2014/chart" uri="{C3380CC4-5D6E-409C-BE32-E72D297353CC}">
              <c16:uniqueId val="{00000007-B136-4812-A0F7-7B99EA2EC524}"/>
            </c:ext>
          </c:extLst>
        </c:ser>
        <c:ser>
          <c:idx val="4"/>
          <c:order val="8"/>
          <c:tx>
            <c:strRef>
              <c:f>'Combustion CO2'!$A$121</c:f>
              <c:strCache>
                <c:ptCount val="1"/>
                <c:pt idx="0">
                  <c:v>Aviation Gasoline Blending Components</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CO2'!$B$121:$AI$121</c15:sqref>
                  </c15:fullRef>
                </c:ext>
              </c:extLst>
              <c:f>'Combustion CO2'!$C$121:$AI$121</c:f>
              <c:numCache>
                <c:formatCode>_(* #,##0.00_);_(* \(#,##0.00\);_(*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8-B136-4812-A0F7-7B99EA2EC524}"/>
            </c:ext>
          </c:extLst>
        </c:ser>
        <c:ser>
          <c:idx val="5"/>
          <c:order val="9"/>
          <c:tx>
            <c:strRef>
              <c:f>'Combustion CO2'!$A$122</c:f>
              <c:strCache>
                <c:ptCount val="1"/>
                <c:pt idx="0">
                  <c:v>Crude Oil</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CO2'!$B$122:$AI$122</c15:sqref>
                  </c15:fullRef>
                </c:ext>
              </c:extLst>
              <c:f>'Combustion CO2'!$C$122:$AI$122</c:f>
              <c:numCache>
                <c:formatCode>_(* #,##0.00_);_(* \(#,##0.00\);_(*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9-B136-4812-A0F7-7B99EA2EC524}"/>
            </c:ext>
          </c:extLst>
        </c:ser>
        <c:ser>
          <c:idx val="7"/>
          <c:order val="10"/>
          <c:tx>
            <c:strRef>
              <c:f>'Combustion CO2'!$A$124</c:f>
              <c:strCache>
                <c:ptCount val="1"/>
                <c:pt idx="0">
                  <c:v>Feedstocks, Naphtha less than 401 F</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CO2'!$B$124:$AI$124</c15:sqref>
                  </c15:fullRef>
                </c:ext>
              </c:extLst>
              <c:f>'Combustion CO2'!$C$124:$AI$124</c:f>
              <c:numCache>
                <c:formatCode>_(* #,##0.00_);_(* \(#,##0.00\);_(*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A-B136-4812-A0F7-7B99EA2EC524}"/>
            </c:ext>
          </c:extLst>
        </c:ser>
        <c:ser>
          <c:idx val="8"/>
          <c:order val="11"/>
          <c:tx>
            <c:strRef>
              <c:f>'Combustion CO2'!$A$125</c:f>
              <c:strCache>
                <c:ptCount val="1"/>
                <c:pt idx="0">
                  <c:v>Feedstocks, Other Oils greater than 401 F</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CO2'!$B$125:$AI$125</c15:sqref>
                  </c15:fullRef>
                </c:ext>
              </c:extLst>
              <c:f>'Combustion CO2'!$C$125:$AI$125</c:f>
              <c:numCache>
                <c:formatCode>_(* #,##0.00_);_(* \(#,##0.00\);_(*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B-B136-4812-A0F7-7B99EA2EC524}"/>
            </c:ext>
          </c:extLst>
        </c:ser>
        <c:ser>
          <c:idx val="9"/>
          <c:order val="12"/>
          <c:tx>
            <c:strRef>
              <c:f>'Combustion CO2'!$A$126</c:f>
              <c:strCache>
                <c:ptCount val="1"/>
                <c:pt idx="0">
                  <c:v>Kerosene</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CO2'!$B$126:$AI$126</c15:sqref>
                  </c15:fullRef>
                </c:ext>
              </c:extLst>
              <c:f>'Combustion CO2'!$C$126:$AI$126</c:f>
              <c:numCache>
                <c:formatCode>_(* #,##0.00_);_(* \(#,##0.00\);_(* "-"??_);_(@_)</c:formatCode>
                <c:ptCount val="33"/>
                <c:pt idx="0">
                  <c:v>7.612929709605574E-3</c:v>
                </c:pt>
                <c:pt idx="1">
                  <c:v>3.8064648548027859E-2</c:v>
                </c:pt>
                <c:pt idx="2">
                  <c:v>6.3685085070738926E-3</c:v>
                </c:pt>
                <c:pt idx="3">
                  <c:v>7.2469234735668443E-3</c:v>
                </c:pt>
                <c:pt idx="4">
                  <c:v>1.4640249441549178E-2</c:v>
                </c:pt>
                <c:pt idx="5">
                  <c:v>6.0025022710351629E-3</c:v>
                </c:pt>
                <c:pt idx="6">
                  <c:v>8.6377471705140155E-3</c:v>
                </c:pt>
                <c:pt idx="7">
                  <c:v>9.4429608897992224E-3</c:v>
                </c:pt>
                <c:pt idx="8">
                  <c:v>9.2965583953837291E-3</c:v>
                </c:pt>
                <c:pt idx="9">
                  <c:v>4.3920748324647544E-3</c:v>
                </c:pt>
                <c:pt idx="10">
                  <c:v>1.3395828239017499E-2</c:v>
                </c:pt>
                <c:pt idx="11">
                  <c:v>3.806464854802787E-3</c:v>
                </c:pt>
                <c:pt idx="12">
                  <c:v>3.7332636075950408E-3</c:v>
                </c:pt>
                <c:pt idx="13">
                  <c:v>4.6116785740879917E-3</c:v>
                </c:pt>
                <c:pt idx="14">
                  <c:v>3.1037328816084259E-2</c:v>
                </c:pt>
                <c:pt idx="15">
                  <c:v>2.0496349218168852E-3</c:v>
                </c:pt>
                <c:pt idx="16">
                  <c:v>8.052137192852049E-4</c:v>
                </c:pt>
                <c:pt idx="17">
                  <c:v>2.1960374162323772E-4</c:v>
                </c:pt>
                <c:pt idx="18">
                  <c:v>4.3188735852570078E-3</c:v>
                </c:pt>
                <c:pt idx="19">
                  <c:v>1.3176224497394263E-3</c:v>
                </c:pt>
                <c:pt idx="20">
                  <c:v>2.1960374162323772E-4</c:v>
                </c:pt>
                <c:pt idx="21">
                  <c:v>7.3201247207745898E-5</c:v>
                </c:pt>
                <c:pt idx="22">
                  <c:v>1.464024944154918E-4</c:v>
                </c:pt>
                <c:pt idx="23">
                  <c:v>5.1240873045422131E-4</c:v>
                </c:pt>
                <c:pt idx="24">
                  <c:v>6.5881122486971316E-4</c:v>
                </c:pt>
                <c:pt idx="25">
                  <c:v>2.1960374162323772E-4</c:v>
                </c:pt>
                <c:pt idx="26">
                  <c:v>2.9280498883098359E-4</c:v>
                </c:pt>
                <c:pt idx="27">
                  <c:v>1.0980187081161886E-3</c:v>
                </c:pt>
                <c:pt idx="28">
                  <c:v>7.3201247207745898E-5</c:v>
                </c:pt>
                <c:pt idx="29">
                  <c:v>1.6104274385704098E-3</c:v>
                </c:pt>
                <c:pt idx="30">
                  <c:v>4.3920748324647544E-4</c:v>
                </c:pt>
                <c:pt idx="31">
                  <c:v>2.9280498883098359E-4</c:v>
                </c:pt>
                <c:pt idx="32">
                  <c:v>1.2444212025316803E-3</c:v>
                </c:pt>
              </c:numCache>
            </c:numRef>
          </c:val>
          <c:smooth val="0"/>
          <c:extLst>
            <c:ext xmlns:c16="http://schemas.microsoft.com/office/drawing/2014/chart" uri="{C3380CC4-5D6E-409C-BE32-E72D297353CC}">
              <c16:uniqueId val="{0000000C-B136-4812-A0F7-7B99EA2EC524}"/>
            </c:ext>
          </c:extLst>
        </c:ser>
        <c:ser>
          <c:idx val="10"/>
          <c:order val="13"/>
          <c:tx>
            <c:strRef>
              <c:f>'Combustion CO2'!$A$127</c:f>
              <c:strCache>
                <c:ptCount val="1"/>
                <c:pt idx="0">
                  <c:v>Hydrocarbon Gas Liquids</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CO2'!$B$127:$AI$127</c15:sqref>
                  </c15:fullRef>
                </c:ext>
              </c:extLst>
              <c:f>'Combustion CO2'!$C$127:$AI$127</c:f>
              <c:numCache>
                <c:formatCode>_(* #,##0.00_);_(* \(#,##0.00\);_(* "-"??_);_(@_)</c:formatCode>
                <c:ptCount val="33"/>
                <c:pt idx="0">
                  <c:v>4.996115297138979E-2</c:v>
                </c:pt>
                <c:pt idx="1">
                  <c:v>4.636033800832727E-2</c:v>
                </c:pt>
                <c:pt idx="2">
                  <c:v>5.5137926854990714E-2</c:v>
                </c:pt>
                <c:pt idx="3">
                  <c:v>3.9505972695658975E-2</c:v>
                </c:pt>
                <c:pt idx="4">
                  <c:v>4.4586223668880806E-2</c:v>
                </c:pt>
                <c:pt idx="5">
                  <c:v>5.5461292688983775E-2</c:v>
                </c:pt>
                <c:pt idx="6">
                  <c:v>1.8947686475320965E-2</c:v>
                </c:pt>
                <c:pt idx="7">
                  <c:v>2.0420714107161474E-2</c:v>
                </c:pt>
                <c:pt idx="8">
                  <c:v>3.8237725777711451E-2</c:v>
                </c:pt>
                <c:pt idx="9">
                  <c:v>7.3757704377157049E-2</c:v>
                </c:pt>
                <c:pt idx="10">
                  <c:v>9.6170686138851019E-2</c:v>
                </c:pt>
                <c:pt idx="11">
                  <c:v>7.2861146800272295E-2</c:v>
                </c:pt>
                <c:pt idx="12">
                  <c:v>2.2192243749116086E-2</c:v>
                </c:pt>
                <c:pt idx="13">
                  <c:v>7.8675045286893779E-3</c:v>
                </c:pt>
                <c:pt idx="14">
                  <c:v>4.2137513405879894E-2</c:v>
                </c:pt>
                <c:pt idx="15">
                  <c:v>0.12977989744033291</c:v>
                </c:pt>
                <c:pt idx="16">
                  <c:v>9.4612946915188637E-2</c:v>
                </c:pt>
                <c:pt idx="17">
                  <c:v>1.5619793482304887E-2</c:v>
                </c:pt>
                <c:pt idx="18">
                  <c:v>1.030739524220174E-2</c:v>
                </c:pt>
                <c:pt idx="19">
                  <c:v>1.0903036165902952E-2</c:v>
                </c:pt>
                <c:pt idx="20">
                  <c:v>1.8795397181167788E-2</c:v>
                </c:pt>
                <c:pt idx="21">
                  <c:v>2.2800896804122849E-2</c:v>
                </c:pt>
                <c:pt idx="22">
                  <c:v>2.6733596337568968E-2</c:v>
                </c:pt>
                <c:pt idx="23">
                  <c:v>2.6031776924640461E-2</c:v>
                </c:pt>
                <c:pt idx="24">
                  <c:v>2.1456446804607312E-2</c:v>
                </c:pt>
                <c:pt idx="25">
                  <c:v>1.9561642217282696E-2</c:v>
                </c:pt>
                <c:pt idx="26">
                  <c:v>1.8637514839405747E-2</c:v>
                </c:pt>
                <c:pt idx="27">
                  <c:v>1.7775931177889094E-2</c:v>
                </c:pt>
                <c:pt idx="28">
                  <c:v>1.8620207286631905E-2</c:v>
                </c:pt>
                <c:pt idx="29">
                  <c:v>1.8385897731482696E-2</c:v>
                </c:pt>
                <c:pt idx="30">
                  <c:v>2.0595238742631843E-2</c:v>
                </c:pt>
                <c:pt idx="31">
                  <c:v>1.8850483994164911E-2</c:v>
                </c:pt>
                <c:pt idx="32">
                  <c:v>1.8318300939351936E-2</c:v>
                </c:pt>
              </c:numCache>
            </c:numRef>
          </c:val>
          <c:smooth val="0"/>
          <c:extLst>
            <c:ext xmlns:c16="http://schemas.microsoft.com/office/drawing/2014/chart" uri="{C3380CC4-5D6E-409C-BE32-E72D297353CC}">
              <c16:uniqueId val="{0000000D-B136-4812-A0F7-7B99EA2EC524}"/>
            </c:ext>
          </c:extLst>
        </c:ser>
        <c:ser>
          <c:idx val="11"/>
          <c:order val="14"/>
          <c:tx>
            <c:strRef>
              <c:f>'Combustion CO2'!$A$128</c:f>
              <c:strCache>
                <c:ptCount val="1"/>
                <c:pt idx="0">
                  <c:v>Lubricants</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CO2'!$B$128:$AI$128</c15:sqref>
                  </c15:fullRef>
                </c:ext>
              </c:extLst>
              <c:f>'Combustion CO2'!$C$128:$AI$128</c:f>
              <c:numCache>
                <c:formatCode>_(* #,##0.00_);_(* \(#,##0.00\);_(* "-"??_);_(@_)</c:formatCode>
                <c:ptCount val="33"/>
                <c:pt idx="0">
                  <c:v>0.14105422033572523</c:v>
                </c:pt>
                <c:pt idx="1">
                  <c:v>0.14381207585969508</c:v>
                </c:pt>
                <c:pt idx="2">
                  <c:v>0.14643540184591025</c:v>
                </c:pt>
                <c:pt idx="3">
                  <c:v>0.15302734919588695</c:v>
                </c:pt>
                <c:pt idx="4">
                  <c:v>0.15040402320967178</c:v>
                </c:pt>
                <c:pt idx="5">
                  <c:v>0.14596454846376908</c:v>
                </c:pt>
                <c:pt idx="6">
                  <c:v>0.1541708502668013</c:v>
                </c:pt>
                <c:pt idx="7">
                  <c:v>0.16143544530555107</c:v>
                </c:pt>
                <c:pt idx="8">
                  <c:v>0.1631170645274839</c:v>
                </c:pt>
                <c:pt idx="9">
                  <c:v>0.16062826807902333</c:v>
                </c:pt>
                <c:pt idx="10">
                  <c:v>0.14717531430356073</c:v>
                </c:pt>
                <c:pt idx="11">
                  <c:v>0.1454264303127506</c:v>
                </c:pt>
                <c:pt idx="12">
                  <c:v>0.13446227298574859</c:v>
                </c:pt>
                <c:pt idx="13">
                  <c:v>0.13621115697655872</c:v>
                </c:pt>
                <c:pt idx="14">
                  <c:v>0.13553850928778557</c:v>
                </c:pt>
                <c:pt idx="15">
                  <c:v>0.1320407413061653</c:v>
                </c:pt>
                <c:pt idx="16">
                  <c:v>0.13634568651431336</c:v>
                </c:pt>
                <c:pt idx="17">
                  <c:v>0.12659229502710298</c:v>
                </c:pt>
                <c:pt idx="18">
                  <c:v>0.11381198894041351</c:v>
                </c:pt>
                <c:pt idx="19">
                  <c:v>0.17253413217030769</c:v>
                </c:pt>
                <c:pt idx="20">
                  <c:v>0.15605426379536602</c:v>
                </c:pt>
                <c:pt idx="21">
                  <c:v>0.14529190077499596</c:v>
                </c:pt>
                <c:pt idx="22">
                  <c:v>0.14959684598314399</c:v>
                </c:pt>
                <c:pt idx="23">
                  <c:v>0.15881211931933586</c:v>
                </c:pt>
                <c:pt idx="24">
                  <c:v>0.18148034643099034</c:v>
                </c:pt>
                <c:pt idx="25">
                  <c:v>0.17488839908101367</c:v>
                </c:pt>
                <c:pt idx="26">
                  <c:v>0.15222017196935919</c:v>
                </c:pt>
                <c:pt idx="27">
                  <c:v>0.1458972836948918</c:v>
                </c:pt>
                <c:pt idx="28">
                  <c:v>0.13836362958063272</c:v>
                </c:pt>
                <c:pt idx="29">
                  <c:v>0.13493312636788976</c:v>
                </c:pt>
                <c:pt idx="30">
                  <c:v>0.13419321391023931</c:v>
                </c:pt>
                <c:pt idx="31">
                  <c:v>0.14313942817092198</c:v>
                </c:pt>
                <c:pt idx="32">
                  <c:v>0.10358774407106193</c:v>
                </c:pt>
              </c:numCache>
            </c:numRef>
          </c:val>
          <c:smooth val="0"/>
          <c:extLst>
            <c:ext xmlns:c16="http://schemas.microsoft.com/office/drawing/2014/chart" uri="{C3380CC4-5D6E-409C-BE32-E72D297353CC}">
              <c16:uniqueId val="{0000000E-B136-4812-A0F7-7B99EA2EC524}"/>
            </c:ext>
          </c:extLst>
        </c:ser>
        <c:ser>
          <c:idx val="13"/>
          <c:order val="15"/>
          <c:tx>
            <c:strRef>
              <c:f>'Combustion CO2'!$A$130</c:f>
              <c:strCache>
                <c:ptCount val="1"/>
                <c:pt idx="0">
                  <c:v>Motor Gasoline Blending Components</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CO2'!$B$130:$AI$130</c15:sqref>
                  </c15:fullRef>
                </c:ext>
              </c:extLst>
              <c:f>'Combustion CO2'!$C$130:$AI$130</c:f>
              <c:numCache>
                <c:formatCode>_(* #,##0.00_);_(* \(#,##0.00\);_(*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0F-B136-4812-A0F7-7B99EA2EC524}"/>
            </c:ext>
          </c:extLst>
        </c:ser>
        <c:ser>
          <c:idx val="14"/>
          <c:order val="16"/>
          <c:tx>
            <c:strRef>
              <c:f>'Combustion CO2'!$A$131</c:f>
              <c:strCache>
                <c:ptCount val="1"/>
                <c:pt idx="0">
                  <c:v>Misc. Petro Products</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CO2'!$B$131:$AI$131</c15:sqref>
                  </c15:fullRef>
                </c:ext>
              </c:extLst>
              <c:f>'Combustion CO2'!$C$131:$AI$131</c:f>
              <c:numCache>
                <c:formatCode>_(* #,##0.00_);_(* \(#,##0.00\);_(*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10-B136-4812-A0F7-7B99EA2EC524}"/>
            </c:ext>
          </c:extLst>
        </c:ser>
        <c:ser>
          <c:idx val="15"/>
          <c:order val="17"/>
          <c:tx>
            <c:strRef>
              <c:f>'Combustion CO2'!$A$132</c:f>
              <c:strCache>
                <c:ptCount val="1"/>
                <c:pt idx="0">
                  <c:v>Petroleum Coke</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CO2'!$B$132:$AI$132</c15:sqref>
                  </c15:fullRef>
                </c:ext>
              </c:extLst>
              <c:f>'Combustion CO2'!$C$132:$AI$132</c:f>
              <c:numCache>
                <c:formatCode>_(* #,##0.00_);_(* \(#,##0.00\);_(*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11-B136-4812-A0F7-7B99EA2EC524}"/>
            </c:ext>
          </c:extLst>
        </c:ser>
        <c:ser>
          <c:idx val="16"/>
          <c:order val="18"/>
          <c:tx>
            <c:strRef>
              <c:f>'Combustion CO2'!$A$133</c:f>
              <c:strCache>
                <c:ptCount val="1"/>
                <c:pt idx="0">
                  <c:v>Pentanes Plus</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CO2'!$B$133:$AI$133</c15:sqref>
                  </c15:fullRef>
                </c:ext>
              </c:extLst>
              <c:f>'Combustion CO2'!$C$133:$AI$133</c:f>
              <c:numCache>
                <c:formatCode>_(* #,##0.00_);_(* \(#,##0.00\);_(*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12-B136-4812-A0F7-7B99EA2EC524}"/>
            </c:ext>
          </c:extLst>
        </c:ser>
        <c:ser>
          <c:idx val="18"/>
          <c:order val="19"/>
          <c:tx>
            <c:strRef>
              <c:f>'Combustion CO2'!$A$135</c:f>
              <c:strCache>
                <c:ptCount val="1"/>
                <c:pt idx="0">
                  <c:v>Still Gas</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CO2'!$B$135:$AI$135</c15:sqref>
                  </c15:fullRef>
                </c:ext>
              </c:extLst>
              <c:f>'Combustion CO2'!$C$135:$AI$135</c:f>
              <c:numCache>
                <c:formatCode>_(* #,##0.00_);_(* \(#,##0.00\);_(*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13-B136-4812-A0F7-7B99EA2EC524}"/>
            </c:ext>
          </c:extLst>
        </c:ser>
        <c:ser>
          <c:idx val="19"/>
          <c:order val="20"/>
          <c:tx>
            <c:strRef>
              <c:f>'Combustion CO2'!$A$136</c:f>
              <c:strCache>
                <c:ptCount val="1"/>
                <c:pt idx="0">
                  <c:v>Special Naphthas</c:v>
                </c:pt>
              </c:strCache>
            </c:strRef>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CO2'!$B$136:$AI$136</c15:sqref>
                  </c15:fullRef>
                </c:ext>
              </c:extLst>
              <c:f>'Combustion CO2'!$C$136:$AI$136</c:f>
              <c:numCache>
                <c:formatCode>_(* #,##0.00_);_(* \(#,##0.00\);_(* "-"??_);_(@_)</c:formatCode>
                <c:ptCount val="33"/>
                <c:pt idx="0">
                  <c:v>7.5986563000755153E-2</c:v>
                </c:pt>
                <c:pt idx="1">
                  <c:v>8.6922016179211706E-2</c:v>
                </c:pt>
                <c:pt idx="2">
                  <c:v>8.1935574391936272E-2</c:v>
                </c:pt>
                <c:pt idx="3">
                  <c:v>6.2709854256504771E-2</c:v>
                </c:pt>
                <c:pt idx="4">
                  <c:v>5.309455952224406E-2</c:v>
                </c:pt>
                <c:pt idx="5">
                  <c:v>3.6225505759175054E-2</c:v>
                </c:pt>
                <c:pt idx="6">
                  <c:v>3.7244651840139115E-2</c:v>
                </c:pt>
                <c:pt idx="7">
                  <c:v>5.5525793928426624E-2</c:v>
                </c:pt>
                <c:pt idx="8">
                  <c:v>7.3035216658442384E-2</c:v>
                </c:pt>
                <c:pt idx="9">
                  <c:v>4.9109601912947935E-2</c:v>
                </c:pt>
                <c:pt idx="10">
                  <c:v>3.6827833842737911E-2</c:v>
                </c:pt>
                <c:pt idx="11">
                  <c:v>4.843484412939935E-2</c:v>
                </c:pt>
                <c:pt idx="12">
                  <c:v>4.0301469752785257E-2</c:v>
                </c:pt>
                <c:pt idx="13">
                  <c:v>2.5639984025593657E-2</c:v>
                </c:pt>
                <c:pt idx="14">
                  <c:v>3.017328808138486E-2</c:v>
                </c:pt>
                <c:pt idx="15">
                  <c:v>3.3197776896277717E-2</c:v>
                </c:pt>
                <c:pt idx="16">
                  <c:v>3.5504102270697419E-2</c:v>
                </c:pt>
                <c:pt idx="17">
                  <c:v>3.8282263676181372E-2</c:v>
                </c:pt>
                <c:pt idx="18">
                  <c:v>1.9985528546660462E-2</c:v>
                </c:pt>
                <c:pt idx="19">
                  <c:v>1.0339640384571688E-2</c:v>
                </c:pt>
                <c:pt idx="20">
                  <c:v>9.0930147137734865E-3</c:v>
                </c:pt>
                <c:pt idx="21">
                  <c:v>5.9645004928486622E-3</c:v>
                </c:pt>
                <c:pt idx="22">
                  <c:v>3.8682935171734045E-2</c:v>
                </c:pt>
                <c:pt idx="23">
                  <c:v>3.7249756821955513E-2</c:v>
                </c:pt>
                <c:pt idx="24">
                  <c:v>3.6414382541785299E-2</c:v>
                </c:pt>
                <c:pt idx="25">
                  <c:v>3.4873914015017195E-2</c:v>
                </c:pt>
                <c:pt idx="26">
                  <c:v>3.5092052363223152E-2</c:v>
                </c:pt>
                <c:pt idx="27">
                  <c:v>3.3991575968673422E-2</c:v>
                </c:pt>
                <c:pt idx="28">
                  <c:v>3.3585039734320671E-2</c:v>
                </c:pt>
                <c:pt idx="29">
                  <c:v>2.9244398174579037E-2</c:v>
                </c:pt>
                <c:pt idx="30">
                  <c:v>3.0122711089276437E-2</c:v>
                </c:pt>
                <c:pt idx="31">
                  <c:v>3.3199923261270782E-2</c:v>
                </c:pt>
                <c:pt idx="32">
                  <c:v>3.3255026868343439E-2</c:v>
                </c:pt>
              </c:numCache>
            </c:numRef>
          </c:val>
          <c:smooth val="0"/>
          <c:extLst>
            <c:ext xmlns:c16="http://schemas.microsoft.com/office/drawing/2014/chart" uri="{C3380CC4-5D6E-409C-BE32-E72D297353CC}">
              <c16:uniqueId val="{00000014-B136-4812-A0F7-7B99EA2EC524}"/>
            </c:ext>
          </c:extLst>
        </c:ser>
        <c:ser>
          <c:idx val="20"/>
          <c:order val="21"/>
          <c:tx>
            <c:strRef>
              <c:f>'Combustion CO2'!$A$137</c:f>
              <c:strCache>
                <c:ptCount val="1"/>
                <c:pt idx="0">
                  <c:v>Unfinished Oils</c:v>
                </c:pt>
              </c:strCache>
            </c:strRef>
          </c:tx>
          <c:spPr>
            <a:ln w="28575"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CO2'!$B$137:$AI$137</c15:sqref>
                  </c15:fullRef>
                </c:ext>
              </c:extLst>
              <c:f>'Combustion CO2'!$C$137:$AI$137</c:f>
              <c:numCache>
                <c:formatCode>_(* #,##0.00_);_(* \(#,##0.00\);_(*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smooth val="0"/>
          <c:extLst>
            <c:ext xmlns:c16="http://schemas.microsoft.com/office/drawing/2014/chart" uri="{C3380CC4-5D6E-409C-BE32-E72D297353CC}">
              <c16:uniqueId val="{00000015-B136-4812-A0F7-7B99EA2EC524}"/>
            </c:ext>
          </c:extLst>
        </c:ser>
        <c:ser>
          <c:idx val="21"/>
          <c:order val="22"/>
          <c:tx>
            <c:strRef>
              <c:f>'Combustion CO2'!$A$138</c:f>
              <c:strCache>
                <c:ptCount val="1"/>
                <c:pt idx="0">
                  <c:v>Waxes</c:v>
                </c:pt>
              </c:strCache>
            </c:strRef>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CO2'!$B$138:$AI$138</c15:sqref>
                  </c15:fullRef>
                </c:ext>
              </c:extLst>
              <c:f>'Combustion CO2'!$C$138:$AI$138</c:f>
              <c:numCache>
                <c:formatCode>_(* #,##0.00_);_(* \(#,##0.00\);_(* "-"??_);_(@_)</c:formatCode>
                <c:ptCount val="33"/>
                <c:pt idx="0">
                  <c:v>2.3540849350976764E-2</c:v>
                </c:pt>
                <c:pt idx="1">
                  <c:v>2.4979626879580025E-2</c:v>
                </c:pt>
                <c:pt idx="2">
                  <c:v>2.6846976437979998E-2</c:v>
                </c:pt>
                <c:pt idx="3">
                  <c:v>2.7214323892091476E-2</c:v>
                </c:pt>
                <c:pt idx="4">
                  <c:v>2.7214323892091476E-2</c:v>
                </c:pt>
                <c:pt idx="5">
                  <c:v>3.3795965778255332E-2</c:v>
                </c:pt>
                <c:pt idx="6">
                  <c:v>3.0367389539881596E-2</c:v>
                </c:pt>
                <c:pt idx="7">
                  <c:v>2.9418408616760299E-2</c:v>
                </c:pt>
                <c:pt idx="8">
                  <c:v>2.598983237838657E-2</c:v>
                </c:pt>
                <c:pt idx="9">
                  <c:v>2.2959215881966935E-2</c:v>
                </c:pt>
                <c:pt idx="10">
                  <c:v>2.3602073926662009E-2</c:v>
                </c:pt>
                <c:pt idx="11">
                  <c:v>2.0877580308668601E-2</c:v>
                </c:pt>
                <c:pt idx="12">
                  <c:v>2.0142885400445655E-2</c:v>
                </c:pt>
                <c:pt idx="13">
                  <c:v>1.9959211673389918E-2</c:v>
                </c:pt>
                <c:pt idx="14">
                  <c:v>2.0357171415344016E-2</c:v>
                </c:pt>
                <c:pt idx="15">
                  <c:v>1.6255124844432593E-2</c:v>
                </c:pt>
                <c:pt idx="16">
                  <c:v>1.3622468089967048E-2</c:v>
                </c:pt>
                <c:pt idx="17">
                  <c:v>1.1908179970780183E-2</c:v>
                </c:pt>
                <c:pt idx="18">
                  <c:v>7.591847384970399E-3</c:v>
                </c:pt>
                <c:pt idx="19">
                  <c:v>1.0622463881390034E-2</c:v>
                </c:pt>
                <c:pt idx="20">
                  <c:v>9.3673600798425075E-3</c:v>
                </c:pt>
                <c:pt idx="21">
                  <c:v>9.5204215190556208E-3</c:v>
                </c:pt>
                <c:pt idx="22">
                  <c:v>9.4285846555277521E-3</c:v>
                </c:pt>
                <c:pt idx="23">
                  <c:v>8.4796037324064537E-3</c:v>
                </c:pt>
                <c:pt idx="24">
                  <c:v>7.0714384916458137E-3</c:v>
                </c:pt>
                <c:pt idx="25">
                  <c:v>7.3469490822294188E-3</c:v>
                </c:pt>
                <c:pt idx="26">
                  <c:v>5.6020486751999317E-3</c:v>
                </c:pt>
                <c:pt idx="27">
                  <c:v>6.8571524767474567E-3</c:v>
                </c:pt>
                <c:pt idx="28">
                  <c:v>5.7551101144130441E-3</c:v>
                </c:pt>
                <c:pt idx="29">
                  <c:v>5.0816397818753481E-3</c:v>
                </c:pt>
                <c:pt idx="30">
                  <c:v>6.5204173104786095E-3</c:v>
                </c:pt>
                <c:pt idx="31">
                  <c:v>8.2959300053507198E-3</c:v>
                </c:pt>
                <c:pt idx="32">
                  <c:v>5.7551101144130441E-3</c:v>
                </c:pt>
              </c:numCache>
            </c:numRef>
          </c:val>
          <c:smooth val="0"/>
          <c:extLst>
            <c:ext xmlns:c16="http://schemas.microsoft.com/office/drawing/2014/chart" uri="{C3380CC4-5D6E-409C-BE32-E72D297353CC}">
              <c16:uniqueId val="{00000016-B136-4812-A0F7-7B99EA2EC524}"/>
            </c:ext>
          </c:extLst>
        </c:ser>
        <c:dLbls>
          <c:showLegendKey val="0"/>
          <c:showVal val="0"/>
          <c:showCatName val="0"/>
          <c:showSerName val="0"/>
          <c:showPercent val="0"/>
          <c:showBubbleSize val="0"/>
        </c:dLbls>
        <c:marker val="1"/>
        <c:smooth val="0"/>
        <c:axId val="2057055168"/>
        <c:axId val="2057052768"/>
      </c:lineChart>
      <c:catAx>
        <c:axId val="2057055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2057052768"/>
        <c:crosses val="autoZero"/>
        <c:auto val="1"/>
        <c:lblAlgn val="ctr"/>
        <c:lblOffset val="100"/>
        <c:noMultiLvlLbl val="0"/>
      </c:catAx>
      <c:valAx>
        <c:axId val="2057052768"/>
        <c:scaling>
          <c:orientation val="minMax"/>
          <c:max val="6.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r>
                  <a:rPr lang="en-US" sz="1200">
                    <a:latin typeface="Aptos" panose="020B0004020202020204" pitchFamily="34" charset="0"/>
                  </a:rPr>
                  <a:t>MMTCO2</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2057055168"/>
        <c:crosses val="autoZero"/>
        <c:crossBetween val="between"/>
        <c:majorUnit val="0.5"/>
      </c:valAx>
      <c:spPr>
        <a:noFill/>
        <a:ln>
          <a:noFill/>
        </a:ln>
        <a:effectLst/>
      </c:spPr>
    </c:plotArea>
    <c:legend>
      <c:legendPos val="r"/>
      <c:layout>
        <c:manualLayout>
          <c:xMode val="edge"/>
          <c:yMode val="edge"/>
          <c:x val="0.74225505903482902"/>
          <c:y val="7.5495163097176856E-3"/>
          <c:w val="0.24280101639913054"/>
          <c:h val="0.98987967509347541"/>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Aptos" panose="020B0004020202020204" pitchFamily="34" charset="0"/>
                <a:ea typeface="+mn-ea"/>
                <a:cs typeface="+mn-cs"/>
              </a:defRPr>
            </a:pPr>
            <a:r>
              <a:rPr lang="en-US" sz="1600" b="1">
                <a:latin typeface="Aptos" panose="020B0004020202020204" pitchFamily="34" charset="0"/>
              </a:rPr>
              <a:t>Fuel Combustion CO</a:t>
            </a:r>
            <a:r>
              <a:rPr lang="en-US" sz="1600" b="1" baseline="-25000">
                <a:latin typeface="Aptos" panose="020B0004020202020204" pitchFamily="34" charset="0"/>
              </a:rPr>
              <a:t>2</a:t>
            </a:r>
            <a:r>
              <a:rPr lang="en-US" sz="1600" b="1">
                <a:latin typeface="Aptos" panose="020B0004020202020204" pitchFamily="34" charset="0"/>
              </a:rPr>
              <a:t> Emissions by Sector</a:t>
            </a:r>
          </a:p>
        </c:rich>
      </c:tx>
      <c:layout>
        <c:manualLayout>
          <c:xMode val="edge"/>
          <c:yMode val="edge"/>
          <c:x val="0.28339559452515856"/>
          <c:y val="2.2976361485105165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6.2734147821392611E-2"/>
          <c:y val="0.1137574545386047"/>
          <c:w val="0.67578923807993396"/>
          <c:h val="0.75296865362592347"/>
        </c:manualLayout>
      </c:layout>
      <c:lineChart>
        <c:grouping val="standard"/>
        <c:varyColors val="0"/>
        <c:ser>
          <c:idx val="3"/>
          <c:order val="0"/>
          <c:tx>
            <c:strRef>
              <c:f>'Combustion CO2'!$A$76</c:f>
              <c:strCache>
                <c:ptCount val="1"/>
                <c:pt idx="0">
                  <c:v>Transportation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'Combustion CO2'!$B$60:$AI$60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'Combustion CO2'!$B$76:$AI$76</c:f>
              <c:numCache>
                <c:formatCode>_(* #,##0.00_);_(* \(#,##0.00\);_(* "-"??_);_(@_)</c:formatCode>
                <c:ptCount val="34"/>
                <c:pt idx="0">
                  <c:v>28.506437825265561</c:v>
                </c:pt>
                <c:pt idx="1">
                  <c:v>26.924606252648257</c:v>
                </c:pt>
                <c:pt idx="2">
                  <c:v>26.448466366325668</c:v>
                </c:pt>
                <c:pt idx="3">
                  <c:v>26.684940195948617</c:v>
                </c:pt>
                <c:pt idx="4">
                  <c:v>26.904845065360281</c:v>
                </c:pt>
                <c:pt idx="5">
                  <c:v>27.543957964998537</c:v>
                </c:pt>
                <c:pt idx="6">
                  <c:v>28.348712325078182</c:v>
                </c:pt>
                <c:pt idx="7">
                  <c:v>28.69167682250546</c:v>
                </c:pt>
                <c:pt idx="8">
                  <c:v>28.981165134559838</c:v>
                </c:pt>
                <c:pt idx="9">
                  <c:v>29.667708078894687</c:v>
                </c:pt>
                <c:pt idx="10">
                  <c:v>30.840346353806446</c:v>
                </c:pt>
                <c:pt idx="11">
                  <c:v>30.390777107441533</c:v>
                </c:pt>
                <c:pt idx="12">
                  <c:v>30.598758285542431</c:v>
                </c:pt>
                <c:pt idx="13">
                  <c:v>31.043963055913089</c:v>
                </c:pt>
                <c:pt idx="14">
                  <c:v>32.340396822593107</c:v>
                </c:pt>
                <c:pt idx="15">
                  <c:v>32.345380523700079</c:v>
                </c:pt>
                <c:pt idx="16">
                  <c:v>31.466623128123757</c:v>
                </c:pt>
                <c:pt idx="17">
                  <c:v>31.819150693171292</c:v>
                </c:pt>
                <c:pt idx="18">
                  <c:v>30.86282488303754</c:v>
                </c:pt>
                <c:pt idx="19">
                  <c:v>28.977785301980987</c:v>
                </c:pt>
                <c:pt idx="20">
                  <c:v>29.194406294139284</c:v>
                </c:pt>
                <c:pt idx="21">
                  <c:v>29.122866885250296</c:v>
                </c:pt>
                <c:pt idx="22">
                  <c:v>28.589464823242722</c:v>
                </c:pt>
                <c:pt idx="23">
                  <c:v>29.863734621973759</c:v>
                </c:pt>
                <c:pt idx="24">
                  <c:v>28.070166775754295</c:v>
                </c:pt>
                <c:pt idx="25">
                  <c:v>28.563982489108188</c:v>
                </c:pt>
                <c:pt idx="26">
                  <c:v>28.915475634666461</c:v>
                </c:pt>
                <c:pt idx="27">
                  <c:v>28.383866566732596</c:v>
                </c:pt>
                <c:pt idx="28">
                  <c:v>29.007851076241238</c:v>
                </c:pt>
                <c:pt idx="29">
                  <c:v>28.718290747720118</c:v>
                </c:pt>
                <c:pt idx="30">
                  <c:v>22.643265319497907</c:v>
                </c:pt>
                <c:pt idx="31">
                  <c:v>25.369592412136143</c:v>
                </c:pt>
                <c:pt idx="32">
                  <c:v>25.922326415031002</c:v>
                </c:pt>
                <c:pt idx="33">
                  <c:v>25.981513834476111</c:v>
                </c:pt>
              </c:numCache>
            </c:numRef>
          </c:val>
          <c:smooth val="0"/>
          <c:extLst>
            <c:ext xmlns:c16="http://schemas.microsoft.com/office/drawing/2014/chart" uri="{C3380CC4-5D6E-409C-BE32-E72D297353CC}">
              <c16:uniqueId val="{00000000-B002-48AD-B28D-68DB7EE21AF4}"/>
            </c:ext>
          </c:extLst>
        </c:ser>
        <c:ser>
          <c:idx val="0"/>
          <c:order val="1"/>
          <c:tx>
            <c:strRef>
              <c:f>'Combustion CO2'!$A$61</c:f>
              <c:strCache>
                <c:ptCount val="1"/>
                <c:pt idx="0">
                  <c:v>Residential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'Combustion CO2'!$B$60:$AI$60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'Combustion CO2'!$B$61:$AI$61</c:f>
              <c:numCache>
                <c:formatCode>_(* #,##0.00_);_(* \(#,##0.00\);_(* "-"??_);_(@_)</c:formatCode>
                <c:ptCount val="34"/>
                <c:pt idx="0">
                  <c:v>15.09218729035536</c:v>
                </c:pt>
                <c:pt idx="1">
                  <c:v>14.295364882071031</c:v>
                </c:pt>
                <c:pt idx="2">
                  <c:v>16.396053585147097</c:v>
                </c:pt>
                <c:pt idx="3">
                  <c:v>16.518072434056428</c:v>
                </c:pt>
                <c:pt idx="4">
                  <c:v>16.3428113958593</c:v>
                </c:pt>
                <c:pt idx="5">
                  <c:v>14.751248409471906</c:v>
                </c:pt>
                <c:pt idx="6">
                  <c:v>14.548991126703283</c:v>
                </c:pt>
                <c:pt idx="7">
                  <c:v>14.378872297176235</c:v>
                </c:pt>
                <c:pt idx="8">
                  <c:v>13.187544748996455</c:v>
                </c:pt>
                <c:pt idx="9">
                  <c:v>14.010791823643141</c:v>
                </c:pt>
                <c:pt idx="10">
                  <c:v>15.683527402244092</c:v>
                </c:pt>
                <c:pt idx="11">
                  <c:v>16.028702298201726</c:v>
                </c:pt>
                <c:pt idx="12">
                  <c:v>15.947149742292989</c:v>
                </c:pt>
                <c:pt idx="13">
                  <c:v>16.423981121913869</c:v>
                </c:pt>
                <c:pt idx="14">
                  <c:v>15.023642667589685</c:v>
                </c:pt>
                <c:pt idx="15">
                  <c:v>14.927432156389226</c:v>
                </c:pt>
                <c:pt idx="16">
                  <c:v>12.839080399416044</c:v>
                </c:pt>
                <c:pt idx="17">
                  <c:v>13.515090275824232</c:v>
                </c:pt>
                <c:pt idx="18">
                  <c:v>14.388754011560863</c:v>
                </c:pt>
                <c:pt idx="19">
                  <c:v>13.844098792417579</c:v>
                </c:pt>
                <c:pt idx="20">
                  <c:v>13.58211312760811</c:v>
                </c:pt>
                <c:pt idx="21">
                  <c:v>13.600460828624321</c:v>
                </c:pt>
                <c:pt idx="22">
                  <c:v>11.771252865487984</c:v>
                </c:pt>
                <c:pt idx="23">
                  <c:v>12.275948634716979</c:v>
                </c:pt>
                <c:pt idx="24">
                  <c:v>13.597318047079337</c:v>
                </c:pt>
                <c:pt idx="25">
                  <c:v>13.519448387674942</c:v>
                </c:pt>
                <c:pt idx="26">
                  <c:v>11.310053467582465</c:v>
                </c:pt>
                <c:pt idx="27">
                  <c:v>12.297294972031565</c:v>
                </c:pt>
                <c:pt idx="28">
                  <c:v>13.287752133780446</c:v>
                </c:pt>
                <c:pt idx="29">
                  <c:v>13.607792464408146</c:v>
                </c:pt>
                <c:pt idx="30">
                  <c:v>12.105531353840195</c:v>
                </c:pt>
                <c:pt idx="31">
                  <c:v>12.481778897291683</c:v>
                </c:pt>
                <c:pt idx="32">
                  <c:v>12.880271418154676</c:v>
                </c:pt>
                <c:pt idx="33">
                  <c:v>11.712554814178027</c:v>
                </c:pt>
              </c:numCache>
            </c:numRef>
          </c:val>
          <c:smooth val="0"/>
          <c:extLst>
            <c:ext xmlns:c16="http://schemas.microsoft.com/office/drawing/2014/chart" uri="{C3380CC4-5D6E-409C-BE32-E72D297353CC}">
              <c16:uniqueId val="{00000001-B002-48AD-B28D-68DB7EE21AF4}"/>
            </c:ext>
          </c:extLst>
        </c:ser>
        <c:ser>
          <c:idx val="1"/>
          <c:order val="2"/>
          <c:tx>
            <c:strRef>
              <c:f>'Combustion CO2'!$A$66</c:f>
              <c:strCache>
                <c:ptCount val="1"/>
                <c:pt idx="0">
                  <c:v>Commercial**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'Combustion CO2'!$B$60:$AI$60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'Combustion CO2'!$B$66:$AI$66</c:f>
              <c:numCache>
                <c:formatCode>_(* #,##0.00_);_(* \(#,##0.00\);_(* "-"??_);_(@_)</c:formatCode>
                <c:ptCount val="34"/>
                <c:pt idx="0">
                  <c:v>8.393199905810599</c:v>
                </c:pt>
                <c:pt idx="1">
                  <c:v>9.1714074410264743</c:v>
                </c:pt>
                <c:pt idx="2">
                  <c:v>8.9309955359805997</c:v>
                </c:pt>
                <c:pt idx="3">
                  <c:v>7.9899165283760158</c:v>
                </c:pt>
                <c:pt idx="4">
                  <c:v>8.8622762327746258</c:v>
                </c:pt>
                <c:pt idx="5">
                  <c:v>8.9583234115736374</c:v>
                </c:pt>
                <c:pt idx="6">
                  <c:v>9.0613426494264466</c:v>
                </c:pt>
                <c:pt idx="7">
                  <c:v>9.4523565880490032</c:v>
                </c:pt>
                <c:pt idx="8">
                  <c:v>8.0754548915353492</c:v>
                </c:pt>
                <c:pt idx="9">
                  <c:v>6.1959925594355161</c:v>
                </c:pt>
                <c:pt idx="10">
                  <c:v>6.7932535616058303</c:v>
                </c:pt>
                <c:pt idx="11">
                  <c:v>5.7670060508675816</c:v>
                </c:pt>
                <c:pt idx="12">
                  <c:v>5.8880337932122524</c:v>
                </c:pt>
                <c:pt idx="13">
                  <c:v>7.1132084080597142</c:v>
                </c:pt>
                <c:pt idx="14">
                  <c:v>6.5373600288097862</c:v>
                </c:pt>
                <c:pt idx="15">
                  <c:v>6.6865712143985894</c:v>
                </c:pt>
                <c:pt idx="16">
                  <c:v>5.0160944446169093</c:v>
                </c:pt>
                <c:pt idx="17">
                  <c:v>5.3484329327599998</c:v>
                </c:pt>
                <c:pt idx="18">
                  <c:v>5.5954704389832886</c:v>
                </c:pt>
                <c:pt idx="19">
                  <c:v>5.7930992378099821</c:v>
                </c:pt>
                <c:pt idx="20">
                  <c:v>6.7205520029870893</c:v>
                </c:pt>
                <c:pt idx="21">
                  <c:v>6.3331977627934162</c:v>
                </c:pt>
                <c:pt idx="22">
                  <c:v>5.2380301223549299</c:v>
                </c:pt>
                <c:pt idx="23">
                  <c:v>6.7631182630681863</c:v>
                </c:pt>
                <c:pt idx="24">
                  <c:v>7.1468891863233202</c:v>
                </c:pt>
                <c:pt idx="25">
                  <c:v>7.5477779593100482</c:v>
                </c:pt>
                <c:pt idx="26">
                  <c:v>6.9658066582217053</c:v>
                </c:pt>
                <c:pt idx="27">
                  <c:v>7.3094808835971969</c:v>
                </c:pt>
                <c:pt idx="28">
                  <c:v>7.8497504734391494</c:v>
                </c:pt>
                <c:pt idx="29">
                  <c:v>8.0270134847250123</c:v>
                </c:pt>
                <c:pt idx="30">
                  <c:v>7.2217716233752993</c:v>
                </c:pt>
                <c:pt idx="31">
                  <c:v>7.3504067174673029</c:v>
                </c:pt>
                <c:pt idx="32">
                  <c:v>8.0934423507441764</c:v>
                </c:pt>
                <c:pt idx="33">
                  <c:v>7.5112031192163426</c:v>
                </c:pt>
              </c:numCache>
            </c:numRef>
          </c:val>
          <c:smooth val="0"/>
          <c:extLst>
            <c:ext xmlns:c16="http://schemas.microsoft.com/office/drawing/2014/chart" uri="{C3380CC4-5D6E-409C-BE32-E72D297353CC}">
              <c16:uniqueId val="{00000002-B002-48AD-B28D-68DB7EE21AF4}"/>
            </c:ext>
          </c:extLst>
        </c:ser>
        <c:ser>
          <c:idx val="4"/>
          <c:order val="3"/>
          <c:tx>
            <c:strRef>
              <c:f>'Combustion CO2'!$A$81</c:f>
              <c:strCache>
                <c:ptCount val="1"/>
                <c:pt idx="0">
                  <c:v>Electric Power</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'Combustion CO2'!$B$60:$AI$60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'Combustion CO2'!$B$81:$AI$81</c:f>
              <c:numCache>
                <c:formatCode>_(* #,##0.00_);_(* \(#,##0.00\);_(* "-"??_);_(@_)</c:formatCode>
                <c:ptCount val="34"/>
                <c:pt idx="0">
                  <c:v>25.256636732676711</c:v>
                </c:pt>
                <c:pt idx="1">
                  <c:v>25.914728879913365</c:v>
                </c:pt>
                <c:pt idx="2">
                  <c:v>24.426681636914616</c:v>
                </c:pt>
                <c:pt idx="3">
                  <c:v>21.967535985573292</c:v>
                </c:pt>
                <c:pt idx="4">
                  <c:v>22.308384804598031</c:v>
                </c:pt>
                <c:pt idx="5">
                  <c:v>21.438788153844321</c:v>
                </c:pt>
                <c:pt idx="6">
                  <c:v>20.883901096087193</c:v>
                </c:pt>
                <c:pt idx="7">
                  <c:v>26.163942634042538</c:v>
                </c:pt>
                <c:pt idx="8">
                  <c:v>26.747611926121515</c:v>
                </c:pt>
                <c:pt idx="9">
                  <c:v>24.004093488628136</c:v>
                </c:pt>
                <c:pt idx="10">
                  <c:v>22.176187156381239</c:v>
                </c:pt>
                <c:pt idx="11">
                  <c:v>21.9644181064916</c:v>
                </c:pt>
                <c:pt idx="12">
                  <c:v>22.920165736663847</c:v>
                </c:pt>
                <c:pt idx="13">
                  <c:v>25.00860220508946</c:v>
                </c:pt>
                <c:pt idx="14">
                  <c:v>23.742061768767062</c:v>
                </c:pt>
                <c:pt idx="15">
                  <c:v>24.508508839562417</c:v>
                </c:pt>
                <c:pt idx="16">
                  <c:v>21.605252315219431</c:v>
                </c:pt>
                <c:pt idx="17">
                  <c:v>23.666295740032623</c:v>
                </c:pt>
                <c:pt idx="18">
                  <c:v>20.168912335399149</c:v>
                </c:pt>
                <c:pt idx="19">
                  <c:v>17.585116309401926</c:v>
                </c:pt>
                <c:pt idx="20">
                  <c:v>18.286569094037727</c:v>
                </c:pt>
                <c:pt idx="21">
                  <c:v>14.354837458195698</c:v>
                </c:pt>
                <c:pt idx="22">
                  <c:v>12.131402331331717</c:v>
                </c:pt>
                <c:pt idx="23">
                  <c:v>12.659822445437143</c:v>
                </c:pt>
                <c:pt idx="24">
                  <c:v>10.782306921880684</c:v>
                </c:pt>
                <c:pt idx="25">
                  <c:v>11.311329440348851</c:v>
                </c:pt>
                <c:pt idx="26">
                  <c:v>10.704619766914323</c:v>
                </c:pt>
                <c:pt idx="27">
                  <c:v>10.277411017637217</c:v>
                </c:pt>
                <c:pt idx="28">
                  <c:v>7.6499388544811335</c:v>
                </c:pt>
                <c:pt idx="29">
                  <c:v>6.2240808974230486</c:v>
                </c:pt>
                <c:pt idx="30">
                  <c:v>5.7447834902179773</c:v>
                </c:pt>
                <c:pt idx="31">
                  <c:v>6.1409138216974188</c:v>
                </c:pt>
                <c:pt idx="32">
                  <c:v>6.805501872639649</c:v>
                </c:pt>
                <c:pt idx="33">
                  <c:v>5.9727830458898277</c:v>
                </c:pt>
              </c:numCache>
            </c:numRef>
          </c:val>
          <c:smooth val="0"/>
          <c:extLst>
            <c:ext xmlns:c16="http://schemas.microsoft.com/office/drawing/2014/chart" uri="{C3380CC4-5D6E-409C-BE32-E72D297353CC}">
              <c16:uniqueId val="{00000003-B002-48AD-B28D-68DB7EE21AF4}"/>
            </c:ext>
          </c:extLst>
        </c:ser>
        <c:ser>
          <c:idx val="2"/>
          <c:order val="4"/>
          <c:tx>
            <c:strRef>
              <c:f>'Combustion CO2'!$A$71</c:f>
              <c:strCache>
                <c:ptCount val="1"/>
                <c:pt idx="0">
                  <c:v>Industrial*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'Combustion CO2'!$B$60:$AI$60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'Combustion CO2'!$B$71:$AI$71</c:f>
              <c:numCache>
                <c:formatCode>_(* #,##0.00_);_(* \(#,##0.00\);_(* "-"??_);_(@_)</c:formatCode>
                <c:ptCount val="34"/>
                <c:pt idx="0">
                  <c:v>5.4029918486572228</c:v>
                </c:pt>
                <c:pt idx="1">
                  <c:v>4.5241963792028006</c:v>
                </c:pt>
                <c:pt idx="2">
                  <c:v>6.196120339667166</c:v>
                </c:pt>
                <c:pt idx="3">
                  <c:v>6.3524480004604289</c:v>
                </c:pt>
                <c:pt idx="4">
                  <c:v>5.4819205214131737</c:v>
                </c:pt>
                <c:pt idx="5">
                  <c:v>4.799124624067149</c:v>
                </c:pt>
                <c:pt idx="6">
                  <c:v>4.75504493150014</c:v>
                </c:pt>
                <c:pt idx="7">
                  <c:v>4.8391149240722537</c:v>
                </c:pt>
                <c:pt idx="8">
                  <c:v>4.6425953861799725</c:v>
                </c:pt>
                <c:pt idx="9">
                  <c:v>5.324582932332838</c:v>
                </c:pt>
                <c:pt idx="10">
                  <c:v>5.2136458030450861</c:v>
                </c:pt>
                <c:pt idx="11">
                  <c:v>6.3114014118719561</c:v>
                </c:pt>
                <c:pt idx="12">
                  <c:v>6.1690505039776617</c:v>
                </c:pt>
                <c:pt idx="13">
                  <c:v>4.1418598354447296</c:v>
                </c:pt>
                <c:pt idx="14">
                  <c:v>4.0150990192714158</c:v>
                </c:pt>
                <c:pt idx="15">
                  <c:v>4.2697051145872669</c:v>
                </c:pt>
                <c:pt idx="16">
                  <c:v>4.0677081935533161</c:v>
                </c:pt>
                <c:pt idx="17">
                  <c:v>3.9614178944807481</c:v>
                </c:pt>
                <c:pt idx="18">
                  <c:v>3.6776679080539032</c:v>
                </c:pt>
                <c:pt idx="19">
                  <c:v>2.9614097522885445</c:v>
                </c:pt>
                <c:pt idx="20">
                  <c:v>3.4875602377014707</c:v>
                </c:pt>
                <c:pt idx="21">
                  <c:v>3.6789297255419582</c:v>
                </c:pt>
                <c:pt idx="22">
                  <c:v>3.1915395199877956</c:v>
                </c:pt>
                <c:pt idx="23">
                  <c:v>3.3630292704257805</c:v>
                </c:pt>
                <c:pt idx="24">
                  <c:v>3.2602165239692171</c:v>
                </c:pt>
                <c:pt idx="25">
                  <c:v>3.2823083352570848</c:v>
                </c:pt>
                <c:pt idx="26">
                  <c:v>3.1662665581676284</c:v>
                </c:pt>
                <c:pt idx="27">
                  <c:v>3.2336648396866163</c:v>
                </c:pt>
                <c:pt idx="28">
                  <c:v>3.2038785042914624</c:v>
                </c:pt>
                <c:pt idx="29">
                  <c:v>3.244068751389845</c:v>
                </c:pt>
                <c:pt idx="30">
                  <c:v>3.0398049356378154</c:v>
                </c:pt>
                <c:pt idx="31">
                  <c:v>3.2122856536414419</c:v>
                </c:pt>
                <c:pt idx="32">
                  <c:v>3.2423547772972263</c:v>
                </c:pt>
                <c:pt idx="33">
                  <c:v>2.981429791228452</c:v>
                </c:pt>
              </c:numCache>
            </c:numRef>
          </c:val>
          <c:smooth val="0"/>
          <c:extLst>
            <c:ext xmlns:c16="http://schemas.microsoft.com/office/drawing/2014/chart" uri="{C3380CC4-5D6E-409C-BE32-E72D297353CC}">
              <c16:uniqueId val="{00000004-B002-48AD-B28D-68DB7EE21AF4}"/>
            </c:ext>
          </c:extLst>
        </c:ser>
        <c:dLbls>
          <c:showLegendKey val="0"/>
          <c:showVal val="0"/>
          <c:showCatName val="0"/>
          <c:showSerName val="0"/>
          <c:showPercent val="0"/>
          <c:showBubbleSize val="0"/>
        </c:dLbls>
        <c:marker val="1"/>
        <c:smooth val="0"/>
        <c:axId val="44231599"/>
        <c:axId val="44224879"/>
      </c:lineChart>
      <c:catAx>
        <c:axId val="442315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44224879"/>
        <c:crosses val="autoZero"/>
        <c:auto val="1"/>
        <c:lblAlgn val="ctr"/>
        <c:lblOffset val="100"/>
        <c:noMultiLvlLbl val="0"/>
      </c:catAx>
      <c:valAx>
        <c:axId val="4422487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r>
                  <a:rPr lang="en-US" sz="1200">
                    <a:latin typeface="Aptos" panose="020B0004020202020204" pitchFamily="34" charset="0"/>
                  </a:rPr>
                  <a:t>MMTCO2</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44231599"/>
        <c:crosses val="autoZero"/>
        <c:crossBetween val="between"/>
      </c:valAx>
      <c:spPr>
        <a:noFill/>
        <a:ln>
          <a:noFill/>
        </a:ln>
        <a:effectLst/>
      </c:spPr>
    </c:plotArea>
    <c:legend>
      <c:legendPos val="r"/>
      <c:layout>
        <c:manualLayout>
          <c:xMode val="edge"/>
          <c:yMode val="edge"/>
          <c:x val="0.74330834921145061"/>
          <c:y val="0.22650833982233456"/>
          <c:w val="0.2479452951034182"/>
          <c:h val="0.472631809682339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solidFill>
                  <a:sysClr val="windowText" lastClr="000000"/>
                </a:solidFill>
              </a:defRPr>
            </a:pPr>
            <a:r>
              <a:rPr lang="en-US" sz="1600">
                <a:solidFill>
                  <a:sysClr val="windowText" lastClr="000000"/>
                </a:solidFill>
              </a:rPr>
              <a:t>MA electric sector MMTCO</a:t>
            </a:r>
            <a:r>
              <a:rPr lang="en-US" sz="1600" baseline="-25000">
                <a:solidFill>
                  <a:sysClr val="windowText" lastClr="000000"/>
                </a:solidFill>
              </a:rPr>
              <a:t>2</a:t>
            </a:r>
            <a:r>
              <a:rPr lang="en-US" sz="1600">
                <a:solidFill>
                  <a:sysClr val="windowText" lastClr="000000"/>
                </a:solidFill>
              </a:rPr>
              <a:t>e</a:t>
            </a:r>
          </a:p>
        </c:rich>
      </c:tx>
      <c:layout>
        <c:manualLayout>
          <c:xMode val="edge"/>
          <c:yMode val="edge"/>
          <c:x val="5.7030385821655337E-2"/>
          <c:y val="2.7586206896551724E-2"/>
        </c:manualLayout>
      </c:layout>
      <c:overlay val="0"/>
    </c:title>
    <c:autoTitleDeleted val="0"/>
    <c:plotArea>
      <c:layout>
        <c:manualLayout>
          <c:layoutTarget val="inner"/>
          <c:xMode val="edge"/>
          <c:yMode val="edge"/>
          <c:x val="6.1678470075186446E-2"/>
          <c:y val="0.19480351414406533"/>
          <c:w val="0.59587561015606649"/>
          <c:h val="0.55848995260241407"/>
        </c:manualLayout>
      </c:layout>
      <c:lineChart>
        <c:grouping val="standard"/>
        <c:varyColors val="0"/>
        <c:ser>
          <c:idx val="0"/>
          <c:order val="0"/>
          <c:tx>
            <c:strRef>
              <c:f>Process!$A$24</c:f>
              <c:strCache>
                <c:ptCount val="1"/>
                <c:pt idx="0">
                  <c:v>Electricity Total CO2e from Fuel Combustion</c:v>
                </c:pt>
              </c:strCache>
            </c:strRef>
          </c:tx>
          <c:spPr>
            <a:ln>
              <a:solidFill>
                <a:srgbClr val="FF00FF"/>
              </a:solidFill>
            </a:ln>
          </c:spPr>
          <c:marker>
            <c:symbol val="triangle"/>
            <c:size val="8"/>
            <c:spPr>
              <a:solidFill>
                <a:srgbClr val="FF99FF"/>
              </a:solidFill>
              <a:ln>
                <a:noFill/>
              </a:ln>
            </c:spPr>
          </c:marker>
          <c:cat>
            <c:strRef>
              <c:f>Process!$B$7:$AK$7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Process!$B$24:$AI$24</c:f>
              <c:numCache>
                <c:formatCode>#,##0.0</c:formatCode>
                <c:ptCount val="34"/>
                <c:pt idx="0">
                  <c:v>28.162431330116149</c:v>
                </c:pt>
                <c:pt idx="1">
                  <c:v>28.264086112233116</c:v>
                </c:pt>
                <c:pt idx="2">
                  <c:v>27.083465220071602</c:v>
                </c:pt>
                <c:pt idx="3">
                  <c:v>25.451998051107321</c:v>
                </c:pt>
                <c:pt idx="4">
                  <c:v>25.542371654754771</c:v>
                </c:pt>
                <c:pt idx="5">
                  <c:v>24.730600597448042</c:v>
                </c:pt>
                <c:pt idx="6">
                  <c:v>24.51855665029958</c:v>
                </c:pt>
                <c:pt idx="7">
                  <c:v>28.637910886582169</c:v>
                </c:pt>
                <c:pt idx="8">
                  <c:v>29.274838523518994</c:v>
                </c:pt>
                <c:pt idx="9">
                  <c:v>27.873815963592197</c:v>
                </c:pt>
                <c:pt idx="10">
                  <c:v>27.07555759560249</c:v>
                </c:pt>
                <c:pt idx="11">
                  <c:v>26.559330901711363</c:v>
                </c:pt>
                <c:pt idx="12">
                  <c:v>28.147865813381259</c:v>
                </c:pt>
                <c:pt idx="13">
                  <c:v>29.637443235091379</c:v>
                </c:pt>
                <c:pt idx="14">
                  <c:v>28.52854665158296</c:v>
                </c:pt>
                <c:pt idx="15">
                  <c:v>29.976865531050549</c:v>
                </c:pt>
                <c:pt idx="16">
                  <c:v>26.19038965355578</c:v>
                </c:pt>
                <c:pt idx="17">
                  <c:v>27.844045975987939</c:v>
                </c:pt>
                <c:pt idx="18">
                  <c:v>25.13013800459893</c:v>
                </c:pt>
                <c:pt idx="19">
                  <c:v>22.503797660883695</c:v>
                </c:pt>
                <c:pt idx="20">
                  <c:v>23.211386378367123</c:v>
                </c:pt>
                <c:pt idx="21">
                  <c:v>18.281940644785681</c:v>
                </c:pt>
                <c:pt idx="22">
                  <c:v>15.861730730057928</c:v>
                </c:pt>
                <c:pt idx="23">
                  <c:v>16.4512569723315</c:v>
                </c:pt>
                <c:pt idx="24">
                  <c:v>14.88463344566345</c:v>
                </c:pt>
                <c:pt idx="25">
                  <c:v>15.686193768215984</c:v>
                </c:pt>
                <c:pt idx="26">
                  <c:v>14.734081239424333</c:v>
                </c:pt>
                <c:pt idx="27">
                  <c:v>13.614370068180438</c:v>
                </c:pt>
                <c:pt idx="28">
                  <c:v>12.134257842909928</c:v>
                </c:pt>
                <c:pt idx="29">
                  <c:v>10.722427778971639</c:v>
                </c:pt>
                <c:pt idx="30">
                  <c:v>12.806025714474893</c:v>
                </c:pt>
                <c:pt idx="31">
                  <c:v>12.487184309944796</c:v>
                </c:pt>
                <c:pt idx="32">
                  <c:v>12.230393622083517</c:v>
                </c:pt>
                <c:pt idx="33">
                  <c:v>11.260706072606789</c:v>
                </c:pt>
              </c:numCache>
            </c:numRef>
          </c:val>
          <c:smooth val="0"/>
          <c:extLst>
            <c:ext xmlns:c16="http://schemas.microsoft.com/office/drawing/2014/chart" uri="{C3380CC4-5D6E-409C-BE32-E72D297353CC}">
              <c16:uniqueId val="{00000000-BDBD-44B3-81CD-9CA99627497F}"/>
            </c:ext>
          </c:extLst>
        </c:ser>
        <c:ser>
          <c:idx val="1"/>
          <c:order val="1"/>
          <c:tx>
            <c:strRef>
              <c:f>Process!$A$25</c:f>
              <c:strCache>
                <c:ptCount val="1"/>
                <c:pt idx="0">
                  <c:v>Electric Generation CO2</c:v>
                </c:pt>
              </c:strCache>
            </c:strRef>
          </c:tx>
          <c:spPr>
            <a:ln>
              <a:solidFill>
                <a:srgbClr val="002060"/>
              </a:solidFill>
            </a:ln>
          </c:spPr>
          <c:marker>
            <c:symbol val="square"/>
            <c:size val="5"/>
            <c:spPr>
              <a:solidFill>
                <a:schemeClr val="accent1">
                  <a:lumMod val="50000"/>
                </a:schemeClr>
              </a:solidFill>
              <a:ln>
                <a:noFill/>
              </a:ln>
            </c:spPr>
          </c:marker>
          <c:cat>
            <c:strRef>
              <c:f>Process!$B$7:$AK$7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Process!$B$25:$AI$25</c:f>
              <c:numCache>
                <c:formatCode>#,##0.0</c:formatCode>
                <c:ptCount val="34"/>
                <c:pt idx="0">
                  <c:v>25.256636732676711</c:v>
                </c:pt>
                <c:pt idx="1">
                  <c:v>25.914728879913365</c:v>
                </c:pt>
                <c:pt idx="2">
                  <c:v>24.426681636914616</c:v>
                </c:pt>
                <c:pt idx="3">
                  <c:v>21.967535985573292</c:v>
                </c:pt>
                <c:pt idx="4">
                  <c:v>22.308384804598031</c:v>
                </c:pt>
                <c:pt idx="5">
                  <c:v>21.438788153844321</c:v>
                </c:pt>
                <c:pt idx="6">
                  <c:v>20.883901096087193</c:v>
                </c:pt>
                <c:pt idx="7">
                  <c:v>26.163942634042538</c:v>
                </c:pt>
                <c:pt idx="8">
                  <c:v>26.747611926121515</c:v>
                </c:pt>
                <c:pt idx="9">
                  <c:v>24.004093488628136</c:v>
                </c:pt>
                <c:pt idx="10">
                  <c:v>22.176187156381239</c:v>
                </c:pt>
                <c:pt idx="11">
                  <c:v>21.9644181064916</c:v>
                </c:pt>
                <c:pt idx="12">
                  <c:v>22.920165736663847</c:v>
                </c:pt>
                <c:pt idx="13">
                  <c:v>25.00860220508946</c:v>
                </c:pt>
                <c:pt idx="14">
                  <c:v>23.742061768767062</c:v>
                </c:pt>
                <c:pt idx="15">
                  <c:v>24.508508839562417</c:v>
                </c:pt>
                <c:pt idx="16">
                  <c:v>21.605252315219431</c:v>
                </c:pt>
                <c:pt idx="17">
                  <c:v>23.666295740032623</c:v>
                </c:pt>
                <c:pt idx="18">
                  <c:v>20.168912335399149</c:v>
                </c:pt>
                <c:pt idx="19">
                  <c:v>17.585116309401926</c:v>
                </c:pt>
                <c:pt idx="20">
                  <c:v>18.286569094037727</c:v>
                </c:pt>
                <c:pt idx="21">
                  <c:v>14.354837458195698</c:v>
                </c:pt>
                <c:pt idx="22">
                  <c:v>12.131402331331717</c:v>
                </c:pt>
                <c:pt idx="23">
                  <c:v>12.659822445437143</c:v>
                </c:pt>
                <c:pt idx="24">
                  <c:v>10.782306921880684</c:v>
                </c:pt>
                <c:pt idx="25">
                  <c:v>11.311329440348851</c:v>
                </c:pt>
                <c:pt idx="26">
                  <c:v>10.704619766914323</c:v>
                </c:pt>
                <c:pt idx="27">
                  <c:v>10.277411017637217</c:v>
                </c:pt>
                <c:pt idx="28">
                  <c:v>7.6499388544811335</c:v>
                </c:pt>
                <c:pt idx="29">
                  <c:v>6.2240808974230486</c:v>
                </c:pt>
                <c:pt idx="30">
                  <c:v>5.7447834902179773</c:v>
                </c:pt>
                <c:pt idx="31">
                  <c:v>6.1409138216974188</c:v>
                </c:pt>
                <c:pt idx="32">
                  <c:v>6.805501872639649</c:v>
                </c:pt>
                <c:pt idx="33">
                  <c:v>5.9727830458898277</c:v>
                </c:pt>
              </c:numCache>
            </c:numRef>
          </c:val>
          <c:smooth val="0"/>
          <c:extLst>
            <c:ext xmlns:c16="http://schemas.microsoft.com/office/drawing/2014/chart" uri="{C3380CC4-5D6E-409C-BE32-E72D297353CC}">
              <c16:uniqueId val="{00000001-BDBD-44B3-81CD-9CA99627497F}"/>
            </c:ext>
          </c:extLst>
        </c:ser>
        <c:ser>
          <c:idx val="4"/>
          <c:order val="2"/>
          <c:tx>
            <c:strRef>
              <c:f>Process!$A$28</c:f>
              <c:strCache>
                <c:ptCount val="1"/>
                <c:pt idx="0">
                  <c:v>Electricity Imports (CO2, CH4 and N2O)</c:v>
                </c:pt>
              </c:strCache>
            </c:strRef>
          </c:tx>
          <c:spPr>
            <a:ln>
              <a:solidFill>
                <a:schemeClr val="accent2">
                  <a:lumMod val="75000"/>
                </a:schemeClr>
              </a:solidFill>
            </a:ln>
          </c:spPr>
          <c:marker>
            <c:symbol val="triangle"/>
            <c:size val="6"/>
            <c:spPr>
              <a:solidFill>
                <a:schemeClr val="accent2">
                  <a:lumMod val="50000"/>
                </a:schemeClr>
              </a:solidFill>
              <a:ln>
                <a:noFill/>
              </a:ln>
            </c:spPr>
          </c:marker>
          <c:cat>
            <c:strRef>
              <c:f>Process!$B$7:$AK$7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Process!$B$28:$AI$28</c:f>
              <c:numCache>
                <c:formatCode>#,##0.0</c:formatCode>
                <c:ptCount val="34"/>
                <c:pt idx="0">
                  <c:v>1.8858940212182027</c:v>
                </c:pt>
                <c:pt idx="1">
                  <c:v>1.1724041159564047</c:v>
                </c:pt>
                <c:pt idx="2">
                  <c:v>1.4752219821672543</c:v>
                </c:pt>
                <c:pt idx="3">
                  <c:v>2.1606319969895238</c:v>
                </c:pt>
                <c:pt idx="4">
                  <c:v>1.8606896976971012</c:v>
                </c:pt>
                <c:pt idx="5">
                  <c:v>1.9424413128723124</c:v>
                </c:pt>
                <c:pt idx="6">
                  <c:v>2.1100141227923412</c:v>
                </c:pt>
                <c:pt idx="7">
                  <c:v>0.92218599359594056</c:v>
                </c:pt>
                <c:pt idx="8">
                  <c:v>0.9110947061645297</c:v>
                </c:pt>
                <c:pt idx="9">
                  <c:v>2.2206927454267458</c:v>
                </c:pt>
                <c:pt idx="10">
                  <c:v>3.1177751602306079</c:v>
                </c:pt>
                <c:pt idx="11">
                  <c:v>2.7304610756268213</c:v>
                </c:pt>
                <c:pt idx="12">
                  <c:v>3.3680431512014977</c:v>
                </c:pt>
                <c:pt idx="13">
                  <c:v>2.7376472247771821</c:v>
                </c:pt>
                <c:pt idx="14">
                  <c:v>2.8617100488563549</c:v>
                </c:pt>
                <c:pt idx="15">
                  <c:v>3.4144696386176672</c:v>
                </c:pt>
                <c:pt idx="16">
                  <c:v>2.5534994899415717</c:v>
                </c:pt>
                <c:pt idx="17">
                  <c:v>2.2266959156511517</c:v>
                </c:pt>
                <c:pt idx="18">
                  <c:v>2.7135384030986245</c:v>
                </c:pt>
                <c:pt idx="19">
                  <c:v>2.7435998839761511</c:v>
                </c:pt>
                <c:pt idx="20">
                  <c:v>2.4424966762479952</c:v>
                </c:pt>
                <c:pt idx="21">
                  <c:v>2.762607960078582</c:v>
                </c:pt>
                <c:pt idx="22">
                  <c:v>2.5791425425944108</c:v>
                </c:pt>
                <c:pt idx="23">
                  <c:v>2.5775033696333551</c:v>
                </c:pt>
                <c:pt idx="24">
                  <c:v>2.8572204393981666</c:v>
                </c:pt>
                <c:pt idx="25">
                  <c:v>3.1280148954123335</c:v>
                </c:pt>
                <c:pt idx="26">
                  <c:v>2.7685856857608093</c:v>
                </c:pt>
                <c:pt idx="27">
                  <c:v>2.1456933025826213</c:v>
                </c:pt>
                <c:pt idx="28">
                  <c:v>3.3046574846037937</c:v>
                </c:pt>
                <c:pt idx="29">
                  <c:v>3.3996567306085903</c:v>
                </c:pt>
                <c:pt idx="30">
                  <c:v>5.8843166806447158</c:v>
                </c:pt>
                <c:pt idx="31">
                  <c:v>5.111868658436177</c:v>
                </c:pt>
                <c:pt idx="32">
                  <c:v>4.1323357808358683</c:v>
                </c:pt>
                <c:pt idx="33">
                  <c:v>4.0468233593785614</c:v>
                </c:pt>
              </c:numCache>
            </c:numRef>
          </c:val>
          <c:smooth val="0"/>
          <c:extLst>
            <c:ext xmlns:c16="http://schemas.microsoft.com/office/drawing/2014/chart" uri="{C3380CC4-5D6E-409C-BE32-E72D297353CC}">
              <c16:uniqueId val="{00000002-BDBD-44B3-81CD-9CA99627497F}"/>
            </c:ext>
          </c:extLst>
        </c:ser>
        <c:ser>
          <c:idx val="3"/>
          <c:order val="3"/>
          <c:tx>
            <c:strRef>
              <c:f>Process!$A$27</c:f>
              <c:strCache>
                <c:ptCount val="1"/>
                <c:pt idx="0">
                  <c:v>Electric Generation from MSW (CO2, CH4, N2O)</c:v>
                </c:pt>
              </c:strCache>
            </c:strRef>
          </c:tx>
          <c:spPr>
            <a:ln>
              <a:solidFill>
                <a:srgbClr val="669900"/>
              </a:solidFill>
            </a:ln>
          </c:spPr>
          <c:marker>
            <c:symbol val="circle"/>
            <c:size val="6"/>
            <c:spPr>
              <a:solidFill>
                <a:schemeClr val="accent3">
                  <a:lumMod val="50000"/>
                </a:schemeClr>
              </a:solidFill>
              <a:ln>
                <a:noFill/>
              </a:ln>
            </c:spPr>
          </c:marker>
          <c:cat>
            <c:strRef>
              <c:f>Process!$B$7:$AK$7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Process!$B$27:$AI$27</c:f>
              <c:numCache>
                <c:formatCode>#,##0.0</c:formatCode>
                <c:ptCount val="34"/>
                <c:pt idx="0">
                  <c:v>0.92601628752123666</c:v>
                </c:pt>
                <c:pt idx="1">
                  <c:v>1.0801301569133455</c:v>
                </c:pt>
                <c:pt idx="2">
                  <c:v>1.0906473008397313</c:v>
                </c:pt>
                <c:pt idx="3">
                  <c:v>1.242718904054505</c:v>
                </c:pt>
                <c:pt idx="4">
                  <c:v>1.2928195089196404</c:v>
                </c:pt>
                <c:pt idx="5">
                  <c:v>1.2744958903414088</c:v>
                </c:pt>
                <c:pt idx="6">
                  <c:v>1.4468622619050446</c:v>
                </c:pt>
                <c:pt idx="7">
                  <c:v>1.4555860623276906</c:v>
                </c:pt>
                <c:pt idx="8">
                  <c:v>1.5164204737577511</c:v>
                </c:pt>
                <c:pt idx="9">
                  <c:v>1.557924676415414</c:v>
                </c:pt>
                <c:pt idx="10">
                  <c:v>1.6955563813287422</c:v>
                </c:pt>
                <c:pt idx="11">
                  <c:v>1.7803166091743412</c:v>
                </c:pt>
                <c:pt idx="12">
                  <c:v>1.7760175871093165</c:v>
                </c:pt>
                <c:pt idx="13">
                  <c:v>1.8060576400639383</c:v>
                </c:pt>
                <c:pt idx="14">
                  <c:v>1.8435570813811437</c:v>
                </c:pt>
                <c:pt idx="15">
                  <c:v>1.9668336222264622</c:v>
                </c:pt>
                <c:pt idx="16">
                  <c:v>1.9577518984647779</c:v>
                </c:pt>
                <c:pt idx="17">
                  <c:v>1.8710997732851635</c:v>
                </c:pt>
                <c:pt idx="18">
                  <c:v>2.1772402484491562</c:v>
                </c:pt>
                <c:pt idx="19">
                  <c:v>2.1156528506438166</c:v>
                </c:pt>
                <c:pt idx="20">
                  <c:v>2.4268167200000001</c:v>
                </c:pt>
                <c:pt idx="21">
                  <c:v>1.1283393000000002</c:v>
                </c:pt>
                <c:pt idx="22">
                  <c:v>1.1245143</c:v>
                </c:pt>
                <c:pt idx="23">
                  <c:v>1.1794822839999999</c:v>
                </c:pt>
                <c:pt idx="24">
                  <c:v>1.2139940979999999</c:v>
                </c:pt>
                <c:pt idx="25">
                  <c:v>1.218505508</c:v>
                </c:pt>
                <c:pt idx="26">
                  <c:v>1.234089784</c:v>
                </c:pt>
                <c:pt idx="27">
                  <c:v>1.1685330480000002</c:v>
                </c:pt>
                <c:pt idx="28">
                  <c:v>1.163976994</c:v>
                </c:pt>
                <c:pt idx="29">
                  <c:v>1.085687544</c:v>
                </c:pt>
                <c:pt idx="30">
                  <c:v>1.164040612</c:v>
                </c:pt>
                <c:pt idx="31">
                  <c:v>1.2226291460000001</c:v>
                </c:pt>
                <c:pt idx="32">
                  <c:v>1.2807188459999999</c:v>
                </c:pt>
                <c:pt idx="33">
                  <c:v>1.2317745919999998</c:v>
                </c:pt>
              </c:numCache>
            </c:numRef>
          </c:val>
          <c:smooth val="0"/>
          <c:extLst>
            <c:ext xmlns:c16="http://schemas.microsoft.com/office/drawing/2014/chart" uri="{C3380CC4-5D6E-409C-BE32-E72D297353CC}">
              <c16:uniqueId val="{00000003-BDBD-44B3-81CD-9CA99627497F}"/>
            </c:ext>
          </c:extLst>
        </c:ser>
        <c:ser>
          <c:idx val="2"/>
          <c:order val="4"/>
          <c:tx>
            <c:strRef>
              <c:f>Process!$A$26</c:f>
              <c:strCache>
                <c:ptCount val="1"/>
                <c:pt idx="0">
                  <c:v>Electric Generation Other Gases (CH4, N2O)</c:v>
                </c:pt>
              </c:strCache>
            </c:strRef>
          </c:tx>
          <c:spPr>
            <a:ln>
              <a:solidFill>
                <a:schemeClr val="tx1">
                  <a:lumMod val="50000"/>
                  <a:lumOff val="50000"/>
                </a:schemeClr>
              </a:solidFill>
            </a:ln>
          </c:spPr>
          <c:marker>
            <c:symbol val="star"/>
            <c:size val="5"/>
            <c:spPr>
              <a:solidFill>
                <a:schemeClr val="bg1">
                  <a:lumMod val="50000"/>
                </a:schemeClr>
              </a:solidFill>
              <a:ln>
                <a:noFill/>
              </a:ln>
            </c:spPr>
          </c:marker>
          <c:cat>
            <c:strRef>
              <c:f>Process!$B$7:$AK$7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Process!$B$26:$AH$26</c:f>
              <c:numCache>
                <c:formatCode>#,##0.0</c:formatCode>
                <c:ptCount val="33"/>
                <c:pt idx="0">
                  <c:v>9.3884288699999999E-2</c:v>
                </c:pt>
                <c:pt idx="1">
                  <c:v>9.6822959449999968E-2</c:v>
                </c:pt>
                <c:pt idx="2">
                  <c:v>9.0914300149999988E-2</c:v>
                </c:pt>
                <c:pt idx="3">
                  <c:v>8.1111164489999998E-2</c:v>
                </c:pt>
                <c:pt idx="4">
                  <c:v>8.0477643539999991E-2</c:v>
                </c:pt>
                <c:pt idx="5">
                  <c:v>7.487524039E-2</c:v>
                </c:pt>
                <c:pt idx="6">
                  <c:v>7.7779169514999996E-2</c:v>
                </c:pt>
                <c:pt idx="7">
                  <c:v>9.6196196615999999E-2</c:v>
                </c:pt>
                <c:pt idx="8">
                  <c:v>9.9711417475199987E-2</c:v>
                </c:pt>
                <c:pt idx="9">
                  <c:v>9.1105053121899982E-2</c:v>
                </c:pt>
                <c:pt idx="10">
                  <c:v>8.6038897661899996E-2</c:v>
                </c:pt>
                <c:pt idx="11">
                  <c:v>8.4135110418599987E-2</c:v>
                </c:pt>
                <c:pt idx="12">
                  <c:v>8.3639338406599997E-2</c:v>
                </c:pt>
                <c:pt idx="13">
                  <c:v>8.5136165160799998E-2</c:v>
                </c:pt>
                <c:pt idx="14">
                  <c:v>8.1217752578399999E-2</c:v>
                </c:pt>
                <c:pt idx="15">
                  <c:v>8.7053430643999993E-2</c:v>
                </c:pt>
                <c:pt idx="16">
                  <c:v>7.388594993E-2</c:v>
                </c:pt>
                <c:pt idx="17">
                  <c:v>7.9954547018999983E-2</c:v>
                </c:pt>
                <c:pt idx="18">
                  <c:v>7.0447017651999996E-2</c:v>
                </c:pt>
                <c:pt idx="19">
                  <c:v>5.9428616861800003E-2</c:v>
                </c:pt>
                <c:pt idx="20">
                  <c:v>5.5503888081399999E-2</c:v>
                </c:pt>
                <c:pt idx="21">
                  <c:v>3.6155926511399997E-2</c:v>
                </c:pt>
                <c:pt idx="22">
                  <c:v>2.6671556131799997E-2</c:v>
                </c:pt>
                <c:pt idx="23">
                  <c:v>3.4448873260999997E-2</c:v>
                </c:pt>
                <c:pt idx="24">
                  <c:v>3.1111986384599999E-2</c:v>
                </c:pt>
                <c:pt idx="25">
                  <c:v>2.8343924454799996E-2</c:v>
                </c:pt>
                <c:pt idx="26">
                  <c:v>2.6786002749199997E-2</c:v>
                </c:pt>
                <c:pt idx="27">
                  <c:v>2.2732699960599997E-2</c:v>
                </c:pt>
                <c:pt idx="28">
                  <c:v>1.5684509824999998E-2</c:v>
                </c:pt>
                <c:pt idx="29">
                  <c:v>1.3002606939999998E-2</c:v>
                </c:pt>
                <c:pt idx="30">
                  <c:v>1.28849316122E-2</c:v>
                </c:pt>
                <c:pt idx="31">
                  <c:v>1.1772683811199999E-2</c:v>
                </c:pt>
                <c:pt idx="32">
                  <c:v>1.1837122608E-2</c:v>
                </c:pt>
              </c:numCache>
            </c:numRef>
          </c:val>
          <c:smooth val="0"/>
          <c:extLst>
            <c:ext xmlns:c16="http://schemas.microsoft.com/office/drawing/2014/chart" uri="{C3380CC4-5D6E-409C-BE32-E72D297353CC}">
              <c16:uniqueId val="{00000004-BDBD-44B3-81CD-9CA99627497F}"/>
            </c:ext>
          </c:extLst>
        </c:ser>
        <c:dLbls>
          <c:showLegendKey val="0"/>
          <c:showVal val="0"/>
          <c:showCatName val="0"/>
          <c:showSerName val="0"/>
          <c:showPercent val="0"/>
          <c:showBubbleSize val="0"/>
        </c:dLbls>
        <c:marker val="1"/>
        <c:smooth val="0"/>
        <c:axId val="49015424"/>
        <c:axId val="51003776"/>
      </c:lineChart>
      <c:catAx>
        <c:axId val="49015424"/>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51003776"/>
        <c:crosses val="autoZero"/>
        <c:auto val="1"/>
        <c:lblAlgn val="ctr"/>
        <c:lblOffset val="100"/>
        <c:noMultiLvlLbl val="0"/>
      </c:catAx>
      <c:valAx>
        <c:axId val="51003776"/>
        <c:scaling>
          <c:orientation val="minMax"/>
        </c:scaling>
        <c:delete val="0"/>
        <c:axPos val="l"/>
        <c:majorGridlines/>
        <c:numFmt formatCode="#,##0" sourceLinked="0"/>
        <c:majorTickMark val="out"/>
        <c:minorTickMark val="none"/>
        <c:tickLblPos val="nextTo"/>
        <c:txPr>
          <a:bodyPr rot="0" vert="horz"/>
          <a:lstStyle/>
          <a:p>
            <a:pPr>
              <a:defRPr/>
            </a:pPr>
            <a:endParaRPr lang="en-US"/>
          </a:p>
        </c:txPr>
        <c:crossAx val="49015424"/>
        <c:crosses val="autoZero"/>
        <c:crossBetween val="midCat"/>
      </c:valAx>
      <c:spPr>
        <a:noFill/>
        <a:ln w="25400">
          <a:noFill/>
        </a:ln>
      </c:spPr>
    </c:plotArea>
    <c:legend>
      <c:legendPos val="r"/>
      <c:layout>
        <c:manualLayout>
          <c:xMode val="edge"/>
          <c:yMode val="edge"/>
          <c:x val="0.66469881941384446"/>
          <c:y val="0.10880803692641867"/>
          <c:w val="0.31982735635167181"/>
          <c:h val="0.84256928228798988"/>
        </c:manualLayout>
      </c:layout>
      <c:overlay val="0"/>
    </c:legend>
    <c:plotVisOnly val="1"/>
    <c:dispBlanksAs val="gap"/>
    <c:showDLblsOverMax val="0"/>
  </c:chart>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printSettings>
    <c:headerFooter>
      <c:oddFooter>&amp;R3/3/2017</c:oddFooter>
    </c:headerFooter>
    <c:pageMargins b="0.75" l="0.7" r="0.7" t="0.75" header="0.3" footer="0.3"/>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solidFill>
                <a:latin typeface="Aptos" panose="020B0004020202020204" pitchFamily="34" charset="0"/>
                <a:ea typeface="+mn-ea"/>
                <a:cs typeface="+mn-cs"/>
              </a:defRPr>
            </a:pPr>
            <a:r>
              <a:rPr lang="en-US" sz="1600" b="1">
                <a:solidFill>
                  <a:schemeClr val="tx1"/>
                </a:solidFill>
                <a:latin typeface="Aptos" panose="020B0004020202020204" pitchFamily="34" charset="0"/>
              </a:rPr>
              <a:t>Fuel Combustion CO</a:t>
            </a:r>
            <a:r>
              <a:rPr lang="en-US" sz="1600" b="1" baseline="-25000">
                <a:solidFill>
                  <a:schemeClr val="tx1"/>
                </a:solidFill>
                <a:latin typeface="Aptos" panose="020B0004020202020204" pitchFamily="34" charset="0"/>
              </a:rPr>
              <a:t>2</a:t>
            </a:r>
            <a:r>
              <a:rPr lang="en-US" sz="1600" b="1">
                <a:solidFill>
                  <a:schemeClr val="tx1"/>
                </a:solidFill>
                <a:latin typeface="Aptos" panose="020B0004020202020204" pitchFamily="34" charset="0"/>
              </a:rPr>
              <a:t> Emissions as Total and by Sector</a:t>
            </a:r>
          </a:p>
        </c:rich>
      </c:tx>
      <c:layout>
        <c:manualLayout>
          <c:xMode val="edge"/>
          <c:yMode val="edge"/>
          <c:x val="0.12852986331016261"/>
          <c:y val="2.2976340978005716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9.8404708480152911E-2"/>
          <c:y val="0.1137574545386047"/>
          <c:w val="0.64230480433057136"/>
          <c:h val="0.75296865362592347"/>
        </c:manualLayout>
      </c:layout>
      <c:lineChart>
        <c:grouping val="standard"/>
        <c:varyColors val="0"/>
        <c:ser>
          <c:idx val="3"/>
          <c:order val="0"/>
          <c:tx>
            <c:strRef>
              <c:f>'Combustion CO2'!$A$76</c:f>
              <c:strCache>
                <c:ptCount val="1"/>
                <c:pt idx="0">
                  <c:v>Transportation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'Combustion CO2'!$B$60:$AI$60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'Combustion CO2'!$B$76:$AI$76</c:f>
              <c:numCache>
                <c:formatCode>_(* #,##0.00_);_(* \(#,##0.00\);_(* "-"??_);_(@_)</c:formatCode>
                <c:ptCount val="34"/>
                <c:pt idx="0">
                  <c:v>28.506437825265561</c:v>
                </c:pt>
                <c:pt idx="1">
                  <c:v>26.924606252648257</c:v>
                </c:pt>
                <c:pt idx="2">
                  <c:v>26.448466366325668</c:v>
                </c:pt>
                <c:pt idx="3">
                  <c:v>26.684940195948617</c:v>
                </c:pt>
                <c:pt idx="4">
                  <c:v>26.904845065360281</c:v>
                </c:pt>
                <c:pt idx="5">
                  <c:v>27.543957964998537</c:v>
                </c:pt>
                <c:pt idx="6">
                  <c:v>28.348712325078182</c:v>
                </c:pt>
                <c:pt idx="7">
                  <c:v>28.69167682250546</c:v>
                </c:pt>
                <c:pt idx="8">
                  <c:v>28.981165134559838</c:v>
                </c:pt>
                <c:pt idx="9">
                  <c:v>29.667708078894687</c:v>
                </c:pt>
                <c:pt idx="10">
                  <c:v>30.840346353806446</c:v>
                </c:pt>
                <c:pt idx="11">
                  <c:v>30.390777107441533</c:v>
                </c:pt>
                <c:pt idx="12">
                  <c:v>30.598758285542431</c:v>
                </c:pt>
                <c:pt idx="13">
                  <c:v>31.043963055913089</c:v>
                </c:pt>
                <c:pt idx="14">
                  <c:v>32.340396822593107</c:v>
                </c:pt>
                <c:pt idx="15">
                  <c:v>32.345380523700079</c:v>
                </c:pt>
                <c:pt idx="16">
                  <c:v>31.466623128123757</c:v>
                </c:pt>
                <c:pt idx="17">
                  <c:v>31.819150693171292</c:v>
                </c:pt>
                <c:pt idx="18">
                  <c:v>30.86282488303754</c:v>
                </c:pt>
                <c:pt idx="19">
                  <c:v>28.977785301980987</c:v>
                </c:pt>
                <c:pt idx="20">
                  <c:v>29.194406294139284</c:v>
                </c:pt>
                <c:pt idx="21">
                  <c:v>29.122866885250296</c:v>
                </c:pt>
                <c:pt idx="22">
                  <c:v>28.589464823242722</c:v>
                </c:pt>
                <c:pt idx="23">
                  <c:v>29.863734621973759</c:v>
                </c:pt>
                <c:pt idx="24">
                  <c:v>28.070166775754295</c:v>
                </c:pt>
                <c:pt idx="25">
                  <c:v>28.563982489108188</c:v>
                </c:pt>
                <c:pt idx="26">
                  <c:v>28.915475634666461</c:v>
                </c:pt>
                <c:pt idx="27">
                  <c:v>28.383866566732596</c:v>
                </c:pt>
                <c:pt idx="28">
                  <c:v>29.007851076241238</c:v>
                </c:pt>
                <c:pt idx="29">
                  <c:v>28.718290747720118</c:v>
                </c:pt>
                <c:pt idx="30">
                  <c:v>22.643265319497907</c:v>
                </c:pt>
                <c:pt idx="31">
                  <c:v>25.369592412136143</c:v>
                </c:pt>
                <c:pt idx="32">
                  <c:v>25.922326415031002</c:v>
                </c:pt>
                <c:pt idx="33">
                  <c:v>25.981513834476111</c:v>
                </c:pt>
              </c:numCache>
            </c:numRef>
          </c:val>
          <c:smooth val="0"/>
          <c:extLst>
            <c:ext xmlns:c16="http://schemas.microsoft.com/office/drawing/2014/chart" uri="{C3380CC4-5D6E-409C-BE32-E72D297353CC}">
              <c16:uniqueId val="{00000000-69F7-4CF8-BE63-26ECB1E18D11}"/>
            </c:ext>
          </c:extLst>
        </c:ser>
        <c:ser>
          <c:idx val="0"/>
          <c:order val="1"/>
          <c:tx>
            <c:strRef>
              <c:f>'Combustion CO2'!$A$61</c:f>
              <c:strCache>
                <c:ptCount val="1"/>
                <c:pt idx="0">
                  <c:v>Residential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'Combustion CO2'!$B$60:$AI$60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'Combustion CO2'!$B$61:$AI$61</c:f>
              <c:numCache>
                <c:formatCode>_(* #,##0.00_);_(* \(#,##0.00\);_(* "-"??_);_(@_)</c:formatCode>
                <c:ptCount val="34"/>
                <c:pt idx="0">
                  <c:v>15.09218729035536</c:v>
                </c:pt>
                <c:pt idx="1">
                  <c:v>14.295364882071031</c:v>
                </c:pt>
                <c:pt idx="2">
                  <c:v>16.396053585147097</c:v>
                </c:pt>
                <c:pt idx="3">
                  <c:v>16.518072434056428</c:v>
                </c:pt>
                <c:pt idx="4">
                  <c:v>16.3428113958593</c:v>
                </c:pt>
                <c:pt idx="5">
                  <c:v>14.751248409471906</c:v>
                </c:pt>
                <c:pt idx="6">
                  <c:v>14.548991126703283</c:v>
                </c:pt>
                <c:pt idx="7">
                  <c:v>14.378872297176235</c:v>
                </c:pt>
                <c:pt idx="8">
                  <c:v>13.187544748996455</c:v>
                </c:pt>
                <c:pt idx="9">
                  <c:v>14.010791823643141</c:v>
                </c:pt>
                <c:pt idx="10">
                  <c:v>15.683527402244092</c:v>
                </c:pt>
                <c:pt idx="11">
                  <c:v>16.028702298201726</c:v>
                </c:pt>
                <c:pt idx="12">
                  <c:v>15.947149742292989</c:v>
                </c:pt>
                <c:pt idx="13">
                  <c:v>16.423981121913869</c:v>
                </c:pt>
                <c:pt idx="14">
                  <c:v>15.023642667589685</c:v>
                </c:pt>
                <c:pt idx="15">
                  <c:v>14.927432156389226</c:v>
                </c:pt>
                <c:pt idx="16">
                  <c:v>12.839080399416044</c:v>
                </c:pt>
                <c:pt idx="17">
                  <c:v>13.515090275824232</c:v>
                </c:pt>
                <c:pt idx="18">
                  <c:v>14.388754011560863</c:v>
                </c:pt>
                <c:pt idx="19">
                  <c:v>13.844098792417579</c:v>
                </c:pt>
                <c:pt idx="20">
                  <c:v>13.58211312760811</c:v>
                </c:pt>
                <c:pt idx="21">
                  <c:v>13.600460828624321</c:v>
                </c:pt>
                <c:pt idx="22">
                  <c:v>11.771252865487984</c:v>
                </c:pt>
                <c:pt idx="23">
                  <c:v>12.275948634716979</c:v>
                </c:pt>
                <c:pt idx="24">
                  <c:v>13.597318047079337</c:v>
                </c:pt>
                <c:pt idx="25">
                  <c:v>13.519448387674942</c:v>
                </c:pt>
                <c:pt idx="26">
                  <c:v>11.310053467582465</c:v>
                </c:pt>
                <c:pt idx="27">
                  <c:v>12.297294972031565</c:v>
                </c:pt>
                <c:pt idx="28">
                  <c:v>13.287752133780446</c:v>
                </c:pt>
                <c:pt idx="29">
                  <c:v>13.607792464408146</c:v>
                </c:pt>
                <c:pt idx="30">
                  <c:v>12.105531353840195</c:v>
                </c:pt>
                <c:pt idx="31">
                  <c:v>12.481778897291683</c:v>
                </c:pt>
                <c:pt idx="32">
                  <c:v>12.880271418154676</c:v>
                </c:pt>
                <c:pt idx="33">
                  <c:v>11.712554814178027</c:v>
                </c:pt>
              </c:numCache>
            </c:numRef>
          </c:val>
          <c:smooth val="0"/>
          <c:extLst>
            <c:ext xmlns:c16="http://schemas.microsoft.com/office/drawing/2014/chart" uri="{C3380CC4-5D6E-409C-BE32-E72D297353CC}">
              <c16:uniqueId val="{00000001-69F7-4CF8-BE63-26ECB1E18D11}"/>
            </c:ext>
          </c:extLst>
        </c:ser>
        <c:ser>
          <c:idx val="1"/>
          <c:order val="2"/>
          <c:tx>
            <c:strRef>
              <c:f>'Combustion CO2'!$A$66</c:f>
              <c:strCache>
                <c:ptCount val="1"/>
                <c:pt idx="0">
                  <c:v>Commercial**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'Combustion CO2'!$B$60:$AI$60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'Combustion CO2'!$B$66:$AI$66</c:f>
              <c:numCache>
                <c:formatCode>_(* #,##0.00_);_(* \(#,##0.00\);_(* "-"??_);_(@_)</c:formatCode>
                <c:ptCount val="34"/>
                <c:pt idx="0">
                  <c:v>8.393199905810599</c:v>
                </c:pt>
                <c:pt idx="1">
                  <c:v>9.1714074410264743</c:v>
                </c:pt>
                <c:pt idx="2">
                  <c:v>8.9309955359805997</c:v>
                </c:pt>
                <c:pt idx="3">
                  <c:v>7.9899165283760158</c:v>
                </c:pt>
                <c:pt idx="4">
                  <c:v>8.8622762327746258</c:v>
                </c:pt>
                <c:pt idx="5">
                  <c:v>8.9583234115736374</c:v>
                </c:pt>
                <c:pt idx="6">
                  <c:v>9.0613426494264466</c:v>
                </c:pt>
                <c:pt idx="7">
                  <c:v>9.4523565880490032</c:v>
                </c:pt>
                <c:pt idx="8">
                  <c:v>8.0754548915353492</c:v>
                </c:pt>
                <c:pt idx="9">
                  <c:v>6.1959925594355161</c:v>
                </c:pt>
                <c:pt idx="10">
                  <c:v>6.7932535616058303</c:v>
                </c:pt>
                <c:pt idx="11">
                  <c:v>5.7670060508675816</c:v>
                </c:pt>
                <c:pt idx="12">
                  <c:v>5.8880337932122524</c:v>
                </c:pt>
                <c:pt idx="13">
                  <c:v>7.1132084080597142</c:v>
                </c:pt>
                <c:pt idx="14">
                  <c:v>6.5373600288097862</c:v>
                </c:pt>
                <c:pt idx="15">
                  <c:v>6.6865712143985894</c:v>
                </c:pt>
                <c:pt idx="16">
                  <c:v>5.0160944446169093</c:v>
                </c:pt>
                <c:pt idx="17">
                  <c:v>5.3484329327599998</c:v>
                </c:pt>
                <c:pt idx="18">
                  <c:v>5.5954704389832886</c:v>
                </c:pt>
                <c:pt idx="19">
                  <c:v>5.7930992378099821</c:v>
                </c:pt>
                <c:pt idx="20">
                  <c:v>6.7205520029870893</c:v>
                </c:pt>
                <c:pt idx="21">
                  <c:v>6.3331977627934162</c:v>
                </c:pt>
                <c:pt idx="22">
                  <c:v>5.2380301223549299</c:v>
                </c:pt>
                <c:pt idx="23">
                  <c:v>6.7631182630681863</c:v>
                </c:pt>
                <c:pt idx="24">
                  <c:v>7.1468891863233202</c:v>
                </c:pt>
                <c:pt idx="25">
                  <c:v>7.5477779593100482</c:v>
                </c:pt>
                <c:pt idx="26">
                  <c:v>6.9658066582217053</c:v>
                </c:pt>
                <c:pt idx="27">
                  <c:v>7.3094808835971969</c:v>
                </c:pt>
                <c:pt idx="28">
                  <c:v>7.8497504734391494</c:v>
                </c:pt>
                <c:pt idx="29">
                  <c:v>8.0270134847250123</c:v>
                </c:pt>
                <c:pt idx="30">
                  <c:v>7.2217716233752993</c:v>
                </c:pt>
                <c:pt idx="31">
                  <c:v>7.3504067174673029</c:v>
                </c:pt>
                <c:pt idx="32">
                  <c:v>8.0934423507441764</c:v>
                </c:pt>
                <c:pt idx="33">
                  <c:v>7.5112031192163426</c:v>
                </c:pt>
              </c:numCache>
            </c:numRef>
          </c:val>
          <c:smooth val="0"/>
          <c:extLst>
            <c:ext xmlns:c16="http://schemas.microsoft.com/office/drawing/2014/chart" uri="{C3380CC4-5D6E-409C-BE32-E72D297353CC}">
              <c16:uniqueId val="{00000002-69F7-4CF8-BE63-26ECB1E18D11}"/>
            </c:ext>
          </c:extLst>
        </c:ser>
        <c:ser>
          <c:idx val="4"/>
          <c:order val="3"/>
          <c:tx>
            <c:strRef>
              <c:f>'Combustion CO2'!$A$81</c:f>
              <c:strCache>
                <c:ptCount val="1"/>
                <c:pt idx="0">
                  <c:v>Electric Power</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'Combustion CO2'!$B$60:$AI$60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'Combustion CO2'!$B$81:$AI$81</c:f>
              <c:numCache>
                <c:formatCode>_(* #,##0.00_);_(* \(#,##0.00\);_(* "-"??_);_(@_)</c:formatCode>
                <c:ptCount val="34"/>
                <c:pt idx="0">
                  <c:v>25.256636732676711</c:v>
                </c:pt>
                <c:pt idx="1">
                  <c:v>25.914728879913365</c:v>
                </c:pt>
                <c:pt idx="2">
                  <c:v>24.426681636914616</c:v>
                </c:pt>
                <c:pt idx="3">
                  <c:v>21.967535985573292</c:v>
                </c:pt>
                <c:pt idx="4">
                  <c:v>22.308384804598031</c:v>
                </c:pt>
                <c:pt idx="5">
                  <c:v>21.438788153844321</c:v>
                </c:pt>
                <c:pt idx="6">
                  <c:v>20.883901096087193</c:v>
                </c:pt>
                <c:pt idx="7">
                  <c:v>26.163942634042538</c:v>
                </c:pt>
                <c:pt idx="8">
                  <c:v>26.747611926121515</c:v>
                </c:pt>
                <c:pt idx="9">
                  <c:v>24.004093488628136</c:v>
                </c:pt>
                <c:pt idx="10">
                  <c:v>22.176187156381239</c:v>
                </c:pt>
                <c:pt idx="11">
                  <c:v>21.9644181064916</c:v>
                </c:pt>
                <c:pt idx="12">
                  <c:v>22.920165736663847</c:v>
                </c:pt>
                <c:pt idx="13">
                  <c:v>25.00860220508946</c:v>
                </c:pt>
                <c:pt idx="14">
                  <c:v>23.742061768767062</c:v>
                </c:pt>
                <c:pt idx="15">
                  <c:v>24.508508839562417</c:v>
                </c:pt>
                <c:pt idx="16">
                  <c:v>21.605252315219431</c:v>
                </c:pt>
                <c:pt idx="17">
                  <c:v>23.666295740032623</c:v>
                </c:pt>
                <c:pt idx="18">
                  <c:v>20.168912335399149</c:v>
                </c:pt>
                <c:pt idx="19">
                  <c:v>17.585116309401926</c:v>
                </c:pt>
                <c:pt idx="20">
                  <c:v>18.286569094037727</c:v>
                </c:pt>
                <c:pt idx="21">
                  <c:v>14.354837458195698</c:v>
                </c:pt>
                <c:pt idx="22">
                  <c:v>12.131402331331717</c:v>
                </c:pt>
                <c:pt idx="23">
                  <c:v>12.659822445437143</c:v>
                </c:pt>
                <c:pt idx="24">
                  <c:v>10.782306921880684</c:v>
                </c:pt>
                <c:pt idx="25">
                  <c:v>11.311329440348851</c:v>
                </c:pt>
                <c:pt idx="26">
                  <c:v>10.704619766914323</c:v>
                </c:pt>
                <c:pt idx="27">
                  <c:v>10.277411017637217</c:v>
                </c:pt>
                <c:pt idx="28">
                  <c:v>7.6499388544811335</c:v>
                </c:pt>
                <c:pt idx="29">
                  <c:v>6.2240808974230486</c:v>
                </c:pt>
                <c:pt idx="30">
                  <c:v>5.7447834902179773</c:v>
                </c:pt>
                <c:pt idx="31">
                  <c:v>6.1409138216974188</c:v>
                </c:pt>
                <c:pt idx="32">
                  <c:v>6.805501872639649</c:v>
                </c:pt>
                <c:pt idx="33">
                  <c:v>5.9727830458898277</c:v>
                </c:pt>
              </c:numCache>
            </c:numRef>
          </c:val>
          <c:smooth val="0"/>
          <c:extLst>
            <c:ext xmlns:c16="http://schemas.microsoft.com/office/drawing/2014/chart" uri="{C3380CC4-5D6E-409C-BE32-E72D297353CC}">
              <c16:uniqueId val="{00000003-69F7-4CF8-BE63-26ECB1E18D11}"/>
            </c:ext>
          </c:extLst>
        </c:ser>
        <c:ser>
          <c:idx val="2"/>
          <c:order val="4"/>
          <c:tx>
            <c:strRef>
              <c:f>'Combustion CO2'!$A$71</c:f>
              <c:strCache>
                <c:ptCount val="1"/>
                <c:pt idx="0">
                  <c:v>Industrial*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'Combustion CO2'!$B$60:$AI$60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'Combustion CO2'!$B$71:$AI$71</c:f>
              <c:numCache>
                <c:formatCode>_(* #,##0.00_);_(* \(#,##0.00\);_(* "-"??_);_(@_)</c:formatCode>
                <c:ptCount val="34"/>
                <c:pt idx="0">
                  <c:v>5.4029918486572228</c:v>
                </c:pt>
                <c:pt idx="1">
                  <c:v>4.5241963792028006</c:v>
                </c:pt>
                <c:pt idx="2">
                  <c:v>6.196120339667166</c:v>
                </c:pt>
                <c:pt idx="3">
                  <c:v>6.3524480004604289</c:v>
                </c:pt>
                <c:pt idx="4">
                  <c:v>5.4819205214131737</c:v>
                </c:pt>
                <c:pt idx="5">
                  <c:v>4.799124624067149</c:v>
                </c:pt>
                <c:pt idx="6">
                  <c:v>4.75504493150014</c:v>
                </c:pt>
                <c:pt idx="7">
                  <c:v>4.8391149240722537</c:v>
                </c:pt>
                <c:pt idx="8">
                  <c:v>4.6425953861799725</c:v>
                </c:pt>
                <c:pt idx="9">
                  <c:v>5.324582932332838</c:v>
                </c:pt>
                <c:pt idx="10">
                  <c:v>5.2136458030450861</c:v>
                </c:pt>
                <c:pt idx="11">
                  <c:v>6.3114014118719561</c:v>
                </c:pt>
                <c:pt idx="12">
                  <c:v>6.1690505039776617</c:v>
                </c:pt>
                <c:pt idx="13">
                  <c:v>4.1418598354447296</c:v>
                </c:pt>
                <c:pt idx="14">
                  <c:v>4.0150990192714158</c:v>
                </c:pt>
                <c:pt idx="15">
                  <c:v>4.2697051145872669</c:v>
                </c:pt>
                <c:pt idx="16">
                  <c:v>4.0677081935533161</c:v>
                </c:pt>
                <c:pt idx="17">
                  <c:v>3.9614178944807481</c:v>
                </c:pt>
                <c:pt idx="18">
                  <c:v>3.6776679080539032</c:v>
                </c:pt>
                <c:pt idx="19">
                  <c:v>2.9614097522885445</c:v>
                </c:pt>
                <c:pt idx="20">
                  <c:v>3.4875602377014707</c:v>
                </c:pt>
                <c:pt idx="21">
                  <c:v>3.6789297255419582</c:v>
                </c:pt>
                <c:pt idx="22">
                  <c:v>3.1915395199877956</c:v>
                </c:pt>
                <c:pt idx="23">
                  <c:v>3.3630292704257805</c:v>
                </c:pt>
                <c:pt idx="24">
                  <c:v>3.2602165239692171</c:v>
                </c:pt>
                <c:pt idx="25">
                  <c:v>3.2823083352570848</c:v>
                </c:pt>
                <c:pt idx="26">
                  <c:v>3.1662665581676284</c:v>
                </c:pt>
                <c:pt idx="27">
                  <c:v>3.2336648396866163</c:v>
                </c:pt>
                <c:pt idx="28">
                  <c:v>3.2038785042914624</c:v>
                </c:pt>
                <c:pt idx="29">
                  <c:v>3.244068751389845</c:v>
                </c:pt>
                <c:pt idx="30">
                  <c:v>3.0398049356378154</c:v>
                </c:pt>
                <c:pt idx="31">
                  <c:v>3.2122856536414419</c:v>
                </c:pt>
                <c:pt idx="32">
                  <c:v>3.2423547772972263</c:v>
                </c:pt>
                <c:pt idx="33">
                  <c:v>2.981429791228452</c:v>
                </c:pt>
              </c:numCache>
            </c:numRef>
          </c:val>
          <c:smooth val="0"/>
          <c:extLst>
            <c:ext xmlns:c16="http://schemas.microsoft.com/office/drawing/2014/chart" uri="{C3380CC4-5D6E-409C-BE32-E72D297353CC}">
              <c16:uniqueId val="{00000004-69F7-4CF8-BE63-26ECB1E18D11}"/>
            </c:ext>
          </c:extLst>
        </c:ser>
        <c:ser>
          <c:idx val="5"/>
          <c:order val="5"/>
          <c:tx>
            <c:strRef>
              <c:f>'Combustion CO2'!$A$90</c:f>
              <c:strCache>
                <c:ptCount val="1"/>
                <c:pt idx="0">
                  <c:v>TOTAL</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val>
            <c:numRef>
              <c:f>'Combustion CO2'!$B$90:$AI$90</c:f>
              <c:numCache>
                <c:formatCode>_(* #,##0.00_);_(* \(#,##0.00\);_(* "-"??_);_(@_)</c:formatCode>
                <c:ptCount val="34"/>
                <c:pt idx="0">
                  <c:v>82.651453602765457</c:v>
                </c:pt>
                <c:pt idx="1">
                  <c:v>80.830303834861922</c:v>
                </c:pt>
                <c:pt idx="2">
                  <c:v>82.398317464035159</c:v>
                </c:pt>
                <c:pt idx="3">
                  <c:v>79.512913144414796</c:v>
                </c:pt>
                <c:pt idx="4">
                  <c:v>79.900238020005403</c:v>
                </c:pt>
                <c:pt idx="5">
                  <c:v>77.491442563955559</c:v>
                </c:pt>
                <c:pt idx="6">
                  <c:v>77.597992128795241</c:v>
                </c:pt>
                <c:pt idx="7">
                  <c:v>83.52596326584549</c:v>
                </c:pt>
                <c:pt idx="8">
                  <c:v>81.634372087393132</c:v>
                </c:pt>
                <c:pt idx="9">
                  <c:v>79.203168882934307</c:v>
                </c:pt>
                <c:pt idx="10">
                  <c:v>80.706960277082686</c:v>
                </c:pt>
                <c:pt idx="11">
                  <c:v>80.462304974874399</c:v>
                </c:pt>
                <c:pt idx="12">
                  <c:v>81.523158061689173</c:v>
                </c:pt>
                <c:pt idx="13">
                  <c:v>83.731614626420864</c:v>
                </c:pt>
                <c:pt idx="14">
                  <c:v>81.658560307031053</c:v>
                </c:pt>
                <c:pt idx="15">
                  <c:v>82.737597848637591</c:v>
                </c:pt>
                <c:pt idx="16">
                  <c:v>74.994758480929463</c:v>
                </c:pt>
                <c:pt idx="17">
                  <c:v>78.310387536268891</c:v>
                </c:pt>
                <c:pt idx="18">
                  <c:v>74.693629577034741</c:v>
                </c:pt>
                <c:pt idx="19">
                  <c:v>69.161509393899024</c:v>
                </c:pt>
                <c:pt idx="20">
                  <c:v>71.271200756473689</c:v>
                </c:pt>
                <c:pt idx="21">
                  <c:v>67.090292660405694</c:v>
                </c:pt>
                <c:pt idx="22">
                  <c:v>60.92168966240515</c:v>
                </c:pt>
                <c:pt idx="23">
                  <c:v>64.925653235621837</c:v>
                </c:pt>
                <c:pt idx="24">
                  <c:v>62.856897455006859</c:v>
                </c:pt>
                <c:pt idx="25">
                  <c:v>64.224846611699121</c:v>
                </c:pt>
                <c:pt idx="26">
                  <c:v>61.062222085552584</c:v>
                </c:pt>
                <c:pt idx="27">
                  <c:v>61.501718279685193</c:v>
                </c:pt>
                <c:pt idx="28">
                  <c:v>60.999171042233428</c:v>
                </c:pt>
                <c:pt idx="29">
                  <c:v>59.821246345666175</c:v>
                </c:pt>
                <c:pt idx="30">
                  <c:v>50.755156722569197</c:v>
                </c:pt>
                <c:pt idx="31">
                  <c:v>54.554977502233989</c:v>
                </c:pt>
                <c:pt idx="32">
                  <c:v>56.943896833866731</c:v>
                </c:pt>
                <c:pt idx="33">
                  <c:v>54.159484604988762</c:v>
                </c:pt>
              </c:numCache>
            </c:numRef>
          </c:val>
          <c:smooth val="0"/>
          <c:extLst>
            <c:ext xmlns:c16="http://schemas.microsoft.com/office/drawing/2014/chart" uri="{C3380CC4-5D6E-409C-BE32-E72D297353CC}">
              <c16:uniqueId val="{00000005-69F7-4CF8-BE63-26ECB1E18D11}"/>
            </c:ext>
          </c:extLst>
        </c:ser>
        <c:dLbls>
          <c:showLegendKey val="0"/>
          <c:showVal val="0"/>
          <c:showCatName val="0"/>
          <c:showSerName val="0"/>
          <c:showPercent val="0"/>
          <c:showBubbleSize val="0"/>
        </c:dLbls>
        <c:marker val="1"/>
        <c:smooth val="0"/>
        <c:axId val="44231599"/>
        <c:axId val="44224879"/>
      </c:lineChart>
      <c:catAx>
        <c:axId val="442315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44224879"/>
        <c:crosses val="autoZero"/>
        <c:auto val="1"/>
        <c:lblAlgn val="ctr"/>
        <c:lblOffset val="100"/>
        <c:noMultiLvlLbl val="0"/>
      </c:catAx>
      <c:valAx>
        <c:axId val="4422487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r>
                  <a:rPr lang="en-US" sz="1200">
                    <a:latin typeface="Aptos" panose="020B0004020202020204" pitchFamily="34" charset="0"/>
                  </a:rPr>
                  <a:t>MMTCO2</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44231599"/>
        <c:crosses val="autoZero"/>
        <c:crossBetween val="between"/>
      </c:valAx>
      <c:spPr>
        <a:noFill/>
        <a:ln>
          <a:noFill/>
        </a:ln>
        <a:effectLst/>
      </c:spPr>
    </c:plotArea>
    <c:legend>
      <c:legendPos val="r"/>
      <c:layout>
        <c:manualLayout>
          <c:xMode val="edge"/>
          <c:yMode val="edge"/>
          <c:x val="0.74330834921145061"/>
          <c:y val="0.22650833982233456"/>
          <c:w val="0.14813432241444183"/>
          <c:h val="0.37358744211259526"/>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a:solidFill>
                  <a:sysClr val="windowText" lastClr="000000"/>
                </a:solidFill>
                <a:latin typeface="Aptos" panose="020B0004020202020204" pitchFamily="34" charset="0"/>
              </a:rPr>
              <a:t>CO</a:t>
            </a:r>
            <a:r>
              <a:rPr lang="en-US" sz="1400" b="1" baseline="-25000">
                <a:solidFill>
                  <a:sysClr val="windowText" lastClr="000000"/>
                </a:solidFill>
                <a:latin typeface="Aptos" panose="020B0004020202020204" pitchFamily="34" charset="0"/>
              </a:rPr>
              <a:t>2</a:t>
            </a:r>
            <a:r>
              <a:rPr lang="en-US" sz="1400" b="1">
                <a:solidFill>
                  <a:sysClr val="windowText" lastClr="000000"/>
                </a:solidFill>
                <a:latin typeface="Aptos" panose="020B0004020202020204" pitchFamily="34" charset="0"/>
              </a:rPr>
              <a:t> Emissions from</a:t>
            </a:r>
            <a:r>
              <a:rPr lang="en-US" sz="1400" b="1" baseline="0">
                <a:solidFill>
                  <a:sysClr val="windowText" lastClr="000000"/>
                </a:solidFill>
                <a:latin typeface="Aptos" panose="020B0004020202020204" pitchFamily="34" charset="0"/>
              </a:rPr>
              <a:t> </a:t>
            </a:r>
            <a:r>
              <a:rPr lang="en-US" sz="1400" b="1" i="0" u="none" strike="noStrike" baseline="0">
                <a:solidFill>
                  <a:sysClr val="windowText" lastClr="000000"/>
                </a:solidFill>
                <a:latin typeface="Aptos" panose="020B0004020202020204" pitchFamily="34" charset="0"/>
              </a:rPr>
              <a:t>MA in-state power plants by Fuel Type</a:t>
            </a:r>
          </a:p>
        </c:rich>
      </c:tx>
      <c:layout>
        <c:manualLayout>
          <c:xMode val="edge"/>
          <c:yMode val="edge"/>
          <c:x val="5.5135245660092168E-2"/>
          <c:y val="1.128880526810912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9.2614579518505144E-2"/>
          <c:y val="0.12451552210724366"/>
          <c:w val="0.68610489515856599"/>
          <c:h val="0.7204580706809578"/>
        </c:manualLayout>
      </c:layout>
      <c:lineChart>
        <c:grouping val="standard"/>
        <c:varyColors val="0"/>
        <c:ser>
          <c:idx val="0"/>
          <c:order val="0"/>
          <c:tx>
            <c:strRef>
              <c:f>'Combustion CO2'!$A$152</c:f>
              <c:strCache>
                <c:ptCount val="1"/>
                <c:pt idx="0">
                  <c:v>In-State Electric Power CO2 Total</c:v>
                </c:pt>
              </c:strCache>
            </c:strRef>
          </c:tx>
          <c:spPr>
            <a:ln w="28575" cap="rnd">
              <a:solidFill>
                <a:schemeClr val="accent1">
                  <a:lumMod val="50000"/>
                </a:schemeClr>
              </a:solidFill>
              <a:round/>
            </a:ln>
            <a:effectLst/>
          </c:spPr>
          <c:marker>
            <c:symbol val="circle"/>
            <c:size val="6"/>
            <c:spPr>
              <a:solidFill>
                <a:schemeClr val="accent1"/>
              </a:solidFill>
              <a:ln w="9525">
                <a:solidFill>
                  <a:schemeClr val="accent1"/>
                </a:solidFill>
              </a:ln>
              <a:effectLst/>
            </c:spPr>
          </c:marker>
          <c:dPt>
            <c:idx val="16"/>
            <c:marker>
              <c:symbol val="circle"/>
              <c:size val="6"/>
              <c:spPr>
                <a:solidFill>
                  <a:schemeClr val="accent1"/>
                </a:solidFill>
                <a:ln w="9525">
                  <a:solidFill>
                    <a:schemeClr val="tx2">
                      <a:lumMod val="50000"/>
                    </a:schemeClr>
                  </a:solidFill>
                </a:ln>
                <a:effectLst/>
              </c:spPr>
            </c:marker>
            <c:bubble3D val="0"/>
            <c:extLst>
              <c:ext xmlns:c16="http://schemas.microsoft.com/office/drawing/2014/chart" uri="{C3380CC4-5D6E-409C-BE32-E72D297353CC}">
                <c16:uniqueId val="{00000021-F969-44D2-816E-DDFE8274FFAD}"/>
              </c:ext>
            </c:extLst>
          </c:dPt>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CO2'!$C$152:$AI$152</c15:sqref>
                  </c15:fullRef>
                </c:ext>
              </c:extLst>
              <c:f>'Combustion CO2'!$D$152:$AI$152</c:f>
              <c:numCache>
                <c:formatCode>0.00</c:formatCode>
                <c:ptCount val="32"/>
                <c:pt idx="0">
                  <c:v>24.426681636914616</c:v>
                </c:pt>
                <c:pt idx="1">
                  <c:v>21.967535985573292</c:v>
                </c:pt>
                <c:pt idx="2">
                  <c:v>22.308384804598031</c:v>
                </c:pt>
                <c:pt idx="3">
                  <c:v>21.438788153844321</c:v>
                </c:pt>
                <c:pt idx="4">
                  <c:v>20.883901096087193</c:v>
                </c:pt>
                <c:pt idx="5">
                  <c:v>26.163942634042542</c:v>
                </c:pt>
                <c:pt idx="6">
                  <c:v>26.747611926121515</c:v>
                </c:pt>
                <c:pt idx="7">
                  <c:v>24.004093488628136</c:v>
                </c:pt>
                <c:pt idx="8">
                  <c:v>22.176187156381239</c:v>
                </c:pt>
                <c:pt idx="9">
                  <c:v>21.964418106491596</c:v>
                </c:pt>
                <c:pt idx="10">
                  <c:v>22.920165736663847</c:v>
                </c:pt>
                <c:pt idx="11">
                  <c:v>25.00860220508946</c:v>
                </c:pt>
                <c:pt idx="12">
                  <c:v>23.742061768767062</c:v>
                </c:pt>
                <c:pt idx="13">
                  <c:v>24.508508839562417</c:v>
                </c:pt>
                <c:pt idx="14">
                  <c:v>21.605252315219435</c:v>
                </c:pt>
                <c:pt idx="15">
                  <c:v>23.666295740032623</c:v>
                </c:pt>
                <c:pt idx="16">
                  <c:v>20.168912335399149</c:v>
                </c:pt>
                <c:pt idx="17">
                  <c:v>17.585116309401926</c:v>
                </c:pt>
                <c:pt idx="18">
                  <c:v>18.286569094037731</c:v>
                </c:pt>
                <c:pt idx="19">
                  <c:v>14.354837458195698</c:v>
                </c:pt>
                <c:pt idx="20">
                  <c:v>12.131402331331717</c:v>
                </c:pt>
                <c:pt idx="21">
                  <c:v>12.659822445437143</c:v>
                </c:pt>
                <c:pt idx="22">
                  <c:v>10.782306921880684</c:v>
                </c:pt>
                <c:pt idx="23">
                  <c:v>11.311329440348851</c:v>
                </c:pt>
                <c:pt idx="24">
                  <c:v>10.704619766914323</c:v>
                </c:pt>
                <c:pt idx="25">
                  <c:v>10.277411017637217</c:v>
                </c:pt>
                <c:pt idx="26">
                  <c:v>7.6499388544811335</c:v>
                </c:pt>
                <c:pt idx="27">
                  <c:v>6.2240808974230486</c:v>
                </c:pt>
                <c:pt idx="28">
                  <c:v>5.7447834902179773</c:v>
                </c:pt>
                <c:pt idx="29">
                  <c:v>6.1409138216974188</c:v>
                </c:pt>
                <c:pt idx="30">
                  <c:v>6.805501872639649</c:v>
                </c:pt>
                <c:pt idx="31">
                  <c:v>5.9727830458898286</c:v>
                </c:pt>
              </c:numCache>
            </c:numRef>
          </c:val>
          <c:smooth val="0"/>
          <c:extLst>
            <c:ext xmlns:c16="http://schemas.microsoft.com/office/drawing/2014/chart" uri="{C3380CC4-5D6E-409C-BE32-E72D297353CC}">
              <c16:uniqueId val="{00000000-F969-44D2-816E-DDFE8274FFAD}"/>
            </c:ext>
          </c:extLst>
        </c:ser>
        <c:ser>
          <c:idx val="5"/>
          <c:order val="1"/>
          <c:tx>
            <c:strRef>
              <c:f>'Combustion CO2'!$A$157</c:f>
              <c:strCache>
                <c:ptCount val="1"/>
                <c:pt idx="0">
                  <c:v>Natural Gas</c:v>
                </c:pt>
              </c:strCache>
            </c:strRef>
          </c:tx>
          <c:spPr>
            <a:ln w="28575" cap="rnd">
              <a:solidFill>
                <a:schemeClr val="accent4">
                  <a:lumMod val="75000"/>
                </a:schemeClr>
              </a:solidFill>
              <a:round/>
            </a:ln>
            <a:effectLst/>
          </c:spPr>
          <c:marker>
            <c:symbol val="square"/>
            <c:size val="6"/>
            <c:spPr>
              <a:solidFill>
                <a:schemeClr val="accent4">
                  <a:lumMod val="75000"/>
                </a:schemeClr>
              </a:solidFill>
              <a:ln w="9525">
                <a:solidFill>
                  <a:schemeClr val="accent4">
                    <a:lumMod val="75000"/>
                  </a:schemeClr>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CO2'!$C$157:$AI$157</c15:sqref>
                  </c15:fullRef>
                </c:ext>
              </c:extLst>
              <c:f>'Combustion CO2'!$D$157:$AI$157</c:f>
              <c:numCache>
                <c:formatCode>_(* #,##0.00_);_(* \(#,##0.00\);_(* "-"??_);_(@_)</c:formatCode>
                <c:ptCount val="32"/>
                <c:pt idx="0">
                  <c:v>4.1182749953110838</c:v>
                </c:pt>
                <c:pt idx="1">
                  <c:v>4.2464012542820591</c:v>
                </c:pt>
                <c:pt idx="2">
                  <c:v>5.4739687253802911</c:v>
                </c:pt>
                <c:pt idx="3">
                  <c:v>6.9804138000646212</c:v>
                </c:pt>
                <c:pt idx="4">
                  <c:v>5.6063671370259174</c:v>
                </c:pt>
                <c:pt idx="5">
                  <c:v>6.3967277745293387</c:v>
                </c:pt>
                <c:pt idx="6">
                  <c:v>5.6174313114804821</c:v>
                </c:pt>
                <c:pt idx="7">
                  <c:v>5.013083864244984</c:v>
                </c:pt>
                <c:pt idx="8">
                  <c:v>4.8372351690151447</c:v>
                </c:pt>
                <c:pt idx="9">
                  <c:v>5.2935833828796008</c:v>
                </c:pt>
                <c:pt idx="10">
                  <c:v>6.9531435916420223</c:v>
                </c:pt>
                <c:pt idx="11">
                  <c:v>9.2239901724757676</c:v>
                </c:pt>
                <c:pt idx="12">
                  <c:v>8.6186920447802517</c:v>
                </c:pt>
                <c:pt idx="13">
                  <c:v>8.3479388412598947</c:v>
                </c:pt>
                <c:pt idx="14">
                  <c:v>9.2482748540940278</c:v>
                </c:pt>
                <c:pt idx="15">
                  <c:v>10.072945126247806</c:v>
                </c:pt>
                <c:pt idx="16">
                  <c:v>8.4997501719499216</c:v>
                </c:pt>
                <c:pt idx="17">
                  <c:v>8.2405178294729016</c:v>
                </c:pt>
                <c:pt idx="18">
                  <c:v>10.230105455074932</c:v>
                </c:pt>
                <c:pt idx="19">
                  <c:v>10.256175804663695</c:v>
                </c:pt>
                <c:pt idx="20">
                  <c:v>9.8789813245491835</c:v>
                </c:pt>
                <c:pt idx="21">
                  <c:v>8.4758841526857189</c:v>
                </c:pt>
                <c:pt idx="22">
                  <c:v>7.3613304059671698</c:v>
                </c:pt>
                <c:pt idx="23">
                  <c:v>8.5326843818724019</c:v>
                </c:pt>
                <c:pt idx="24">
                  <c:v>8.5226836541588664</c:v>
                </c:pt>
                <c:pt idx="25">
                  <c:v>8.8855289022070654</c:v>
                </c:pt>
                <c:pt idx="26">
                  <c:v>7.302830783891066</c:v>
                </c:pt>
                <c:pt idx="27">
                  <c:v>6.144233941237248</c:v>
                </c:pt>
                <c:pt idx="28">
                  <c:v>5.7109446634612437</c:v>
                </c:pt>
                <c:pt idx="29">
                  <c:v>6.0757860263439296</c:v>
                </c:pt>
                <c:pt idx="30">
                  <c:v>6.291997739424863</c:v>
                </c:pt>
                <c:pt idx="31">
                  <c:v>5.8895486860649493</c:v>
                </c:pt>
              </c:numCache>
            </c:numRef>
          </c:val>
          <c:smooth val="0"/>
          <c:extLst>
            <c:ext xmlns:c16="http://schemas.microsoft.com/office/drawing/2014/chart" uri="{C3380CC4-5D6E-409C-BE32-E72D297353CC}">
              <c16:uniqueId val="{00000005-F969-44D2-816E-DDFE8274FFAD}"/>
            </c:ext>
          </c:extLst>
        </c:ser>
        <c:ser>
          <c:idx val="2"/>
          <c:order val="2"/>
          <c:tx>
            <c:strRef>
              <c:f>'Combustion CO2'!$A$154</c:f>
              <c:strCache>
                <c:ptCount val="1"/>
                <c:pt idx="0">
                  <c:v>Distillate Fuel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CO2'!$C$154:$AI$154</c15:sqref>
                  </c15:fullRef>
                </c:ext>
              </c:extLst>
              <c:f>'Combustion CO2'!$D$154:$AI$154</c:f>
              <c:numCache>
                <c:formatCode>_(* #,##0.00_);_(* \(#,##0.00\);_(* "-"??_);_(@_)</c:formatCode>
                <c:ptCount val="32"/>
                <c:pt idx="0">
                  <c:v>0.1952040320675445</c:v>
                </c:pt>
                <c:pt idx="1">
                  <c:v>0.20223108134621703</c:v>
                </c:pt>
                <c:pt idx="2">
                  <c:v>0.311853050093508</c:v>
                </c:pt>
                <c:pt idx="3">
                  <c:v>0.29180746741434749</c:v>
                </c:pt>
                <c:pt idx="4">
                  <c:v>0.25977891649155604</c:v>
                </c:pt>
                <c:pt idx="5">
                  <c:v>0.19831072753811552</c:v>
                </c:pt>
                <c:pt idx="6">
                  <c:v>0.24047302321015052</c:v>
                </c:pt>
                <c:pt idx="7">
                  <c:v>0.25504490434592403</c:v>
                </c:pt>
                <c:pt idx="8">
                  <c:v>0.16338499257407252</c:v>
                </c:pt>
                <c:pt idx="9">
                  <c:v>0.14126754612616804</c:v>
                </c:pt>
                <c:pt idx="10">
                  <c:v>0.19136824562440199</c:v>
                </c:pt>
                <c:pt idx="11">
                  <c:v>0.41385126722247001</c:v>
                </c:pt>
                <c:pt idx="12">
                  <c:v>0.26410791476962209</c:v>
                </c:pt>
                <c:pt idx="13">
                  <c:v>0.16561520928379353</c:v>
                </c:pt>
                <c:pt idx="14">
                  <c:v>6.7174689123349507E-2</c:v>
                </c:pt>
                <c:pt idx="15">
                  <c:v>6.1934776370775005E-2</c:v>
                </c:pt>
                <c:pt idx="16">
                  <c:v>8.2282652540550019E-2</c:v>
                </c:pt>
                <c:pt idx="17">
                  <c:v>0.10883522820936151</c:v>
                </c:pt>
                <c:pt idx="18">
                  <c:v>5.9380519228799999E-2</c:v>
                </c:pt>
                <c:pt idx="19">
                  <c:v>6.1101498111191997E-2</c:v>
                </c:pt>
                <c:pt idx="20">
                  <c:v>4.5900275886926994E-2</c:v>
                </c:pt>
                <c:pt idx="21">
                  <c:v>0.10972549592477551</c:v>
                </c:pt>
                <c:pt idx="22">
                  <c:v>0.19407836196025199</c:v>
                </c:pt>
                <c:pt idx="23">
                  <c:v>0.14794585659137882</c:v>
                </c:pt>
                <c:pt idx="24">
                  <c:v>2.8837027893229332E-2</c:v>
                </c:pt>
                <c:pt idx="25">
                  <c:v>7.4028425559997835E-2</c:v>
                </c:pt>
                <c:pt idx="26">
                  <c:v>0.12288081550441916</c:v>
                </c:pt>
                <c:pt idx="27">
                  <c:v>2.7957795682055534E-2</c:v>
                </c:pt>
                <c:pt idx="28">
                  <c:v>2.5578613073069606E-2</c:v>
                </c:pt>
                <c:pt idx="29">
                  <c:v>2.7506276666982101E-2</c:v>
                </c:pt>
                <c:pt idx="30">
                  <c:v>0.29092892086586997</c:v>
                </c:pt>
                <c:pt idx="31">
                  <c:v>4.433626265998733E-2</c:v>
                </c:pt>
              </c:numCache>
            </c:numRef>
          </c:val>
          <c:smooth val="0"/>
          <c:extLst>
            <c:ext xmlns:c16="http://schemas.microsoft.com/office/drawing/2014/chart" uri="{C3380CC4-5D6E-409C-BE32-E72D297353CC}">
              <c16:uniqueId val="{00000002-F969-44D2-816E-DDFE8274FFAD}"/>
            </c:ext>
          </c:extLst>
        </c:ser>
        <c:ser>
          <c:idx val="4"/>
          <c:order val="3"/>
          <c:tx>
            <c:strRef>
              <c:f>'Combustion CO2'!$A$156</c:f>
              <c:strCache>
                <c:ptCount val="1"/>
                <c:pt idx="0">
                  <c:v>Residual Fuel</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CO2'!$C$156:$AI$156</c15:sqref>
                  </c15:fullRef>
                </c:ext>
              </c:extLst>
              <c:f>'Combustion CO2'!$D$156:$AI$156</c:f>
              <c:numCache>
                <c:formatCode>_(* #,##0.00_);_(* \(#,##0.00\);_(* "-"??_);_(@_)</c:formatCode>
                <c:ptCount val="32"/>
                <c:pt idx="0">
                  <c:v>9.9428943038782815</c:v>
                </c:pt>
                <c:pt idx="1">
                  <c:v>8.4426893132215231</c:v>
                </c:pt>
                <c:pt idx="2">
                  <c:v>7.0726953273599769</c:v>
                </c:pt>
                <c:pt idx="3">
                  <c:v>4.3162620211212293</c:v>
                </c:pt>
                <c:pt idx="4">
                  <c:v>4.3779883451937032</c:v>
                </c:pt>
                <c:pt idx="5">
                  <c:v>8.0463492421089775</c:v>
                </c:pt>
                <c:pt idx="6">
                  <c:v>10.590344870974217</c:v>
                </c:pt>
                <c:pt idx="7">
                  <c:v>8.0930569958475154</c:v>
                </c:pt>
                <c:pt idx="8">
                  <c:v>6.4335800667993768</c:v>
                </c:pt>
                <c:pt idx="9">
                  <c:v>6.3187630965964452</c:v>
                </c:pt>
                <c:pt idx="10">
                  <c:v>4.7940027434437003</c:v>
                </c:pt>
                <c:pt idx="11">
                  <c:v>5.1813316723558831</c:v>
                </c:pt>
                <c:pt idx="12">
                  <c:v>5.0318218046815595</c:v>
                </c:pt>
                <c:pt idx="13">
                  <c:v>4.8645900240131947</c:v>
                </c:pt>
                <c:pt idx="14">
                  <c:v>1.8148440391526972</c:v>
                </c:pt>
                <c:pt idx="15">
                  <c:v>2.3263014518748513</c:v>
                </c:pt>
                <c:pt idx="16">
                  <c:v>1.5918182696937635</c:v>
                </c:pt>
                <c:pt idx="17">
                  <c:v>0.57048039413451834</c:v>
                </c:pt>
                <c:pt idx="18">
                  <c:v>0.15551729580789622</c:v>
                </c:pt>
                <c:pt idx="19">
                  <c:v>8.9961236300270253E-2</c:v>
                </c:pt>
                <c:pt idx="20">
                  <c:v>6.855977357441298E-2</c:v>
                </c:pt>
                <c:pt idx="21">
                  <c:v>0.19629271426452957</c:v>
                </c:pt>
                <c:pt idx="22">
                  <c:v>0.52167004054922983</c:v>
                </c:pt>
                <c:pt idx="23">
                  <c:v>0.43553853968411305</c:v>
                </c:pt>
                <c:pt idx="24">
                  <c:v>0.23992166108461052</c:v>
                </c:pt>
                <c:pt idx="25">
                  <c:v>0.14102437543564902</c:v>
                </c:pt>
                <c:pt idx="26">
                  <c:v>0.2242272550856485</c:v>
                </c:pt>
                <c:pt idx="27">
                  <c:v>5.1889160503745195E-2</c:v>
                </c:pt>
                <c:pt idx="28">
                  <c:v>8.2602136836642109E-3</c:v>
                </c:pt>
                <c:pt idx="29">
                  <c:v>3.7621518686507011E-2</c:v>
                </c:pt>
                <c:pt idx="30">
                  <c:v>0.22257521234891572</c:v>
                </c:pt>
                <c:pt idx="31">
                  <c:v>3.8898097164891475E-2</c:v>
                </c:pt>
              </c:numCache>
            </c:numRef>
          </c:val>
          <c:smooth val="0"/>
          <c:extLst>
            <c:ext xmlns:c16="http://schemas.microsoft.com/office/drawing/2014/chart" uri="{C3380CC4-5D6E-409C-BE32-E72D297353CC}">
              <c16:uniqueId val="{00000004-F969-44D2-816E-DDFE8274FFAD}"/>
            </c:ext>
          </c:extLst>
        </c:ser>
        <c:ser>
          <c:idx val="1"/>
          <c:order val="4"/>
          <c:tx>
            <c:strRef>
              <c:f>'Combustion CO2'!$A$153</c:f>
              <c:strCache>
                <c:ptCount val="1"/>
                <c:pt idx="0">
                  <c:v>Coal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'Combustion CO2'!$B$100:$AI$100</c15:sqref>
                  </c15:fullRef>
                </c:ext>
              </c:extLst>
              <c:f>'Combustion CO2'!$C$100:$AI$100</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'Combustion CO2'!$C$153:$AI$153</c15:sqref>
                  </c15:fullRef>
                </c:ext>
              </c:extLst>
              <c:f>'Combustion CO2'!$D$153:$AI$153</c:f>
              <c:numCache>
                <c:formatCode>_(* #,##0.00_);_(* \(#,##0.00\);_(* "-"??_);_(@_)</c:formatCode>
                <c:ptCount val="32"/>
                <c:pt idx="0">
                  <c:v>10.170308305657707</c:v>
                </c:pt>
                <c:pt idx="1">
                  <c:v>9.0762143367234938</c:v>
                </c:pt>
                <c:pt idx="2">
                  <c:v>9.4498677017642532</c:v>
                </c:pt>
                <c:pt idx="3">
                  <c:v>9.8503048652441247</c:v>
                </c:pt>
                <c:pt idx="4">
                  <c:v>10.639766697376016</c:v>
                </c:pt>
                <c:pt idx="5">
                  <c:v>11.522554889866107</c:v>
                </c:pt>
                <c:pt idx="6">
                  <c:v>10.299362720456667</c:v>
                </c:pt>
                <c:pt idx="7">
                  <c:v>10.642907724189712</c:v>
                </c:pt>
                <c:pt idx="8">
                  <c:v>10.741986927992645</c:v>
                </c:pt>
                <c:pt idx="9">
                  <c:v>10.210804080889385</c:v>
                </c:pt>
                <c:pt idx="10">
                  <c:v>10.981651155953722</c:v>
                </c:pt>
                <c:pt idx="11">
                  <c:v>10.18942909303534</c:v>
                </c:pt>
                <c:pt idx="12">
                  <c:v>9.827440004535628</c:v>
                </c:pt>
                <c:pt idx="13">
                  <c:v>11.130364765005536</c:v>
                </c:pt>
                <c:pt idx="14">
                  <c:v>10.474958732849359</c:v>
                </c:pt>
                <c:pt idx="15">
                  <c:v>11.205114385539192</c:v>
                </c:pt>
                <c:pt idx="16">
                  <c:v>9.9950612412149127</c:v>
                </c:pt>
                <c:pt idx="17">
                  <c:v>8.6652828575851419</c:v>
                </c:pt>
                <c:pt idx="18">
                  <c:v>7.841565823926099</c:v>
                </c:pt>
                <c:pt idx="19">
                  <c:v>3.9475989191205412</c:v>
                </c:pt>
                <c:pt idx="20">
                  <c:v>2.137960957321194</c:v>
                </c:pt>
                <c:pt idx="21">
                  <c:v>3.8779200825621181</c:v>
                </c:pt>
                <c:pt idx="22">
                  <c:v>2.7052281134040319</c:v>
                </c:pt>
                <c:pt idx="23">
                  <c:v>2.1951606622009576</c:v>
                </c:pt>
                <c:pt idx="24">
                  <c:v>1.9131774237776165</c:v>
                </c:pt>
                <c:pt idx="25">
                  <c:v>1.1768293144345041</c:v>
                </c:pt>
                <c:pt idx="26">
                  <c:v>0</c:v>
                </c:pt>
                <c:pt idx="27">
                  <c:v>0</c:v>
                </c:pt>
                <c:pt idx="28">
                  <c:v>0</c:v>
                </c:pt>
                <c:pt idx="29">
                  <c:v>0</c:v>
                </c:pt>
                <c:pt idx="30">
                  <c:v>0</c:v>
                </c:pt>
                <c:pt idx="31">
                  <c:v>0</c:v>
                </c:pt>
              </c:numCache>
            </c:numRef>
          </c:val>
          <c:smooth val="0"/>
          <c:extLst>
            <c:ext xmlns:c16="http://schemas.microsoft.com/office/drawing/2014/chart" uri="{C3380CC4-5D6E-409C-BE32-E72D297353CC}">
              <c16:uniqueId val="{00000001-F969-44D2-816E-DDFE8274FFAD}"/>
            </c:ext>
          </c:extLst>
        </c:ser>
        <c:dLbls>
          <c:showLegendKey val="0"/>
          <c:showVal val="0"/>
          <c:showCatName val="0"/>
          <c:showSerName val="0"/>
          <c:showPercent val="0"/>
          <c:showBubbleSize val="0"/>
        </c:dLbls>
        <c:marker val="1"/>
        <c:smooth val="0"/>
        <c:axId val="345042591"/>
        <c:axId val="345045951"/>
      </c:lineChart>
      <c:catAx>
        <c:axId val="34504259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crossAx val="345045951"/>
        <c:crosses val="autoZero"/>
        <c:auto val="1"/>
        <c:lblAlgn val="ctr"/>
        <c:lblOffset val="100"/>
        <c:noMultiLvlLbl val="0"/>
      </c:catAx>
      <c:valAx>
        <c:axId val="34504595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en-US" sz="1200">
                    <a:solidFill>
                      <a:sysClr val="windowText" lastClr="000000"/>
                    </a:solidFill>
                    <a:latin typeface="Aptos" panose="020B0004020202020204" pitchFamily="34" charset="0"/>
                  </a:rPr>
                  <a:t>MMTCO2</a:t>
                </a:r>
              </a:p>
            </c:rich>
          </c:tx>
          <c:layout>
            <c:manualLayout>
              <c:xMode val="edge"/>
              <c:yMode val="edge"/>
              <c:x val="1.4257519854483718E-2"/>
              <c:y val="0.4125524996111140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crossAx val="345042591"/>
        <c:crosses val="autoZero"/>
        <c:crossBetween val="midCat"/>
      </c:valAx>
      <c:spPr>
        <a:noFill/>
        <a:ln>
          <a:noFill/>
        </a:ln>
        <a:effectLst/>
      </c:spPr>
    </c:plotArea>
    <c:legend>
      <c:legendPos val="r"/>
      <c:layout>
        <c:manualLayout>
          <c:xMode val="edge"/>
          <c:yMode val="edge"/>
          <c:x val="0.78113214760327787"/>
          <c:y val="4.4817109332944034E-2"/>
          <c:w val="0.20783842838708594"/>
          <c:h val="0.90151294240016056"/>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ysClr val="windowText" lastClr="000000"/>
                </a:solidFill>
                <a:latin typeface="Aptos" panose="020B0004020202020204" pitchFamily="34" charset="0"/>
                <a:ea typeface="+mn-ea"/>
                <a:cs typeface="+mn-cs"/>
              </a:defRPr>
            </a:pPr>
            <a:r>
              <a:rPr lang="en-US" sz="1600" b="1">
                <a:solidFill>
                  <a:sysClr val="windowText" lastClr="000000"/>
                </a:solidFill>
                <a:latin typeface="Aptos" panose="020B0004020202020204" pitchFamily="34" charset="0"/>
              </a:rPr>
              <a:t>CH4 and N2O from Stationary Combustion</a:t>
            </a:r>
          </a:p>
        </c:rich>
      </c:tx>
      <c:overlay val="0"/>
      <c:spPr>
        <a:noFill/>
        <a:ln>
          <a:noFill/>
        </a:ln>
        <a:effectLst/>
      </c:spPr>
      <c:txPr>
        <a:bodyPr rot="0" spcFirstLastPara="1" vertOverflow="ellipsis" vert="horz" wrap="square" anchor="ctr" anchorCtr="1"/>
        <a:lstStyle/>
        <a:p>
          <a:pPr>
            <a:defRPr sz="1600" b="1" i="0" u="none" strike="noStrike" kern="1200" spc="0" baseline="0">
              <a:solidFill>
                <a:sysClr val="windowText" lastClr="000000"/>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9.3428655642643604E-2"/>
          <c:y val="0.12516490222532001"/>
          <c:w val="0.71796610985124187"/>
          <c:h val="0.6979778503296844"/>
        </c:manualLayout>
      </c:layout>
      <c:lineChart>
        <c:grouping val="standard"/>
        <c:varyColors val="0"/>
        <c:ser>
          <c:idx val="0"/>
          <c:order val="0"/>
          <c:tx>
            <c:strRef>
              <c:f>'Stationary CH4 and N2O'!$A$88</c:f>
              <c:strCache>
                <c:ptCount val="1"/>
                <c:pt idx="0">
                  <c:v>TOTAL Stationary</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'Stationary CH4 and N2O'!$B$75:$AI$75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'Stationary CH4 and N2O'!$B$88:$AI$88</c:f>
              <c:numCache>
                <c:formatCode>_(* #,##0.000_);_(* \(#,##0.000\);_(* "-"??_);_(@_)</c:formatCode>
                <c:ptCount val="34"/>
                <c:pt idx="0">
                  <c:v>0.39392393347961657</c:v>
                </c:pt>
                <c:pt idx="1">
                  <c:v>0.40013422191377523</c:v>
                </c:pt>
                <c:pt idx="2">
                  <c:v>0.41335097932233644</c:v>
                </c:pt>
                <c:pt idx="3">
                  <c:v>0.40897337745675805</c:v>
                </c:pt>
                <c:pt idx="4">
                  <c:v>0.39786454779571223</c:v>
                </c:pt>
                <c:pt idx="5">
                  <c:v>0.3861501378662705</c:v>
                </c:pt>
                <c:pt idx="6">
                  <c:v>0.39187326675483747</c:v>
                </c:pt>
                <c:pt idx="7">
                  <c:v>0.36120067421874091</c:v>
                </c:pt>
                <c:pt idx="8">
                  <c:v>0.33581419835844217</c:v>
                </c:pt>
                <c:pt idx="9">
                  <c:v>0.32779735247588576</c:v>
                </c:pt>
                <c:pt idx="10">
                  <c:v>0.34493101779388019</c:v>
                </c:pt>
                <c:pt idx="11">
                  <c:v>0.31447757052549064</c:v>
                </c:pt>
                <c:pt idx="12">
                  <c:v>0.31349980540466793</c:v>
                </c:pt>
                <c:pt idx="13">
                  <c:v>0.32624593902268223</c:v>
                </c:pt>
                <c:pt idx="14">
                  <c:v>0.31736423230196897</c:v>
                </c:pt>
                <c:pt idx="15">
                  <c:v>0.23514242777680919</c:v>
                </c:pt>
                <c:pt idx="16">
                  <c:v>0.1996650040295965</c:v>
                </c:pt>
                <c:pt idx="17">
                  <c:v>0.21100004625311566</c:v>
                </c:pt>
                <c:pt idx="18">
                  <c:v>0.20581033443020322</c:v>
                </c:pt>
                <c:pt idx="19">
                  <c:v>0.24831251424524853</c:v>
                </c:pt>
                <c:pt idx="20">
                  <c:v>0.26005789252090228</c:v>
                </c:pt>
                <c:pt idx="21">
                  <c:v>0.23749747013348899</c:v>
                </c:pt>
                <c:pt idx="22">
                  <c:v>0.1974148563732995</c:v>
                </c:pt>
                <c:pt idx="23">
                  <c:v>0.23651949163774166</c:v>
                </c:pt>
                <c:pt idx="24">
                  <c:v>0.24140378128122567</c:v>
                </c:pt>
                <c:pt idx="25">
                  <c:v>0.23097758029436757</c:v>
                </c:pt>
                <c:pt idx="26">
                  <c:v>0.19648618063687928</c:v>
                </c:pt>
                <c:pt idx="27">
                  <c:v>0.19042262505621341</c:v>
                </c:pt>
                <c:pt idx="28">
                  <c:v>0.18703315049416816</c:v>
                </c:pt>
                <c:pt idx="29">
                  <c:v>0.20320178081935528</c:v>
                </c:pt>
                <c:pt idx="30">
                  <c:v>0.19243830887113414</c:v>
                </c:pt>
                <c:pt idx="31">
                  <c:v>0.1978216194187031</c:v>
                </c:pt>
                <c:pt idx="32">
                  <c:v>0.22251661153033531</c:v>
                </c:pt>
                <c:pt idx="33">
                  <c:v>0.19979289680441009</c:v>
                </c:pt>
              </c:numCache>
            </c:numRef>
          </c:val>
          <c:smooth val="0"/>
          <c:extLst>
            <c:ext xmlns:c16="http://schemas.microsoft.com/office/drawing/2014/chart" uri="{C3380CC4-5D6E-409C-BE32-E72D297353CC}">
              <c16:uniqueId val="{00000000-5FC2-41F7-90F3-595AC7D69AC4}"/>
            </c:ext>
          </c:extLst>
        </c:ser>
        <c:ser>
          <c:idx val="1"/>
          <c:order val="1"/>
          <c:tx>
            <c:strRef>
              <c:f>'Stationary CH4 and N2O'!$A$76</c:f>
              <c:strCache>
                <c:ptCount val="1"/>
                <c:pt idx="0">
                  <c:v>Residential</c:v>
                </c:pt>
              </c:strCache>
            </c:strRef>
          </c:tx>
          <c:spPr>
            <a:ln w="28575" cap="rnd">
              <a:solidFill>
                <a:schemeClr val="accent2"/>
              </a:solidFill>
              <a:round/>
            </a:ln>
            <a:effectLst/>
          </c:spPr>
          <c:marker>
            <c:symbol val="diamond"/>
            <c:size val="6"/>
            <c:spPr>
              <a:solidFill>
                <a:schemeClr val="accent2"/>
              </a:solidFill>
              <a:ln w="9525">
                <a:solidFill>
                  <a:schemeClr val="accent2"/>
                </a:solidFill>
              </a:ln>
              <a:effectLst/>
            </c:spPr>
          </c:marker>
          <c:cat>
            <c:strRef>
              <c:f>'Stationary CH4 and N2O'!$B$75:$AI$75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'Stationary CH4 and N2O'!$B$76:$AI$76</c:f>
              <c:numCache>
                <c:formatCode>_(* #,##0.000_);_(* \(#,##0.000\);_(* "-"??_);_(@_)</c:formatCode>
                <c:ptCount val="34"/>
                <c:pt idx="0">
                  <c:v>0.22146311499000002</c:v>
                </c:pt>
                <c:pt idx="1">
                  <c:v>0.22319701900000005</c:v>
                </c:pt>
                <c:pt idx="2">
                  <c:v>0.24130316051999992</c:v>
                </c:pt>
                <c:pt idx="3">
                  <c:v>0.24692919239</c:v>
                </c:pt>
                <c:pt idx="4">
                  <c:v>0.23707447087999997</c:v>
                </c:pt>
                <c:pt idx="5">
                  <c:v>0.23013408960999995</c:v>
                </c:pt>
                <c:pt idx="6">
                  <c:v>0.23386723920999997</c:v>
                </c:pt>
                <c:pt idx="7">
                  <c:v>0.18572004491999994</c:v>
                </c:pt>
                <c:pt idx="8">
                  <c:v>0.16721576863999998</c:v>
                </c:pt>
                <c:pt idx="9">
                  <c:v>0.17373373315999999</c:v>
                </c:pt>
                <c:pt idx="10">
                  <c:v>0.18965812091999995</c:v>
                </c:pt>
                <c:pt idx="11">
                  <c:v>0.17000870028999995</c:v>
                </c:pt>
                <c:pt idx="12">
                  <c:v>0.17220515864999997</c:v>
                </c:pt>
                <c:pt idx="13">
                  <c:v>0.17685524761999996</c:v>
                </c:pt>
                <c:pt idx="14">
                  <c:v>0.17276036408999998</c:v>
                </c:pt>
                <c:pt idx="15">
                  <c:v>9.7263401609999994E-2</c:v>
                </c:pt>
                <c:pt idx="16">
                  <c:v>8.4098898249999984E-2</c:v>
                </c:pt>
                <c:pt idx="17">
                  <c:v>8.9140438219999993E-2</c:v>
                </c:pt>
                <c:pt idx="18">
                  <c:v>9.4404960739999974E-2</c:v>
                </c:pt>
                <c:pt idx="19">
                  <c:v>0.14268924344999998</c:v>
                </c:pt>
                <c:pt idx="20">
                  <c:v>0.14836765496999998</c:v>
                </c:pt>
                <c:pt idx="21">
                  <c:v>0.14537995921999997</c:v>
                </c:pt>
                <c:pt idx="22">
                  <c:v>0.12251180153000001</c:v>
                </c:pt>
                <c:pt idx="23">
                  <c:v>0.14765409569999999</c:v>
                </c:pt>
                <c:pt idx="24">
                  <c:v>0.15504180495999997</c:v>
                </c:pt>
                <c:pt idx="25">
                  <c:v>0.14470159907999999</c:v>
                </c:pt>
                <c:pt idx="26">
                  <c:v>0.11686010002999998</c:v>
                </c:pt>
                <c:pt idx="27">
                  <c:v>0.12045126095</c:v>
                </c:pt>
                <c:pt idx="28">
                  <c:v>0.12462992597999997</c:v>
                </c:pt>
                <c:pt idx="29">
                  <c:v>0.14127421541999999</c:v>
                </c:pt>
                <c:pt idx="30">
                  <c:v>0.12875753699999998</c:v>
                </c:pt>
                <c:pt idx="31">
                  <c:v>0.13311108247999998</c:v>
                </c:pt>
                <c:pt idx="32">
                  <c:v>0.15490033550999999</c:v>
                </c:pt>
                <c:pt idx="33">
                  <c:v>0.13651921620999999</c:v>
                </c:pt>
              </c:numCache>
            </c:numRef>
          </c:val>
          <c:smooth val="0"/>
          <c:extLst>
            <c:ext xmlns:c16="http://schemas.microsoft.com/office/drawing/2014/chart" uri="{C3380CC4-5D6E-409C-BE32-E72D297353CC}">
              <c16:uniqueId val="{00000001-5FC2-41F7-90F3-595AC7D69AC4}"/>
            </c:ext>
          </c:extLst>
        </c:ser>
        <c:ser>
          <c:idx val="2"/>
          <c:order val="2"/>
          <c:tx>
            <c:strRef>
              <c:f>'Stationary CH4 and N2O'!$A$79</c:f>
              <c:strCache>
                <c:ptCount val="1"/>
                <c:pt idx="0">
                  <c:v>Commercial</c:v>
                </c:pt>
              </c:strCache>
            </c:strRef>
          </c:tx>
          <c:spPr>
            <a:ln w="28575" cap="rnd">
              <a:solidFill>
                <a:schemeClr val="accent3"/>
              </a:solidFill>
              <a:round/>
            </a:ln>
            <a:effectLst/>
          </c:spPr>
          <c:marker>
            <c:symbol val="x"/>
            <c:size val="5"/>
            <c:spPr>
              <a:solidFill>
                <a:schemeClr val="accent3"/>
              </a:solidFill>
              <a:ln w="9525">
                <a:solidFill>
                  <a:schemeClr val="accent3"/>
                </a:solidFill>
              </a:ln>
              <a:effectLst/>
            </c:spPr>
          </c:marker>
          <c:cat>
            <c:strRef>
              <c:f>'Stationary CH4 and N2O'!$B$75:$AI$75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'Stationary CH4 and N2O'!$B$79:$AI$79</c:f>
              <c:numCache>
                <c:formatCode>_(* #,##0.000_);_(* \(#,##0.000\);_(* "-"??_);_(@_)</c:formatCode>
                <c:ptCount val="34"/>
                <c:pt idx="0">
                  <c:v>5.6637423469999996E-2</c:v>
                </c:pt>
                <c:pt idx="1">
                  <c:v>6.1309964569999993E-2</c:v>
                </c:pt>
                <c:pt idx="2">
                  <c:v>5.9076519639999991E-2</c:v>
                </c:pt>
                <c:pt idx="3">
                  <c:v>5.8319693029999994E-2</c:v>
                </c:pt>
                <c:pt idx="4">
                  <c:v>5.9352809769999994E-2</c:v>
                </c:pt>
                <c:pt idx="5">
                  <c:v>6.0476406299999994E-2</c:v>
                </c:pt>
                <c:pt idx="6">
                  <c:v>5.9672558659999993E-2</c:v>
                </c:pt>
                <c:pt idx="7">
                  <c:v>5.7526248299999992E-2</c:v>
                </c:pt>
                <c:pt idx="8">
                  <c:v>4.9716922049999987E-2</c:v>
                </c:pt>
                <c:pt idx="9">
                  <c:v>4.3382592259999991E-2</c:v>
                </c:pt>
                <c:pt idx="10">
                  <c:v>4.9770660059999999E-2</c:v>
                </c:pt>
                <c:pt idx="11">
                  <c:v>4.108230999999999E-2</c:v>
                </c:pt>
                <c:pt idx="12">
                  <c:v>4.2370516659999996E-2</c:v>
                </c:pt>
                <c:pt idx="13">
                  <c:v>5.0262934749999995E-2</c:v>
                </c:pt>
                <c:pt idx="14">
                  <c:v>4.9255863909999996E-2</c:v>
                </c:pt>
                <c:pt idx="15">
                  <c:v>3.6142130252550454E-2</c:v>
                </c:pt>
                <c:pt idx="16">
                  <c:v>2.7004935670168092E-2</c:v>
                </c:pt>
                <c:pt idx="17">
                  <c:v>2.7604566381577697E-2</c:v>
                </c:pt>
                <c:pt idx="18">
                  <c:v>2.7519606070010756E-2</c:v>
                </c:pt>
                <c:pt idx="19">
                  <c:v>3.5598628217882788E-2</c:v>
                </c:pt>
                <c:pt idx="20">
                  <c:v>4.0549299555101122E-2</c:v>
                </c:pt>
                <c:pt idx="21">
                  <c:v>3.6602837863985917E-2</c:v>
                </c:pt>
                <c:pt idx="22">
                  <c:v>3.0061501372156855E-2</c:v>
                </c:pt>
                <c:pt idx="23">
                  <c:v>3.6162788046612306E-2</c:v>
                </c:pt>
                <c:pt idx="24">
                  <c:v>3.7605235658621054E-2</c:v>
                </c:pt>
                <c:pt idx="25">
                  <c:v>4.0238339474357322E-2</c:v>
                </c:pt>
                <c:pt idx="26">
                  <c:v>3.597527531024941E-2</c:v>
                </c:pt>
                <c:pt idx="27">
                  <c:v>3.7496851919362487E-2</c:v>
                </c:pt>
                <c:pt idx="28">
                  <c:v>3.7176648474549823E-2</c:v>
                </c:pt>
                <c:pt idx="29">
                  <c:v>3.9350801390763537E-2</c:v>
                </c:pt>
                <c:pt idx="30">
                  <c:v>4.1498279225575113E-2</c:v>
                </c:pt>
                <c:pt idx="31">
                  <c:v>4.3332509396349174E-2</c:v>
                </c:pt>
                <c:pt idx="32">
                  <c:v>4.5355725083220624E-2</c:v>
                </c:pt>
                <c:pt idx="33">
                  <c:v>4.3663358252131954E-2</c:v>
                </c:pt>
              </c:numCache>
            </c:numRef>
          </c:val>
          <c:smooth val="0"/>
          <c:extLst>
            <c:ext xmlns:c16="http://schemas.microsoft.com/office/drawing/2014/chart" uri="{C3380CC4-5D6E-409C-BE32-E72D297353CC}">
              <c16:uniqueId val="{00000002-5FC2-41F7-90F3-595AC7D69AC4}"/>
            </c:ext>
          </c:extLst>
        </c:ser>
        <c:ser>
          <c:idx val="4"/>
          <c:order val="3"/>
          <c:tx>
            <c:strRef>
              <c:f>'Stationary CH4 and N2O'!$A$85</c:f>
              <c:strCache>
                <c:ptCount val="1"/>
                <c:pt idx="0">
                  <c:v>Electric Power</c:v>
                </c:pt>
              </c:strCache>
            </c:strRef>
          </c:tx>
          <c:spPr>
            <a:ln w="28575" cap="rnd">
              <a:solidFill>
                <a:schemeClr val="accent5"/>
              </a:solidFill>
              <a:round/>
            </a:ln>
            <a:effectLst/>
          </c:spPr>
          <c:marker>
            <c:symbol val="triangle"/>
            <c:size val="5"/>
            <c:spPr>
              <a:solidFill>
                <a:schemeClr val="accent5"/>
              </a:solidFill>
              <a:ln w="9525">
                <a:solidFill>
                  <a:schemeClr val="accent5"/>
                </a:solidFill>
              </a:ln>
              <a:effectLst/>
            </c:spPr>
          </c:marker>
          <c:cat>
            <c:strRef>
              <c:f>'Stationary CH4 and N2O'!$B$75:$AI$75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'Stationary CH4 and N2O'!$B$85:$AI$85</c:f>
              <c:numCache>
                <c:formatCode>_(* #,##0.000_);_(* \(#,##0.000\);_(* "-"??_);_(@_)</c:formatCode>
                <c:ptCount val="34"/>
                <c:pt idx="0">
                  <c:v>9.3884288699999999E-2</c:v>
                </c:pt>
                <c:pt idx="1">
                  <c:v>9.6822959449999968E-2</c:v>
                </c:pt>
                <c:pt idx="2">
                  <c:v>9.0914300149999988E-2</c:v>
                </c:pt>
                <c:pt idx="3">
                  <c:v>8.1111164489999998E-2</c:v>
                </c:pt>
                <c:pt idx="4">
                  <c:v>8.0477643539999991E-2</c:v>
                </c:pt>
                <c:pt idx="5">
                  <c:v>7.487524039E-2</c:v>
                </c:pt>
                <c:pt idx="6">
                  <c:v>7.7779169514999996E-2</c:v>
                </c:pt>
                <c:pt idx="7">
                  <c:v>9.6196196615999999E-2</c:v>
                </c:pt>
                <c:pt idx="8">
                  <c:v>9.9711417475199987E-2</c:v>
                </c:pt>
                <c:pt idx="9">
                  <c:v>9.1105053121899982E-2</c:v>
                </c:pt>
                <c:pt idx="10">
                  <c:v>8.6038897661899996E-2</c:v>
                </c:pt>
                <c:pt idx="11">
                  <c:v>8.4135110418599987E-2</c:v>
                </c:pt>
                <c:pt idx="12">
                  <c:v>8.3639338406599997E-2</c:v>
                </c:pt>
                <c:pt idx="13">
                  <c:v>8.5136165160799998E-2</c:v>
                </c:pt>
                <c:pt idx="14">
                  <c:v>8.1217752578399999E-2</c:v>
                </c:pt>
                <c:pt idx="15">
                  <c:v>8.7053430643999993E-2</c:v>
                </c:pt>
                <c:pt idx="16">
                  <c:v>7.388594993E-2</c:v>
                </c:pt>
                <c:pt idx="17">
                  <c:v>7.9954547018999983E-2</c:v>
                </c:pt>
                <c:pt idx="18">
                  <c:v>7.0447017651999996E-2</c:v>
                </c:pt>
                <c:pt idx="19">
                  <c:v>5.9428616861800003E-2</c:v>
                </c:pt>
                <c:pt idx="20">
                  <c:v>5.5503888081399999E-2</c:v>
                </c:pt>
                <c:pt idx="21">
                  <c:v>3.6155926511399997E-2</c:v>
                </c:pt>
                <c:pt idx="22">
                  <c:v>2.6671556131799997E-2</c:v>
                </c:pt>
                <c:pt idx="23">
                  <c:v>3.4448873260999997E-2</c:v>
                </c:pt>
                <c:pt idx="24">
                  <c:v>3.1111986384599999E-2</c:v>
                </c:pt>
                <c:pt idx="25">
                  <c:v>2.8343924454799996E-2</c:v>
                </c:pt>
                <c:pt idx="26">
                  <c:v>2.6786002749199997E-2</c:v>
                </c:pt>
                <c:pt idx="27">
                  <c:v>2.2732699960599997E-2</c:v>
                </c:pt>
                <c:pt idx="28">
                  <c:v>1.5684509824999998E-2</c:v>
                </c:pt>
                <c:pt idx="29">
                  <c:v>1.3002606939999998E-2</c:v>
                </c:pt>
                <c:pt idx="30">
                  <c:v>1.28849316122E-2</c:v>
                </c:pt>
                <c:pt idx="31">
                  <c:v>1.1772683811199999E-2</c:v>
                </c:pt>
                <c:pt idx="32">
                  <c:v>1.1837122608E-2</c:v>
                </c:pt>
                <c:pt idx="33">
                  <c:v>9.3250753383999994E-3</c:v>
                </c:pt>
              </c:numCache>
            </c:numRef>
          </c:val>
          <c:smooth val="0"/>
          <c:extLst>
            <c:ext xmlns:c16="http://schemas.microsoft.com/office/drawing/2014/chart" uri="{C3380CC4-5D6E-409C-BE32-E72D297353CC}">
              <c16:uniqueId val="{00000003-5FC2-41F7-90F3-595AC7D69AC4}"/>
            </c:ext>
          </c:extLst>
        </c:ser>
        <c:ser>
          <c:idx val="3"/>
          <c:order val="4"/>
          <c:tx>
            <c:strRef>
              <c:f>'Stationary CH4 and N2O'!$A$82</c:f>
              <c:strCache>
                <c:ptCount val="1"/>
                <c:pt idx="0">
                  <c:v>Industrial*</c:v>
                </c:pt>
              </c:strCache>
            </c:strRef>
          </c:tx>
          <c:spPr>
            <a:ln w="28575" cap="rnd">
              <a:solidFill>
                <a:schemeClr val="accent4"/>
              </a:solidFill>
              <a:round/>
            </a:ln>
            <a:effectLst/>
          </c:spPr>
          <c:marker>
            <c:symbol val="star"/>
            <c:size val="5"/>
            <c:spPr>
              <a:solidFill>
                <a:schemeClr val="accent4"/>
              </a:solidFill>
              <a:ln w="9525">
                <a:solidFill>
                  <a:schemeClr val="accent4"/>
                </a:solidFill>
              </a:ln>
              <a:effectLst/>
            </c:spPr>
          </c:marker>
          <c:cat>
            <c:strRef>
              <c:f>'Stationary CH4 and N2O'!$B$75:$AI$75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'Stationary CH4 and N2O'!$B$82:$AI$82</c:f>
              <c:numCache>
                <c:formatCode>_(* #,##0.000_);_(* \(#,##0.000\);_(* "-"??_);_(@_)</c:formatCode>
                <c:ptCount val="34"/>
                <c:pt idx="0">
                  <c:v>2.19391063196166E-2</c:v>
                </c:pt>
                <c:pt idx="1">
                  <c:v>1.8804278893775218E-2</c:v>
                </c:pt>
                <c:pt idx="2">
                  <c:v>2.2056999012336577E-2</c:v>
                </c:pt>
                <c:pt idx="3">
                  <c:v>2.2613327546758041E-2</c:v>
                </c:pt>
                <c:pt idx="4">
                  <c:v>2.0959623605712303E-2</c:v>
                </c:pt>
                <c:pt idx="5">
                  <c:v>2.0664401566270606E-2</c:v>
                </c:pt>
                <c:pt idx="6">
                  <c:v>2.055429936983752E-2</c:v>
                </c:pt>
                <c:pt idx="7">
                  <c:v>2.1758184382740957E-2</c:v>
                </c:pt>
                <c:pt idx="8">
                  <c:v>1.9170090193242201E-2</c:v>
                </c:pt>
                <c:pt idx="9">
                  <c:v>1.957597393398583E-2</c:v>
                </c:pt>
                <c:pt idx="10">
                  <c:v>1.946333915198022E-2</c:v>
                </c:pt>
                <c:pt idx="11">
                  <c:v>1.9251449816890667E-2</c:v>
                </c:pt>
                <c:pt idx="12">
                  <c:v>1.5284791688067982E-2</c:v>
                </c:pt>
                <c:pt idx="13">
                  <c:v>1.3991591491882279E-2</c:v>
                </c:pt>
                <c:pt idx="14">
                  <c:v>1.4130251723568998E-2</c:v>
                </c:pt>
                <c:pt idx="15">
                  <c:v>1.468346527025877E-2</c:v>
                </c:pt>
                <c:pt idx="16">
                  <c:v>1.4675220179428451E-2</c:v>
                </c:pt>
                <c:pt idx="17">
                  <c:v>1.4300494632537991E-2</c:v>
                </c:pt>
                <c:pt idx="18">
                  <c:v>1.3438749968192496E-2</c:v>
                </c:pt>
                <c:pt idx="19">
                  <c:v>1.0596025715565774E-2</c:v>
                </c:pt>
                <c:pt idx="20">
                  <c:v>1.5637049914401204E-2</c:v>
                </c:pt>
                <c:pt idx="21">
                  <c:v>1.9358746538103083E-2</c:v>
                </c:pt>
                <c:pt idx="22">
                  <c:v>1.8169997339342634E-2</c:v>
                </c:pt>
                <c:pt idx="23">
                  <c:v>1.8253734630129383E-2</c:v>
                </c:pt>
                <c:pt idx="24">
                  <c:v>1.7644754278004635E-2</c:v>
                </c:pt>
                <c:pt idx="25">
                  <c:v>1.7693717285210304E-2</c:v>
                </c:pt>
                <c:pt idx="26">
                  <c:v>1.6864802547429884E-2</c:v>
                </c:pt>
                <c:pt idx="27">
                  <c:v>9.7418122262509128E-3</c:v>
                </c:pt>
                <c:pt idx="28">
                  <c:v>9.5420662146183579E-3</c:v>
                </c:pt>
                <c:pt idx="29">
                  <c:v>9.5741570685917328E-3</c:v>
                </c:pt>
                <c:pt idx="30">
                  <c:v>9.297561033359051E-3</c:v>
                </c:pt>
                <c:pt idx="31">
                  <c:v>9.6053437311539539E-3</c:v>
                </c:pt>
                <c:pt idx="32">
                  <c:v>1.0423428329114713E-2</c:v>
                </c:pt>
                <c:pt idx="33">
                  <c:v>1.0285247003878145E-2</c:v>
                </c:pt>
              </c:numCache>
            </c:numRef>
          </c:val>
          <c:smooth val="0"/>
          <c:extLst>
            <c:ext xmlns:c16="http://schemas.microsoft.com/office/drawing/2014/chart" uri="{C3380CC4-5D6E-409C-BE32-E72D297353CC}">
              <c16:uniqueId val="{00000004-5FC2-41F7-90F3-595AC7D69AC4}"/>
            </c:ext>
          </c:extLst>
        </c:ser>
        <c:dLbls>
          <c:showLegendKey val="0"/>
          <c:showVal val="0"/>
          <c:showCatName val="0"/>
          <c:showSerName val="0"/>
          <c:showPercent val="0"/>
          <c:showBubbleSize val="0"/>
        </c:dLbls>
        <c:marker val="1"/>
        <c:smooth val="0"/>
        <c:axId val="1978981472"/>
        <c:axId val="1978998752"/>
        <c:extLst/>
      </c:lineChart>
      <c:catAx>
        <c:axId val="1978981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solidFill>
                <a:latin typeface="Aptos" panose="020B0004020202020204" pitchFamily="34" charset="0"/>
                <a:ea typeface="+mn-ea"/>
                <a:cs typeface="+mn-cs"/>
              </a:defRPr>
            </a:pPr>
            <a:endParaRPr lang="en-US"/>
          </a:p>
        </c:txPr>
        <c:crossAx val="1978998752"/>
        <c:crosses val="autoZero"/>
        <c:auto val="1"/>
        <c:lblAlgn val="ctr"/>
        <c:lblOffset val="100"/>
        <c:noMultiLvlLbl val="0"/>
      </c:catAx>
      <c:valAx>
        <c:axId val="19789987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r>
                  <a:rPr lang="en-US" sz="1200">
                    <a:solidFill>
                      <a:sysClr val="windowText" lastClr="000000"/>
                    </a:solidFill>
                    <a:latin typeface="Aptos" panose="020B0004020202020204" pitchFamily="34" charset="0"/>
                  </a:rPr>
                  <a:t>MMTCO2e</a:t>
                </a:r>
              </a:p>
            </c:rich>
          </c:tx>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title>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crossAx val="1978981472"/>
        <c:crosses val="autoZero"/>
        <c:crossBetween val="between"/>
        <c:majorUnit val="5.000000000000001E-2"/>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Aptos" panose="020B0004020202020204" pitchFamily="34" charset="0"/>
                <a:ea typeface="+mn-ea"/>
                <a:cs typeface="+mn-cs"/>
              </a:defRPr>
            </a:pPr>
            <a:r>
              <a:rPr lang="en-US" sz="1600" b="1">
                <a:solidFill>
                  <a:schemeClr val="tx1"/>
                </a:solidFill>
                <a:latin typeface="Aptos" panose="020B0004020202020204" pitchFamily="34" charset="0"/>
              </a:rPr>
              <a:t>CH4 and N2O from Mobile Fuel Combustion and</a:t>
            </a:r>
            <a:r>
              <a:rPr lang="en-US" sz="1600" b="1" baseline="0">
                <a:solidFill>
                  <a:schemeClr val="tx1"/>
                </a:solidFill>
                <a:latin typeface="Aptos" panose="020B0004020202020204" pitchFamily="34" charset="0"/>
              </a:rPr>
              <a:t> </a:t>
            </a:r>
            <a:r>
              <a:rPr lang="en-US" sz="1600" b="1">
                <a:solidFill>
                  <a:schemeClr val="tx1"/>
                </a:solidFill>
                <a:latin typeface="Aptos" panose="020B0004020202020204" pitchFamily="34" charset="0"/>
              </a:rPr>
              <a:t>Total</a:t>
            </a:r>
            <a:r>
              <a:rPr lang="en-US" sz="1600" b="1" baseline="0">
                <a:solidFill>
                  <a:schemeClr val="tx1"/>
                </a:solidFill>
                <a:latin typeface="Aptos" panose="020B0004020202020204" pitchFamily="34" charset="0"/>
              </a:rPr>
              <a:t> Stationary</a:t>
            </a:r>
            <a:endParaRPr lang="en-US" sz="1600" b="1">
              <a:solidFill>
                <a:schemeClr val="tx1"/>
              </a:solidFill>
              <a:latin typeface="Aptos" panose="020B0004020202020204" pitchFamily="34" charset="0"/>
            </a:endParaRPr>
          </a:p>
        </c:rich>
      </c:tx>
      <c:layout>
        <c:manualLayout>
          <c:xMode val="edge"/>
          <c:yMode val="edge"/>
          <c:x val="6.3782371291125461E-2"/>
          <c:y val="5.6261485220146595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7.7893153694040831E-2"/>
          <c:y val="0.1257666683198598"/>
          <c:w val="0.6290907153400993"/>
          <c:h val="0.72671339692616277"/>
        </c:manualLayout>
      </c:layout>
      <c:lineChart>
        <c:grouping val="standard"/>
        <c:varyColors val="0"/>
        <c:ser>
          <c:idx val="0"/>
          <c:order val="0"/>
          <c:tx>
            <c:strRef>
              <c:f>Process!$A$23</c:f>
              <c:strCache>
                <c:ptCount val="1"/>
                <c:pt idx="0">
                  <c:v>Transportation Other Gases</c:v>
                </c:pt>
              </c:strCache>
            </c:strRef>
          </c:tx>
          <c:spPr>
            <a:ln w="28575" cap="rnd">
              <a:solidFill>
                <a:schemeClr val="tx2">
                  <a:lumMod val="50000"/>
                </a:schemeClr>
              </a:solidFill>
              <a:round/>
            </a:ln>
            <a:effectLst/>
          </c:spPr>
          <c:marker>
            <c:symbol val="diamond"/>
            <c:size val="6"/>
            <c:spPr>
              <a:solidFill>
                <a:schemeClr val="tx2">
                  <a:lumMod val="75000"/>
                </a:schemeClr>
              </a:solidFill>
              <a:ln w="9525">
                <a:solidFill>
                  <a:schemeClr val="tx2">
                    <a:lumMod val="75000"/>
                  </a:schemeClr>
                </a:solidFill>
              </a:ln>
              <a:effectLst/>
            </c:spPr>
          </c:marker>
          <c:cat>
            <c:strRef>
              <c:f>'Stationary CH4 and N2O'!$B$75:$AI$75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Process!$B$23:$AI$23</c:f>
              <c:numCache>
                <c:formatCode>#,##0.0</c:formatCode>
                <c:ptCount val="34"/>
                <c:pt idx="0">
                  <c:v>1.0753076759395894</c:v>
                </c:pt>
                <c:pt idx="1">
                  <c:v>1.083328307482686</c:v>
                </c:pt>
                <c:pt idx="2">
                  <c:v>1.1147744537403796</c:v>
                </c:pt>
                <c:pt idx="3">
                  <c:v>1.0874042670826884</c:v>
                </c:pt>
                <c:pt idx="4">
                  <c:v>1.1376772439768528</c:v>
                </c:pt>
                <c:pt idx="5">
                  <c:v>1.1607969890693142</c:v>
                </c:pt>
                <c:pt idx="6">
                  <c:v>1.2143550890006947</c:v>
                </c:pt>
                <c:pt idx="7">
                  <c:v>1.2058606520186317</c:v>
                </c:pt>
                <c:pt idx="8">
                  <c:v>1.1998852734941363</c:v>
                </c:pt>
                <c:pt idx="9">
                  <c:v>1.1221594396260741</c:v>
                </c:pt>
                <c:pt idx="10">
                  <c:v>1.0928770994312982</c:v>
                </c:pt>
                <c:pt idx="11">
                  <c:v>1.0391525910354076</c:v>
                </c:pt>
                <c:pt idx="12">
                  <c:v>0.97531696999635809</c:v>
                </c:pt>
                <c:pt idx="13">
                  <c:v>0.9307515363026021</c:v>
                </c:pt>
                <c:pt idx="14">
                  <c:v>0.87328857676163307</c:v>
                </c:pt>
                <c:pt idx="15">
                  <c:v>0.82695034019404612</c:v>
                </c:pt>
                <c:pt idx="16">
                  <c:v>0.81330304653418628</c:v>
                </c:pt>
                <c:pt idx="17">
                  <c:v>0.71215817909290102</c:v>
                </c:pt>
                <c:pt idx="18">
                  <c:v>0.66856356840425468</c:v>
                </c:pt>
                <c:pt idx="19">
                  <c:v>0.59994021048697932</c:v>
                </c:pt>
                <c:pt idx="20">
                  <c:v>0.58274442714610253</c:v>
                </c:pt>
                <c:pt idx="21">
                  <c:v>0.57393999379464022</c:v>
                </c:pt>
                <c:pt idx="22">
                  <c:v>0.51956016781682679</c:v>
                </c:pt>
                <c:pt idx="23">
                  <c:v>0.49515048951750656</c:v>
                </c:pt>
                <c:pt idx="24">
                  <c:v>0.46471480480611715</c:v>
                </c:pt>
                <c:pt idx="25">
                  <c:v>0.39000731796133276</c:v>
                </c:pt>
                <c:pt idx="26">
                  <c:v>0.37913368418676707</c:v>
                </c:pt>
                <c:pt idx="27">
                  <c:v>0.35368499569375861</c:v>
                </c:pt>
                <c:pt idx="28">
                  <c:v>0.3212555398885682</c:v>
                </c:pt>
                <c:pt idx="29">
                  <c:v>0.35868414207419819</c:v>
                </c:pt>
                <c:pt idx="30">
                  <c:v>0.300233346404158</c:v>
                </c:pt>
                <c:pt idx="31">
                  <c:v>0.30570766006240785</c:v>
                </c:pt>
                <c:pt idx="32">
                  <c:v>0.32121689646893553</c:v>
                </c:pt>
                <c:pt idx="33">
                  <c:v>0.30901448959284655</c:v>
                </c:pt>
              </c:numCache>
            </c:numRef>
          </c:val>
          <c:smooth val="0"/>
          <c:extLst>
            <c:ext xmlns:c16="http://schemas.microsoft.com/office/drawing/2014/chart" uri="{C3380CC4-5D6E-409C-BE32-E72D297353CC}">
              <c16:uniqueId val="{00000000-8D82-4B0D-A6E3-2653E0C46EDB}"/>
            </c:ext>
          </c:extLst>
        </c:ser>
        <c:ser>
          <c:idx val="1"/>
          <c:order val="1"/>
          <c:tx>
            <c:strRef>
              <c:f>'Stationary CH4 and N2O'!$A$88</c:f>
              <c:strCache>
                <c:ptCount val="1"/>
                <c:pt idx="0">
                  <c:v>TOTAL Stationary</c:v>
                </c:pt>
              </c:strCache>
            </c:strRef>
          </c:tx>
          <c:spPr>
            <a:ln w="28575" cap="rnd">
              <a:solidFill>
                <a:schemeClr val="accent2"/>
              </a:solidFill>
              <a:round/>
            </a:ln>
            <a:effectLst/>
          </c:spPr>
          <c:marker>
            <c:symbol val="circle"/>
            <c:size val="5"/>
            <c:spPr>
              <a:solidFill>
                <a:schemeClr val="tx2">
                  <a:lumMod val="60000"/>
                  <a:lumOff val="40000"/>
                </a:schemeClr>
              </a:solidFill>
              <a:ln w="9525">
                <a:solidFill>
                  <a:schemeClr val="tx2">
                    <a:lumMod val="60000"/>
                    <a:lumOff val="40000"/>
                  </a:schemeClr>
                </a:solidFill>
              </a:ln>
              <a:effectLst/>
            </c:spPr>
          </c:marker>
          <c:cat>
            <c:strRef>
              <c:f>'Stationary CH4 and N2O'!$B$75:$AI$75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'Stationary CH4 and N2O'!$B$88:$AI$88</c:f>
              <c:numCache>
                <c:formatCode>_(* #,##0.000_);_(* \(#,##0.000\);_(* "-"??_);_(@_)</c:formatCode>
                <c:ptCount val="34"/>
                <c:pt idx="0">
                  <c:v>0.39392393347961657</c:v>
                </c:pt>
                <c:pt idx="1">
                  <c:v>0.40013422191377523</c:v>
                </c:pt>
                <c:pt idx="2">
                  <c:v>0.41335097932233644</c:v>
                </c:pt>
                <c:pt idx="3">
                  <c:v>0.40897337745675805</c:v>
                </c:pt>
                <c:pt idx="4">
                  <c:v>0.39786454779571223</c:v>
                </c:pt>
                <c:pt idx="5">
                  <c:v>0.3861501378662705</c:v>
                </c:pt>
                <c:pt idx="6">
                  <c:v>0.39187326675483747</c:v>
                </c:pt>
                <c:pt idx="7">
                  <c:v>0.36120067421874091</c:v>
                </c:pt>
                <c:pt idx="8">
                  <c:v>0.33581419835844217</c:v>
                </c:pt>
                <c:pt idx="9">
                  <c:v>0.32779735247588576</c:v>
                </c:pt>
                <c:pt idx="10">
                  <c:v>0.34493101779388019</c:v>
                </c:pt>
                <c:pt idx="11">
                  <c:v>0.31447757052549064</c:v>
                </c:pt>
                <c:pt idx="12">
                  <c:v>0.31349980540466793</c:v>
                </c:pt>
                <c:pt idx="13">
                  <c:v>0.32624593902268223</c:v>
                </c:pt>
                <c:pt idx="14">
                  <c:v>0.31736423230196897</c:v>
                </c:pt>
                <c:pt idx="15">
                  <c:v>0.23514242777680919</c:v>
                </c:pt>
                <c:pt idx="16">
                  <c:v>0.1996650040295965</c:v>
                </c:pt>
                <c:pt idx="17">
                  <c:v>0.21100004625311566</c:v>
                </c:pt>
                <c:pt idx="18">
                  <c:v>0.20581033443020322</c:v>
                </c:pt>
                <c:pt idx="19">
                  <c:v>0.24831251424524853</c:v>
                </c:pt>
                <c:pt idx="20">
                  <c:v>0.26005789252090228</c:v>
                </c:pt>
                <c:pt idx="21">
                  <c:v>0.23749747013348899</c:v>
                </c:pt>
                <c:pt idx="22">
                  <c:v>0.1974148563732995</c:v>
                </c:pt>
                <c:pt idx="23">
                  <c:v>0.23651949163774166</c:v>
                </c:pt>
                <c:pt idx="24">
                  <c:v>0.24140378128122567</c:v>
                </c:pt>
                <c:pt idx="25">
                  <c:v>0.23097758029436757</c:v>
                </c:pt>
                <c:pt idx="26">
                  <c:v>0.19648618063687928</c:v>
                </c:pt>
                <c:pt idx="27">
                  <c:v>0.19042262505621341</c:v>
                </c:pt>
                <c:pt idx="28">
                  <c:v>0.18703315049416816</c:v>
                </c:pt>
                <c:pt idx="29">
                  <c:v>0.20320178081935528</c:v>
                </c:pt>
                <c:pt idx="30">
                  <c:v>0.19243830887113414</c:v>
                </c:pt>
                <c:pt idx="31">
                  <c:v>0.1978216194187031</c:v>
                </c:pt>
                <c:pt idx="32">
                  <c:v>0.22251661153033531</c:v>
                </c:pt>
                <c:pt idx="33">
                  <c:v>0.19979289680441009</c:v>
                </c:pt>
              </c:numCache>
            </c:numRef>
          </c:val>
          <c:smooth val="0"/>
          <c:extLst>
            <c:ext xmlns:c16="http://schemas.microsoft.com/office/drawing/2014/chart" uri="{C3380CC4-5D6E-409C-BE32-E72D297353CC}">
              <c16:uniqueId val="{00000001-8D82-4B0D-A6E3-2653E0C46EDB}"/>
            </c:ext>
          </c:extLst>
        </c:ser>
        <c:dLbls>
          <c:showLegendKey val="0"/>
          <c:showVal val="0"/>
          <c:showCatName val="0"/>
          <c:showSerName val="0"/>
          <c:showPercent val="0"/>
          <c:showBubbleSize val="0"/>
        </c:dLbls>
        <c:marker val="1"/>
        <c:smooth val="0"/>
        <c:axId val="1978981472"/>
        <c:axId val="1978998752"/>
        <c:extLst/>
      </c:lineChart>
      <c:catAx>
        <c:axId val="1978981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solidFill>
                <a:latin typeface="Aptos" panose="020B0004020202020204" pitchFamily="34" charset="0"/>
                <a:ea typeface="+mn-ea"/>
                <a:cs typeface="+mn-cs"/>
              </a:defRPr>
            </a:pPr>
            <a:endParaRPr lang="en-US"/>
          </a:p>
        </c:txPr>
        <c:crossAx val="1978998752"/>
        <c:crosses val="autoZero"/>
        <c:auto val="1"/>
        <c:lblAlgn val="ctr"/>
        <c:lblOffset val="100"/>
        <c:noMultiLvlLbl val="0"/>
      </c:catAx>
      <c:valAx>
        <c:axId val="1978998752"/>
        <c:scaling>
          <c:orientation val="minMax"/>
          <c:max val="1.3"/>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r>
                  <a:rPr lang="en-US" sz="1200">
                    <a:solidFill>
                      <a:sysClr val="windowText" lastClr="000000"/>
                    </a:solidFill>
                    <a:latin typeface="Aptos" panose="020B0004020202020204" pitchFamily="34" charset="0"/>
                  </a:rPr>
                  <a:t>MMTCO2e</a:t>
                </a:r>
              </a:p>
            </c:rich>
          </c:tx>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crossAx val="197898147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r>
              <a:rPr lang="en-US" sz="1600" b="1">
                <a:latin typeface="Aptos" panose="020B0004020202020204" pitchFamily="34" charset="0"/>
              </a:rPr>
              <a:t>NG Distribution System and Post Meter Leaks (metric tons CH4)</a:t>
            </a:r>
          </a:p>
        </c:rich>
      </c:tx>
      <c:layout>
        <c:manualLayout>
          <c:xMode val="edge"/>
          <c:yMode val="edge"/>
          <c:x val="9.9276137396686129E-2"/>
          <c:y val="2.8869278995440017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6.6157022972184634E-2"/>
          <c:y val="0.11809548494896747"/>
          <c:w val="0.6667049017581349"/>
          <c:h val="0.73816998863016814"/>
        </c:manualLayout>
      </c:layout>
      <c:barChart>
        <c:barDir val="col"/>
        <c:grouping val="stacked"/>
        <c:varyColors val="0"/>
        <c:ser>
          <c:idx val="0"/>
          <c:order val="0"/>
          <c:tx>
            <c:strRef>
              <c:f>'NG Sum Distribution PostMeter'!$A$270</c:f>
              <c:strCache>
                <c:ptCount val="1"/>
                <c:pt idx="0">
                  <c:v>Total from Pipeline</c:v>
                </c:pt>
              </c:strCache>
            </c:strRef>
          </c:tx>
          <c:spPr>
            <a:pattFill prst="narHorz">
              <a:fgClr>
                <a:srgbClr val="0070C0"/>
              </a:fgClr>
              <a:bgClr>
                <a:schemeClr val="bg1"/>
              </a:bgClr>
            </a:pattFill>
            <a:ln>
              <a:noFill/>
            </a:ln>
            <a:effectLst/>
          </c:spPr>
          <c:invertIfNegative val="0"/>
          <c:cat>
            <c:strRef>
              <c:extLst>
                <c:ext xmlns:c15="http://schemas.microsoft.com/office/drawing/2012/chart" uri="{02D57815-91ED-43cb-92C2-25804820EDAC}">
                  <c15:fullRef>
                    <c15:sqref>'NG Sum Distribution PostMeter'!$C$260:$AK$260</c15:sqref>
                  </c15:fullRef>
                </c:ext>
              </c:extLst>
              <c:f>'NG Sum Distribution PostMeter'!$C$260:$AJ$260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PostMeter'!$C$270:$AK$270</c15:sqref>
                  </c15:fullRef>
                </c:ext>
              </c:extLst>
              <c:f>'NG Sum Distribution PostMeter'!$C$270:$AJ$270</c:f>
              <c:numCache>
                <c:formatCode>#,##0.0</c:formatCode>
                <c:ptCount val="34"/>
                <c:pt idx="0">
                  <c:v>36512.94696500725</c:v>
                </c:pt>
                <c:pt idx="1">
                  <c:v>36031.080791353575</c:v>
                </c:pt>
                <c:pt idx="2">
                  <c:v>35422.198846617051</c:v>
                </c:pt>
                <c:pt idx="3">
                  <c:v>33038.42040222136</c:v>
                </c:pt>
                <c:pt idx="4">
                  <c:v>31905.14107922063</c:v>
                </c:pt>
                <c:pt idx="5">
                  <c:v>30345.469218131078</c:v>
                </c:pt>
                <c:pt idx="6">
                  <c:v>28513.560483556805</c:v>
                </c:pt>
                <c:pt idx="7">
                  <c:v>27052.104582819102</c:v>
                </c:pt>
                <c:pt idx="8">
                  <c:v>25575.361399154106</c:v>
                </c:pt>
                <c:pt idx="9">
                  <c:v>24154.971506520647</c:v>
                </c:pt>
                <c:pt idx="10">
                  <c:v>23000.099409168488</c:v>
                </c:pt>
                <c:pt idx="11">
                  <c:v>20636.47274342502</c:v>
                </c:pt>
                <c:pt idx="12">
                  <c:v>19179.105727847251</c:v>
                </c:pt>
                <c:pt idx="13">
                  <c:v>17595.254405007803</c:v>
                </c:pt>
                <c:pt idx="14">
                  <c:v>16330.028279890765</c:v>
                </c:pt>
                <c:pt idx="15">
                  <c:v>14764.984940253953</c:v>
                </c:pt>
                <c:pt idx="16">
                  <c:v>14072.677610559844</c:v>
                </c:pt>
                <c:pt idx="17">
                  <c:v>12763.075711166184</c:v>
                </c:pt>
                <c:pt idx="18">
                  <c:v>11559.82227417385</c:v>
                </c:pt>
                <c:pt idx="19">
                  <c:v>10299.597958318396</c:v>
                </c:pt>
                <c:pt idx="20">
                  <c:v>9065.1175620527101</c:v>
                </c:pt>
                <c:pt idx="21">
                  <c:v>7839.8660483975</c:v>
                </c:pt>
                <c:pt idx="22">
                  <c:v>7615.5227717815715</c:v>
                </c:pt>
                <c:pt idx="23">
                  <c:v>7422.5916978826262</c:v>
                </c:pt>
                <c:pt idx="24">
                  <c:v>7072.4649503855126</c:v>
                </c:pt>
                <c:pt idx="25">
                  <c:v>6876.5546779759916</c:v>
                </c:pt>
                <c:pt idx="26">
                  <c:v>6638.2946497602243</c:v>
                </c:pt>
                <c:pt idx="27">
                  <c:v>6342.7564694252587</c:v>
                </c:pt>
                <c:pt idx="28">
                  <c:v>6125.2929214491596</c:v>
                </c:pt>
                <c:pt idx="29">
                  <c:v>5909.5154048708528</c:v>
                </c:pt>
                <c:pt idx="30">
                  <c:v>5729.373966778664</c:v>
                </c:pt>
                <c:pt idx="31">
                  <c:v>5452.1205980805262</c:v>
                </c:pt>
                <c:pt idx="32">
                  <c:v>5268.7852986581493</c:v>
                </c:pt>
                <c:pt idx="33">
                  <c:v>5005.9623994119784</c:v>
                </c:pt>
              </c:numCache>
            </c:numRef>
          </c:val>
          <c:extLst>
            <c:ext xmlns:c16="http://schemas.microsoft.com/office/drawing/2014/chart" uri="{C3380CC4-5D6E-409C-BE32-E72D297353CC}">
              <c16:uniqueId val="{00000000-F044-4BCB-B657-0F73C39BA5EE}"/>
            </c:ext>
          </c:extLst>
        </c:ser>
        <c:ser>
          <c:idx val="1"/>
          <c:order val="1"/>
          <c:tx>
            <c:strRef>
              <c:f>'NG Sum Distribution PostMeter'!$A$284</c:f>
              <c:strCache>
                <c:ptCount val="1"/>
                <c:pt idx="0">
                  <c:v>Total from Services</c:v>
                </c:pt>
              </c:strCache>
            </c:strRef>
          </c:tx>
          <c:spPr>
            <a:solidFill>
              <a:schemeClr val="bg2">
                <a:lumMod val="25000"/>
              </a:schemeClr>
            </a:solidFill>
            <a:ln>
              <a:noFill/>
            </a:ln>
            <a:effectLst/>
          </c:spPr>
          <c:invertIfNegative val="0"/>
          <c:cat>
            <c:strRef>
              <c:extLst>
                <c:ext xmlns:c15="http://schemas.microsoft.com/office/drawing/2012/chart" uri="{02D57815-91ED-43cb-92C2-25804820EDAC}">
                  <c15:fullRef>
                    <c15:sqref>'NG Sum Distribution PostMeter'!$C$260:$AK$260</c15:sqref>
                  </c15:fullRef>
                </c:ext>
              </c:extLst>
              <c:f>'NG Sum Distribution PostMeter'!$C$260:$AJ$260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PostMeter'!$C$284:$AK$284</c15:sqref>
                  </c15:fullRef>
                </c:ext>
              </c:extLst>
              <c:f>'NG Sum Distribution PostMeter'!$C$284:$AJ$284</c:f>
              <c:numCache>
                <c:formatCode>#,##0.0</c:formatCode>
                <c:ptCount val="34"/>
                <c:pt idx="0">
                  <c:v>19748.406176966371</c:v>
                </c:pt>
                <c:pt idx="1">
                  <c:v>19450.018066822096</c:v>
                </c:pt>
                <c:pt idx="2">
                  <c:v>18899.002437860578</c:v>
                </c:pt>
                <c:pt idx="3">
                  <c:v>17952.768897154412</c:v>
                </c:pt>
                <c:pt idx="4">
                  <c:v>16874.559848479636</c:v>
                </c:pt>
                <c:pt idx="5">
                  <c:v>16332.445478766575</c:v>
                </c:pt>
                <c:pt idx="6">
                  <c:v>15392.965566428633</c:v>
                </c:pt>
                <c:pt idx="7">
                  <c:v>14636.343310117003</c:v>
                </c:pt>
                <c:pt idx="8">
                  <c:v>13926.180378372466</c:v>
                </c:pt>
                <c:pt idx="9">
                  <c:v>13201.643438958456</c:v>
                </c:pt>
                <c:pt idx="10">
                  <c:v>12701.09036415095</c:v>
                </c:pt>
                <c:pt idx="11">
                  <c:v>12003.896349581815</c:v>
                </c:pt>
                <c:pt idx="12">
                  <c:v>11698.734127125721</c:v>
                </c:pt>
                <c:pt idx="13">
                  <c:v>11046.766428983381</c:v>
                </c:pt>
                <c:pt idx="14">
                  <c:v>11982.514040670743</c:v>
                </c:pt>
                <c:pt idx="15">
                  <c:v>9965.5234476617261</c:v>
                </c:pt>
                <c:pt idx="16">
                  <c:v>8721.0380804145752</c:v>
                </c:pt>
                <c:pt idx="17">
                  <c:v>8089.36194288142</c:v>
                </c:pt>
                <c:pt idx="18">
                  <c:v>7524.9132246815479</c:v>
                </c:pt>
                <c:pt idx="19">
                  <c:v>6873.3726131800549</c:v>
                </c:pt>
                <c:pt idx="20">
                  <c:v>6252.3069525485917</c:v>
                </c:pt>
                <c:pt idx="21">
                  <c:v>5741.0464519396355</c:v>
                </c:pt>
                <c:pt idx="22">
                  <c:v>5536.6393022446255</c:v>
                </c:pt>
                <c:pt idx="23">
                  <c:v>5407.6113248911788</c:v>
                </c:pt>
                <c:pt idx="24">
                  <c:v>5272.7539217343347</c:v>
                </c:pt>
                <c:pt idx="25">
                  <c:v>5156.5864528284892</c:v>
                </c:pt>
                <c:pt idx="26">
                  <c:v>5073.215774658177</c:v>
                </c:pt>
                <c:pt idx="27">
                  <c:v>4851.1688601033202</c:v>
                </c:pt>
                <c:pt idx="28">
                  <c:v>4765.4345872101112</c:v>
                </c:pt>
                <c:pt idx="29">
                  <c:v>4506.169623791141</c:v>
                </c:pt>
                <c:pt idx="30">
                  <c:v>4447.2662245829961</c:v>
                </c:pt>
                <c:pt idx="31">
                  <c:v>4281.2482482789128</c:v>
                </c:pt>
                <c:pt idx="32">
                  <c:v>4118.9624850124828</c:v>
                </c:pt>
                <c:pt idx="33">
                  <c:v>3980.505027006885</c:v>
                </c:pt>
              </c:numCache>
            </c:numRef>
          </c:val>
          <c:extLst>
            <c:ext xmlns:c16="http://schemas.microsoft.com/office/drawing/2014/chart" uri="{C3380CC4-5D6E-409C-BE32-E72D297353CC}">
              <c16:uniqueId val="{00000001-F044-4BCB-B657-0F73C39BA5EE}"/>
            </c:ext>
          </c:extLst>
        </c:ser>
        <c:ser>
          <c:idx val="2"/>
          <c:order val="2"/>
          <c:tx>
            <c:strRef>
              <c:f>'NG Sum Distribution PostMeter'!$A$299</c:f>
              <c:strCache>
                <c:ptCount val="1"/>
                <c:pt idx="0">
                  <c:v>Total Metering and Regulating Stations</c:v>
                </c:pt>
              </c:strCache>
            </c:strRef>
          </c:tx>
          <c:spPr>
            <a:pattFill prst="pct30">
              <a:fgClr>
                <a:srgbClr val="92D050"/>
              </a:fgClr>
              <a:bgClr>
                <a:schemeClr val="bg1"/>
              </a:bgClr>
            </a:pattFill>
            <a:ln>
              <a:noFill/>
            </a:ln>
            <a:effectLst/>
          </c:spPr>
          <c:invertIfNegative val="0"/>
          <c:cat>
            <c:strRef>
              <c:extLst>
                <c:ext xmlns:c15="http://schemas.microsoft.com/office/drawing/2012/chart" uri="{02D57815-91ED-43cb-92C2-25804820EDAC}">
                  <c15:fullRef>
                    <c15:sqref>'NG Sum Distribution PostMeter'!$C$260:$AK$260</c15:sqref>
                  </c15:fullRef>
                </c:ext>
              </c:extLst>
              <c:f>'NG Sum Distribution PostMeter'!$C$260:$AJ$260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PostMeter'!$C$299:$AK$299</c15:sqref>
                  </c15:fullRef>
                </c:ext>
              </c:extLst>
              <c:f>'NG Sum Distribution PostMeter'!$C$299:$AJ$299</c:f>
              <c:numCache>
                <c:formatCode>#,##0.0</c:formatCode>
                <c:ptCount val="34"/>
                <c:pt idx="0">
                  <c:v>2218.5582393924005</c:v>
                </c:pt>
                <c:pt idx="1">
                  <c:v>2137.5905963683504</c:v>
                </c:pt>
                <c:pt idx="2">
                  <c:v>2056.6229533443006</c:v>
                </c:pt>
                <c:pt idx="3">
                  <c:v>1975.6553103202505</c:v>
                </c:pt>
                <c:pt idx="4">
                  <c:v>1894.6876672962005</c:v>
                </c:pt>
                <c:pt idx="5">
                  <c:v>1813.7200242721503</c:v>
                </c:pt>
                <c:pt idx="6">
                  <c:v>1732.7523812481004</c:v>
                </c:pt>
                <c:pt idx="7">
                  <c:v>1651.7847382240502</c:v>
                </c:pt>
                <c:pt idx="8">
                  <c:v>1570.8170952000005</c:v>
                </c:pt>
                <c:pt idx="9">
                  <c:v>1489.8494521759503</c:v>
                </c:pt>
                <c:pt idx="10">
                  <c:v>1408.8818091519001</c:v>
                </c:pt>
                <c:pt idx="11">
                  <c:v>1327.9141661278504</c:v>
                </c:pt>
                <c:pt idx="12">
                  <c:v>1246.9465231038002</c:v>
                </c:pt>
                <c:pt idx="13">
                  <c:v>1165.9788800797503</c:v>
                </c:pt>
                <c:pt idx="14">
                  <c:v>1085.0112370557001</c:v>
                </c:pt>
                <c:pt idx="15">
                  <c:v>1004.0435940316502</c:v>
                </c:pt>
                <c:pt idx="16">
                  <c:v>923.07595100760022</c:v>
                </c:pt>
                <c:pt idx="17">
                  <c:v>842.10830798355005</c:v>
                </c:pt>
                <c:pt idx="18">
                  <c:v>761.1406649595001</c:v>
                </c:pt>
                <c:pt idx="19">
                  <c:v>680.17302193545015</c:v>
                </c:pt>
                <c:pt idx="20">
                  <c:v>599.20537891139998</c:v>
                </c:pt>
                <c:pt idx="21">
                  <c:v>518.23773588735003</c:v>
                </c:pt>
                <c:pt idx="22">
                  <c:v>437.27009286330008</c:v>
                </c:pt>
                <c:pt idx="23" formatCode="#,##0.000">
                  <c:v>356.3024498392499</c:v>
                </c:pt>
                <c:pt idx="24" formatCode="#,##0.000">
                  <c:v>275.33480681520001</c:v>
                </c:pt>
                <c:pt idx="25">
                  <c:v>273.84975450000007</c:v>
                </c:pt>
                <c:pt idx="26">
                  <c:v>283.29726522959999</c:v>
                </c:pt>
                <c:pt idx="27">
                  <c:v>283.57683029280003</c:v>
                </c:pt>
                <c:pt idx="28">
                  <c:v>281.65463067600001</c:v>
                </c:pt>
                <c:pt idx="29">
                  <c:v>281.66644090800003</c:v>
                </c:pt>
                <c:pt idx="30">
                  <c:v>288.59601017520009</c:v>
                </c:pt>
                <c:pt idx="31">
                  <c:v>282.07574980559997</c:v>
                </c:pt>
                <c:pt idx="32">
                  <c:v>279.25546640400012</c:v>
                </c:pt>
                <c:pt idx="33">
                  <c:v>279.56236371840009</c:v>
                </c:pt>
              </c:numCache>
            </c:numRef>
          </c:val>
          <c:extLst>
            <c:ext xmlns:c16="http://schemas.microsoft.com/office/drawing/2014/chart" uri="{C3380CC4-5D6E-409C-BE32-E72D297353CC}">
              <c16:uniqueId val="{00000002-F044-4BCB-B657-0F73C39BA5EE}"/>
            </c:ext>
          </c:extLst>
        </c:ser>
        <c:ser>
          <c:idx val="5"/>
          <c:order val="3"/>
          <c:tx>
            <c:strRef>
              <c:f>'NG Sum Distribution PostMeter'!$A$316</c:f>
              <c:strCache>
                <c:ptCount val="1"/>
                <c:pt idx="0">
                  <c:v>Total Routine Maintenance and Upsets</c:v>
                </c:pt>
              </c:strCache>
            </c:strRef>
          </c:tx>
          <c:spPr>
            <a:solidFill>
              <a:schemeClr val="accent6">
                <a:lumMod val="50000"/>
              </a:schemeClr>
            </a:solidFill>
            <a:ln>
              <a:noFill/>
            </a:ln>
            <a:effectLst/>
          </c:spPr>
          <c:invertIfNegative val="0"/>
          <c:cat>
            <c:strRef>
              <c:extLst>
                <c:ext xmlns:c15="http://schemas.microsoft.com/office/drawing/2012/chart" uri="{02D57815-91ED-43cb-92C2-25804820EDAC}">
                  <c15:fullRef>
                    <c15:sqref>'NG Sum Distribution PostMeter'!$C$260:$AK$260</c15:sqref>
                  </c15:fullRef>
                </c:ext>
              </c:extLst>
              <c:f>'NG Sum Distribution PostMeter'!$C$260:$AJ$260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PostMeter'!$C$316:$P$316</c15:sqref>
                  </c15:fullRef>
                </c:ext>
              </c:extLst>
              <c:f>'NG Sum Distribution PostMeter'!$C$316:$P$316</c:f>
              <c:numCache>
                <c:formatCode>#,##0.0</c:formatCode>
                <c:ptCount val="14"/>
                <c:pt idx="0">
                  <c:v>999.65257682179322</c:v>
                </c:pt>
                <c:pt idx="1">
                  <c:v>1006.4644728069344</c:v>
                </c:pt>
                <c:pt idx="2">
                  <c:v>1031.4839609198932</c:v>
                </c:pt>
                <c:pt idx="3">
                  <c:v>1018.9644875183915</c:v>
                </c:pt>
                <c:pt idx="4">
                  <c:v>1021.1450396855043</c:v>
                </c:pt>
                <c:pt idx="5">
                  <c:v>1046.4312594761061</c:v>
                </c:pt>
                <c:pt idx="6">
                  <c:v>1051.5901011978506</c:v>
                </c:pt>
                <c:pt idx="7">
                  <c:v>1032.2210058981752</c:v>
                </c:pt>
                <c:pt idx="8">
                  <c:v>1085.2385475398903</c:v>
                </c:pt>
                <c:pt idx="9">
                  <c:v>1100.7671706564201</c:v>
                </c:pt>
                <c:pt idx="10">
                  <c:v>1037.5146067415615</c:v>
                </c:pt>
                <c:pt idx="11">
                  <c:v>1052.5527905946249</c:v>
                </c:pt>
                <c:pt idx="12">
                  <c:v>1041.9413051505837</c:v>
                </c:pt>
                <c:pt idx="13">
                  <c:v>1030.2809775830142</c:v>
                </c:pt>
              </c:numCache>
            </c:numRef>
          </c:val>
          <c:extLst>
            <c:ext xmlns:c16="http://schemas.microsoft.com/office/drawing/2014/chart" uri="{C3380CC4-5D6E-409C-BE32-E72D297353CC}">
              <c16:uniqueId val="{00000004-F044-4BCB-B657-0F73C39BA5EE}"/>
            </c:ext>
          </c:extLst>
        </c:ser>
        <c:ser>
          <c:idx val="3"/>
          <c:order val="4"/>
          <c:tx>
            <c:strRef>
              <c:f>'NG Sum Distribution PostMeter'!$A$308</c:f>
              <c:strCache>
                <c:ptCount val="1"/>
                <c:pt idx="0">
                  <c:v>Total from Customer Meters</c:v>
                </c:pt>
              </c:strCache>
            </c:strRef>
          </c:tx>
          <c:spPr>
            <a:pattFill prst="wdDnDiag">
              <a:fgClr>
                <a:srgbClr val="7030A0"/>
              </a:fgClr>
              <a:bgClr>
                <a:schemeClr val="bg1"/>
              </a:bgClr>
            </a:pattFill>
            <a:ln>
              <a:noFill/>
            </a:ln>
            <a:effectLst/>
          </c:spPr>
          <c:invertIfNegative val="0"/>
          <c:cat>
            <c:strRef>
              <c:extLst>
                <c:ext xmlns:c15="http://schemas.microsoft.com/office/drawing/2012/chart" uri="{02D57815-91ED-43cb-92C2-25804820EDAC}">
                  <c15:fullRef>
                    <c15:sqref>'NG Sum Distribution PostMeter'!$C$260:$AK$260</c15:sqref>
                  </c15:fullRef>
                </c:ext>
              </c:extLst>
              <c:f>'NG Sum Distribution PostMeter'!$C$260:$AJ$260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PostMeter'!$C$308:$AK$308</c15:sqref>
                  </c15:fullRef>
                </c:ext>
              </c:extLst>
              <c:f>'NG Sum Distribution PostMeter'!$C$308:$AJ$308</c:f>
              <c:numCache>
                <c:formatCode>#,##0.0</c:formatCode>
                <c:ptCount val="34"/>
                <c:pt idx="0">
                  <c:v>4359.1084200222695</c:v>
                </c:pt>
                <c:pt idx="1">
                  <c:v>4281.2254495044654</c:v>
                </c:pt>
                <c:pt idx="2">
                  <c:v>4619.730973659267</c:v>
                </c:pt>
                <c:pt idx="3">
                  <c:v>4876.3843116719891</c:v>
                </c:pt>
                <c:pt idx="4">
                  <c:v>4769.0692476917666</c:v>
                </c:pt>
                <c:pt idx="5">
                  <c:v>5299.4754800423598</c:v>
                </c:pt>
                <c:pt idx="6">
                  <c:v>5397.2066039963229</c:v>
                </c:pt>
                <c:pt idx="7">
                  <c:v>5480.0905014085865</c:v>
                </c:pt>
                <c:pt idx="8">
                  <c:v>5532.8262583671567</c:v>
                </c:pt>
                <c:pt idx="9">
                  <c:v>5326.9870339316994</c:v>
                </c:pt>
                <c:pt idx="10">
                  <c:v>5588.5541444242754</c:v>
                </c:pt>
                <c:pt idx="11">
                  <c:v>5765.2176896775136</c:v>
                </c:pt>
                <c:pt idx="12">
                  <c:v>5749.425941288092</c:v>
                </c:pt>
                <c:pt idx="13">
                  <c:v>6034.4456162629904</c:v>
                </c:pt>
                <c:pt idx="14">
                  <c:v>6022.0381942170025</c:v>
                </c:pt>
                <c:pt idx="15">
                  <c:v>6005.9358776528998</c:v>
                </c:pt>
                <c:pt idx="16">
                  <c:v>6281.4442654223012</c:v>
                </c:pt>
                <c:pt idx="17">
                  <c:v>6376.24564819646</c:v>
                </c:pt>
                <c:pt idx="18">
                  <c:v>6506.4857911683694</c:v>
                </c:pt>
                <c:pt idx="19">
                  <c:v>6636.7259341402778</c:v>
                </c:pt>
                <c:pt idx="20">
                  <c:v>6789.0000525994819</c:v>
                </c:pt>
                <c:pt idx="21">
                  <c:v>6457.1969406598382</c:v>
                </c:pt>
                <c:pt idx="22">
                  <c:v>6636.3468114480083</c:v>
                </c:pt>
                <c:pt idx="23">
                  <c:v>6722.2444310993742</c:v>
                </c:pt>
                <c:pt idx="24">
                  <c:v>6590.9397295055333</c:v>
                </c:pt>
                <c:pt idx="25">
                  <c:v>6672.7691502589405</c:v>
                </c:pt>
                <c:pt idx="26">
                  <c:v>6735.2900494066616</c:v>
                </c:pt>
                <c:pt idx="27">
                  <c:v>6768.3134540929168</c:v>
                </c:pt>
                <c:pt idx="28">
                  <c:v>6842.2673297578767</c:v>
                </c:pt>
                <c:pt idx="29">
                  <c:v>6868.3878028531244</c:v>
                </c:pt>
                <c:pt idx="30">
                  <c:v>8185.8280475476522</c:v>
                </c:pt>
                <c:pt idx="31">
                  <c:v>6934.6076319799904</c:v>
                </c:pt>
                <c:pt idx="32">
                  <c:v>7755.3596180036511</c:v>
                </c:pt>
                <c:pt idx="33">
                  <c:v>6957.9729558567096</c:v>
                </c:pt>
              </c:numCache>
            </c:numRef>
          </c:val>
          <c:extLst>
            <c:ext xmlns:c16="http://schemas.microsoft.com/office/drawing/2014/chart" uri="{C3380CC4-5D6E-409C-BE32-E72D297353CC}">
              <c16:uniqueId val="{00000005-F044-4BCB-B657-0F73C39BA5EE}"/>
            </c:ext>
          </c:extLst>
        </c:ser>
        <c:ser>
          <c:idx val="6"/>
          <c:order val="5"/>
          <c:tx>
            <c:strRef>
              <c:f>'NG Sum Distribution PostMeter'!$A$499</c:f>
              <c:strCache>
                <c:ptCount val="1"/>
                <c:pt idx="0">
                  <c:v>Total Post-Meter Methane Leak Emissions</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'NG Sum Distribution PostMeter'!$C$260:$AK$260</c15:sqref>
                  </c15:fullRef>
                </c:ext>
              </c:extLst>
              <c:f>'NG Sum Distribution PostMeter'!$C$260:$AJ$260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PostMeter'!$C$499:$AK$499</c15:sqref>
                  </c15:fullRef>
                </c:ext>
              </c:extLst>
              <c:f>'NG Sum Distribution PostMeter'!$C$499:$AJ$499</c:f>
              <c:numCache>
                <c:formatCode>_(* #,##0.00_);_(* \(#,##0.00\);_(* "-"??_);_(@_)</c:formatCode>
                <c:ptCount val="34"/>
                <c:pt idx="0">
                  <c:v>4006.8543220672336</c:v>
                </c:pt>
                <c:pt idx="1">
                  <c:v>4140.6027115657444</c:v>
                </c:pt>
                <c:pt idx="2">
                  <c:v>4492.8563618559265</c:v>
                </c:pt>
                <c:pt idx="3">
                  <c:v>4606.9080432143855</c:v>
                </c:pt>
                <c:pt idx="4">
                  <c:v>4827.9235192519445</c:v>
                </c:pt>
                <c:pt idx="5">
                  <c:v>5180.9327570891228</c:v>
                </c:pt>
                <c:pt idx="6">
                  <c:v>4862.8064648706613</c:v>
                </c:pt>
                <c:pt idx="7">
                  <c:v>5129.2743199239876</c:v>
                </c:pt>
                <c:pt idx="8">
                  <c:v>5000.9647466681126</c:v>
                </c:pt>
                <c:pt idx="9">
                  <c:v>5131.3996710659912</c:v>
                </c:pt>
                <c:pt idx="10">
                  <c:v>5142.9662711010078</c:v>
                </c:pt>
                <c:pt idx="11">
                  <c:v>5352.6859843840211</c:v>
                </c:pt>
                <c:pt idx="12">
                  <c:v>5801.177923827021</c:v>
                </c:pt>
                <c:pt idx="13">
                  <c:v>5832.8255103967367</c:v>
                </c:pt>
                <c:pt idx="14">
                  <c:v>5683.4164207666145</c:v>
                </c:pt>
                <c:pt idx="15">
                  <c:v>5643.6103389859272</c:v>
                </c:pt>
                <c:pt idx="16">
                  <c:v>5963.971637103281</c:v>
                </c:pt>
                <c:pt idx="17">
                  <c:v>6170.3794419738506</c:v>
                </c:pt>
                <c:pt idx="18">
                  <c:v>5848.7754681055503</c:v>
                </c:pt>
                <c:pt idx="19">
                  <c:v>5776.1795174544586</c:v>
                </c:pt>
                <c:pt idx="20">
                  <c:v>6277.7721055580305</c:v>
                </c:pt>
                <c:pt idx="21">
                  <c:v>6315.7617240848094</c:v>
                </c:pt>
                <c:pt idx="22">
                  <c:v>6366.130682762725</c:v>
                </c:pt>
                <c:pt idx="23">
                  <c:v>6084.546615642902</c:v>
                </c:pt>
                <c:pt idx="24">
                  <c:v>5831.9612016766987</c:v>
                </c:pt>
                <c:pt idx="25">
                  <c:v>6179.8859617815469</c:v>
                </c:pt>
                <c:pt idx="26">
                  <c:v>6262.2974953582261</c:v>
                </c:pt>
                <c:pt idx="27">
                  <c:v>7247.1155784351122</c:v>
                </c:pt>
                <c:pt idx="28">
                  <c:v>6975.6140845663458</c:v>
                </c:pt>
                <c:pt idx="29">
                  <c:v>6861.9431311242042</c:v>
                </c:pt>
                <c:pt idx="30">
                  <c:v>6926.419890619326</c:v>
                </c:pt>
                <c:pt idx="31">
                  <c:v>6926.0621485848142</c:v>
                </c:pt>
                <c:pt idx="32">
                  <c:v>7025.5729670423161</c:v>
                </c:pt>
                <c:pt idx="33">
                  <c:v>6792.7164037935963</c:v>
                </c:pt>
              </c:numCache>
            </c:numRef>
          </c:val>
          <c:extLst>
            <c:ext xmlns:c16="http://schemas.microsoft.com/office/drawing/2014/chart" uri="{C3380CC4-5D6E-409C-BE32-E72D297353CC}">
              <c16:uniqueId val="{00000006-F044-4BCB-B657-0F73C39BA5EE}"/>
            </c:ext>
          </c:extLst>
        </c:ser>
        <c:dLbls>
          <c:showLegendKey val="0"/>
          <c:showVal val="0"/>
          <c:showCatName val="0"/>
          <c:showSerName val="0"/>
          <c:showPercent val="0"/>
          <c:showBubbleSize val="0"/>
        </c:dLbls>
        <c:gapWidth val="55"/>
        <c:overlap val="100"/>
        <c:axId val="699282304"/>
        <c:axId val="699286264"/>
      </c:barChart>
      <c:catAx>
        <c:axId val="699282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699286264"/>
        <c:crosses val="autoZero"/>
        <c:auto val="1"/>
        <c:lblAlgn val="ctr"/>
        <c:lblOffset val="100"/>
        <c:noMultiLvlLbl val="0"/>
      </c:catAx>
      <c:valAx>
        <c:axId val="699286264"/>
        <c:scaling>
          <c:orientation val="minMax"/>
          <c:max val="7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699282304"/>
        <c:crosses val="autoZero"/>
        <c:crossBetween val="between"/>
      </c:valAx>
      <c:spPr>
        <a:noFill/>
        <a:ln>
          <a:noFill/>
        </a:ln>
        <a:effectLst/>
      </c:spPr>
    </c:plotArea>
    <c:legend>
      <c:legendPos val="r"/>
      <c:layout>
        <c:manualLayout>
          <c:xMode val="edge"/>
          <c:yMode val="edge"/>
          <c:x val="0.76044016936010561"/>
          <c:y val="4.3497152868221658E-2"/>
          <c:w val="0.23216512513258553"/>
          <c:h val="0.90925715575420307"/>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r>
              <a:rPr lang="en-US" sz="1600" b="1">
                <a:latin typeface="Aptos" panose="020B0004020202020204" pitchFamily="34" charset="0"/>
              </a:rPr>
              <a:t>NG Distribution System and Post Meter Leaks (metric tons CH4)</a:t>
            </a:r>
          </a:p>
        </c:rich>
      </c:tx>
      <c:layout>
        <c:manualLayout>
          <c:xMode val="edge"/>
          <c:yMode val="edge"/>
          <c:x val="9.1415017998043205E-2"/>
          <c:y val="2.8799992743308914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8.6735321566379031E-2"/>
          <c:y val="0.11619035321200913"/>
          <c:w val="0.68154159880103027"/>
          <c:h val="0.73357710177969015"/>
        </c:manualLayout>
      </c:layout>
      <c:lineChart>
        <c:grouping val="standard"/>
        <c:varyColors val="0"/>
        <c:ser>
          <c:idx val="3"/>
          <c:order val="0"/>
          <c:tx>
            <c:strRef>
              <c:f>'NG Sum Distribution PostMeter'!$A$308</c:f>
              <c:strCache>
                <c:ptCount val="1"/>
                <c:pt idx="0">
                  <c:v>Total from Customer Meters</c:v>
                </c:pt>
              </c:strCache>
            </c:strRef>
          </c:tx>
          <c:spPr>
            <a:ln w="28575" cap="rnd">
              <a:solidFill>
                <a:schemeClr val="accent4"/>
              </a:solidFill>
              <a:prstDash val="solid"/>
              <a:round/>
            </a:ln>
            <a:effectLst/>
          </c:spPr>
          <c:marker>
            <c:symbol val="triangle"/>
            <c:size val="6"/>
            <c:spPr>
              <a:solidFill>
                <a:schemeClr val="accent4"/>
              </a:solidFill>
              <a:ln w="9525">
                <a:solidFill>
                  <a:schemeClr val="accent4"/>
                </a:solidFill>
              </a:ln>
              <a:effectLst/>
            </c:spPr>
          </c:marker>
          <c:cat>
            <c:strRef>
              <c:extLst>
                <c:ext xmlns:c15="http://schemas.microsoft.com/office/drawing/2012/chart" uri="{02D57815-91ED-43cb-92C2-25804820EDAC}">
                  <c15:fullRef>
                    <c15:sqref>'NG Sum Distribution PostMeter'!$C$57:$AK$57</c15:sqref>
                  </c15:fullRef>
                </c:ext>
              </c:extLst>
              <c:f>'NG Sum Distribution PostMeter'!$C$57:$AJ$57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PostMeter'!$C$308:$AK$308</c15:sqref>
                  </c15:fullRef>
                </c:ext>
              </c:extLst>
              <c:f>'NG Sum Distribution PostMeter'!$C$308:$AJ$308</c:f>
              <c:numCache>
                <c:formatCode>#,##0.0</c:formatCode>
                <c:ptCount val="34"/>
                <c:pt idx="0">
                  <c:v>4359.1084200222695</c:v>
                </c:pt>
                <c:pt idx="1">
                  <c:v>4281.2254495044654</c:v>
                </c:pt>
                <c:pt idx="2">
                  <c:v>4619.730973659267</c:v>
                </c:pt>
                <c:pt idx="3">
                  <c:v>4876.3843116719891</c:v>
                </c:pt>
                <c:pt idx="4">
                  <c:v>4769.0692476917666</c:v>
                </c:pt>
                <c:pt idx="5">
                  <c:v>5299.4754800423598</c:v>
                </c:pt>
                <c:pt idx="6">
                  <c:v>5397.2066039963229</c:v>
                </c:pt>
                <c:pt idx="7">
                  <c:v>5480.0905014085865</c:v>
                </c:pt>
                <c:pt idx="8">
                  <c:v>5532.8262583671567</c:v>
                </c:pt>
                <c:pt idx="9">
                  <c:v>5326.9870339316994</c:v>
                </c:pt>
                <c:pt idx="10">
                  <c:v>5588.5541444242754</c:v>
                </c:pt>
                <c:pt idx="11">
                  <c:v>5765.2176896775136</c:v>
                </c:pt>
                <c:pt idx="12">
                  <c:v>5749.425941288092</c:v>
                </c:pt>
                <c:pt idx="13">
                  <c:v>6034.4456162629904</c:v>
                </c:pt>
                <c:pt idx="14">
                  <c:v>6022.0381942170025</c:v>
                </c:pt>
                <c:pt idx="15">
                  <c:v>6005.9358776528998</c:v>
                </c:pt>
                <c:pt idx="16">
                  <c:v>6281.4442654223012</c:v>
                </c:pt>
                <c:pt idx="17">
                  <c:v>6376.24564819646</c:v>
                </c:pt>
                <c:pt idx="18">
                  <c:v>6506.4857911683694</c:v>
                </c:pt>
                <c:pt idx="19">
                  <c:v>6636.7259341402778</c:v>
                </c:pt>
                <c:pt idx="20">
                  <c:v>6789.0000525994819</c:v>
                </c:pt>
                <c:pt idx="21">
                  <c:v>6457.1969406598382</c:v>
                </c:pt>
                <c:pt idx="22">
                  <c:v>6636.3468114480083</c:v>
                </c:pt>
                <c:pt idx="23">
                  <c:v>6722.2444310993742</c:v>
                </c:pt>
                <c:pt idx="24">
                  <c:v>6590.9397295055333</c:v>
                </c:pt>
                <c:pt idx="25">
                  <c:v>6672.7691502589405</c:v>
                </c:pt>
                <c:pt idx="26">
                  <c:v>6735.2900494066616</c:v>
                </c:pt>
                <c:pt idx="27">
                  <c:v>6768.3134540929168</c:v>
                </c:pt>
                <c:pt idx="28">
                  <c:v>6842.2673297578767</c:v>
                </c:pt>
                <c:pt idx="29">
                  <c:v>6868.3878028531244</c:v>
                </c:pt>
                <c:pt idx="30">
                  <c:v>8185.8280475476522</c:v>
                </c:pt>
                <c:pt idx="31">
                  <c:v>6934.6076319799904</c:v>
                </c:pt>
                <c:pt idx="32">
                  <c:v>7755.3596180036511</c:v>
                </c:pt>
                <c:pt idx="33">
                  <c:v>6957.9729558567096</c:v>
                </c:pt>
              </c:numCache>
            </c:numRef>
          </c:val>
          <c:smooth val="0"/>
          <c:extLst>
            <c:ext xmlns:c16="http://schemas.microsoft.com/office/drawing/2014/chart" uri="{C3380CC4-5D6E-409C-BE32-E72D297353CC}">
              <c16:uniqueId val="{00000000-E08B-4A03-8764-13FDA15D8FB4}"/>
            </c:ext>
          </c:extLst>
        </c:ser>
        <c:ser>
          <c:idx val="6"/>
          <c:order val="1"/>
          <c:tx>
            <c:strRef>
              <c:f>'NG Sum Distribution PostMeter'!$A$499</c:f>
              <c:strCache>
                <c:ptCount val="1"/>
                <c:pt idx="0">
                  <c:v>Total Post-Meter Methane Leak Emissions</c:v>
                </c:pt>
              </c:strCache>
            </c:strRef>
          </c:tx>
          <c:spPr>
            <a:ln w="28575" cap="rnd">
              <a:solidFill>
                <a:schemeClr val="accent1">
                  <a:lumMod val="60000"/>
                </a:schemeClr>
              </a:solidFill>
              <a:prstDash val="sysDash"/>
              <a:round/>
            </a:ln>
            <a:effectLst/>
          </c:spPr>
          <c:marker>
            <c:symbol val="circle"/>
            <c:size val="5"/>
            <c:spPr>
              <a:solidFill>
                <a:schemeClr val="accent1">
                  <a:lumMod val="60000"/>
                </a:schemeClr>
              </a:solidFill>
              <a:ln w="9525">
                <a:solidFill>
                  <a:schemeClr val="accent1">
                    <a:lumMod val="60000"/>
                  </a:schemeClr>
                </a:solidFill>
              </a:ln>
              <a:effectLst/>
            </c:spPr>
          </c:marker>
          <c:cat>
            <c:strRef>
              <c:extLst>
                <c:ext xmlns:c15="http://schemas.microsoft.com/office/drawing/2012/chart" uri="{02D57815-91ED-43cb-92C2-25804820EDAC}">
                  <c15:fullRef>
                    <c15:sqref>'NG Sum Distribution PostMeter'!$C$57:$AK$57</c15:sqref>
                  </c15:fullRef>
                </c:ext>
              </c:extLst>
              <c:f>'NG Sum Distribution PostMeter'!$C$57:$AJ$57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PostMeter'!$C$499:$AK$499</c15:sqref>
                  </c15:fullRef>
                </c:ext>
              </c:extLst>
              <c:f>'NG Sum Distribution PostMeter'!$C$499:$AJ$499</c:f>
              <c:numCache>
                <c:formatCode>_(* #,##0.00_);_(* \(#,##0.00\);_(* "-"??_);_(@_)</c:formatCode>
                <c:ptCount val="34"/>
                <c:pt idx="0">
                  <c:v>4006.8543220672336</c:v>
                </c:pt>
                <c:pt idx="1">
                  <c:v>4140.6027115657444</c:v>
                </c:pt>
                <c:pt idx="2">
                  <c:v>4492.8563618559265</c:v>
                </c:pt>
                <c:pt idx="3">
                  <c:v>4606.9080432143855</c:v>
                </c:pt>
                <c:pt idx="4">
                  <c:v>4827.9235192519445</c:v>
                </c:pt>
                <c:pt idx="5">
                  <c:v>5180.9327570891228</c:v>
                </c:pt>
                <c:pt idx="6">
                  <c:v>4862.8064648706613</c:v>
                </c:pt>
                <c:pt idx="7">
                  <c:v>5129.2743199239876</c:v>
                </c:pt>
                <c:pt idx="8">
                  <c:v>5000.9647466681126</c:v>
                </c:pt>
                <c:pt idx="9">
                  <c:v>5131.3996710659912</c:v>
                </c:pt>
                <c:pt idx="10">
                  <c:v>5142.9662711010078</c:v>
                </c:pt>
                <c:pt idx="11">
                  <c:v>5352.6859843840211</c:v>
                </c:pt>
                <c:pt idx="12">
                  <c:v>5801.177923827021</c:v>
                </c:pt>
                <c:pt idx="13">
                  <c:v>5832.8255103967367</c:v>
                </c:pt>
                <c:pt idx="14">
                  <c:v>5683.4164207666145</c:v>
                </c:pt>
                <c:pt idx="15">
                  <c:v>5643.6103389859272</c:v>
                </c:pt>
                <c:pt idx="16">
                  <c:v>5963.971637103281</c:v>
                </c:pt>
                <c:pt idx="17">
                  <c:v>6170.3794419738506</c:v>
                </c:pt>
                <c:pt idx="18">
                  <c:v>5848.7754681055503</c:v>
                </c:pt>
                <c:pt idx="19">
                  <c:v>5776.1795174544586</c:v>
                </c:pt>
                <c:pt idx="20">
                  <c:v>6277.7721055580305</c:v>
                </c:pt>
                <c:pt idx="21">
                  <c:v>6315.7617240848094</c:v>
                </c:pt>
                <c:pt idx="22">
                  <c:v>6366.130682762725</c:v>
                </c:pt>
                <c:pt idx="23">
                  <c:v>6084.546615642902</c:v>
                </c:pt>
                <c:pt idx="24">
                  <c:v>5831.9612016766987</c:v>
                </c:pt>
                <c:pt idx="25">
                  <c:v>6179.8859617815469</c:v>
                </c:pt>
                <c:pt idx="26">
                  <c:v>6262.2974953582261</c:v>
                </c:pt>
                <c:pt idx="27">
                  <c:v>7247.1155784351122</c:v>
                </c:pt>
                <c:pt idx="28">
                  <c:v>6975.6140845663458</c:v>
                </c:pt>
                <c:pt idx="29">
                  <c:v>6861.9431311242042</c:v>
                </c:pt>
                <c:pt idx="30">
                  <c:v>6926.419890619326</c:v>
                </c:pt>
                <c:pt idx="31">
                  <c:v>6926.0621485848142</c:v>
                </c:pt>
                <c:pt idx="32">
                  <c:v>7025.5729670423161</c:v>
                </c:pt>
                <c:pt idx="33">
                  <c:v>6792.7164037935963</c:v>
                </c:pt>
              </c:numCache>
            </c:numRef>
          </c:val>
          <c:smooth val="0"/>
          <c:extLst>
            <c:ext xmlns:c16="http://schemas.microsoft.com/office/drawing/2014/chart" uri="{C3380CC4-5D6E-409C-BE32-E72D297353CC}">
              <c16:uniqueId val="{00000001-E08B-4A03-8764-13FDA15D8FB4}"/>
            </c:ext>
          </c:extLst>
        </c:ser>
        <c:ser>
          <c:idx val="0"/>
          <c:order val="2"/>
          <c:tx>
            <c:strRef>
              <c:f>'NG Sum Distribution PostMeter'!$A$270</c:f>
              <c:strCache>
                <c:ptCount val="1"/>
                <c:pt idx="0">
                  <c:v>Total from Pipeline</c:v>
                </c:pt>
              </c:strCache>
            </c:strRef>
          </c:tx>
          <c:spPr>
            <a:ln w="28575" cap="rnd">
              <a:solidFill>
                <a:schemeClr val="accent1"/>
              </a:solidFill>
              <a:round/>
            </a:ln>
            <a:effectLst/>
          </c:spPr>
          <c:marker>
            <c:symbol val="x"/>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'NG Sum Distribution PostMeter'!$C$57:$AK$57</c15:sqref>
                  </c15:fullRef>
                </c:ext>
              </c:extLst>
              <c:f>'NG Sum Distribution PostMeter'!$C$57:$AJ$57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PostMeter'!$C$270:$AK$270</c15:sqref>
                  </c15:fullRef>
                </c:ext>
              </c:extLst>
              <c:f>'NG Sum Distribution PostMeter'!$C$270:$AJ$270</c:f>
              <c:numCache>
                <c:formatCode>#,##0.0</c:formatCode>
                <c:ptCount val="34"/>
                <c:pt idx="0">
                  <c:v>36512.94696500725</c:v>
                </c:pt>
                <c:pt idx="1">
                  <c:v>36031.080791353575</c:v>
                </c:pt>
                <c:pt idx="2">
                  <c:v>35422.198846617051</c:v>
                </c:pt>
                <c:pt idx="3">
                  <c:v>33038.42040222136</c:v>
                </c:pt>
                <c:pt idx="4">
                  <c:v>31905.14107922063</c:v>
                </c:pt>
                <c:pt idx="5">
                  <c:v>30345.469218131078</c:v>
                </c:pt>
                <c:pt idx="6">
                  <c:v>28513.560483556805</c:v>
                </c:pt>
                <c:pt idx="7">
                  <c:v>27052.104582819102</c:v>
                </c:pt>
                <c:pt idx="8">
                  <c:v>25575.361399154106</c:v>
                </c:pt>
                <c:pt idx="9">
                  <c:v>24154.971506520647</c:v>
                </c:pt>
                <c:pt idx="10">
                  <c:v>23000.099409168488</c:v>
                </c:pt>
                <c:pt idx="11">
                  <c:v>20636.47274342502</c:v>
                </c:pt>
                <c:pt idx="12">
                  <c:v>19179.105727847251</c:v>
                </c:pt>
                <c:pt idx="13">
                  <c:v>17595.254405007803</c:v>
                </c:pt>
                <c:pt idx="14">
                  <c:v>16330.028279890765</c:v>
                </c:pt>
                <c:pt idx="15">
                  <c:v>14764.984940253953</c:v>
                </c:pt>
                <c:pt idx="16">
                  <c:v>14072.677610559844</c:v>
                </c:pt>
                <c:pt idx="17">
                  <c:v>12763.075711166184</c:v>
                </c:pt>
                <c:pt idx="18">
                  <c:v>11559.82227417385</c:v>
                </c:pt>
                <c:pt idx="19">
                  <c:v>10299.597958318396</c:v>
                </c:pt>
                <c:pt idx="20">
                  <c:v>9065.1175620527101</c:v>
                </c:pt>
                <c:pt idx="21">
                  <c:v>7839.8660483975</c:v>
                </c:pt>
                <c:pt idx="22">
                  <c:v>7615.5227717815715</c:v>
                </c:pt>
                <c:pt idx="23">
                  <c:v>7422.5916978826262</c:v>
                </c:pt>
                <c:pt idx="24">
                  <c:v>7072.4649503855126</c:v>
                </c:pt>
                <c:pt idx="25">
                  <c:v>6876.5546779759916</c:v>
                </c:pt>
                <c:pt idx="26">
                  <c:v>6638.2946497602243</c:v>
                </c:pt>
                <c:pt idx="27">
                  <c:v>6342.7564694252587</c:v>
                </c:pt>
                <c:pt idx="28">
                  <c:v>6125.2929214491596</c:v>
                </c:pt>
                <c:pt idx="29">
                  <c:v>5909.5154048708528</c:v>
                </c:pt>
                <c:pt idx="30">
                  <c:v>5729.373966778664</c:v>
                </c:pt>
                <c:pt idx="31">
                  <c:v>5452.1205980805262</c:v>
                </c:pt>
                <c:pt idx="32">
                  <c:v>5268.7852986581493</c:v>
                </c:pt>
                <c:pt idx="33">
                  <c:v>5005.9623994119784</c:v>
                </c:pt>
              </c:numCache>
            </c:numRef>
          </c:val>
          <c:smooth val="0"/>
          <c:extLst>
            <c:ext xmlns:c16="http://schemas.microsoft.com/office/drawing/2014/chart" uri="{C3380CC4-5D6E-409C-BE32-E72D297353CC}">
              <c16:uniqueId val="{00000002-E08B-4A03-8764-13FDA15D8FB4}"/>
            </c:ext>
          </c:extLst>
        </c:ser>
        <c:ser>
          <c:idx val="1"/>
          <c:order val="3"/>
          <c:tx>
            <c:strRef>
              <c:f>'NG Sum Distribution PostMeter'!$A$284</c:f>
              <c:strCache>
                <c:ptCount val="1"/>
                <c:pt idx="0">
                  <c:v>Total from Services</c:v>
                </c:pt>
              </c:strCache>
            </c:strRef>
          </c:tx>
          <c:spPr>
            <a:ln w="28575" cap="rnd">
              <a:solidFill>
                <a:schemeClr val="accent2"/>
              </a:solidFill>
              <a:round/>
            </a:ln>
            <a:effectLst/>
          </c:spPr>
          <c:marker>
            <c:symbol val="diamond"/>
            <c:size val="7"/>
            <c:spPr>
              <a:solidFill>
                <a:schemeClr val="accent2"/>
              </a:solidFill>
              <a:ln w="9525">
                <a:solidFill>
                  <a:schemeClr val="accent2"/>
                </a:solidFill>
              </a:ln>
              <a:effectLst/>
            </c:spPr>
          </c:marker>
          <c:cat>
            <c:strRef>
              <c:extLst>
                <c:ext xmlns:c15="http://schemas.microsoft.com/office/drawing/2012/chart" uri="{02D57815-91ED-43cb-92C2-25804820EDAC}">
                  <c15:fullRef>
                    <c15:sqref>'NG Sum Distribution PostMeter'!$C$57:$AK$57</c15:sqref>
                  </c15:fullRef>
                </c:ext>
              </c:extLst>
              <c:f>'NG Sum Distribution PostMeter'!$C$57:$AJ$57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PostMeter'!$C$284:$AK$284</c15:sqref>
                  </c15:fullRef>
                </c:ext>
              </c:extLst>
              <c:f>'NG Sum Distribution PostMeter'!$C$284:$AJ$284</c:f>
              <c:numCache>
                <c:formatCode>#,##0.0</c:formatCode>
                <c:ptCount val="34"/>
                <c:pt idx="0">
                  <c:v>19748.406176966371</c:v>
                </c:pt>
                <c:pt idx="1">
                  <c:v>19450.018066822096</c:v>
                </c:pt>
                <c:pt idx="2">
                  <c:v>18899.002437860578</c:v>
                </c:pt>
                <c:pt idx="3">
                  <c:v>17952.768897154412</c:v>
                </c:pt>
                <c:pt idx="4">
                  <c:v>16874.559848479636</c:v>
                </c:pt>
                <c:pt idx="5">
                  <c:v>16332.445478766575</c:v>
                </c:pt>
                <c:pt idx="6">
                  <c:v>15392.965566428633</c:v>
                </c:pt>
                <c:pt idx="7">
                  <c:v>14636.343310117003</c:v>
                </c:pt>
                <c:pt idx="8">
                  <c:v>13926.180378372466</c:v>
                </c:pt>
                <c:pt idx="9">
                  <c:v>13201.643438958456</c:v>
                </c:pt>
                <c:pt idx="10">
                  <c:v>12701.09036415095</c:v>
                </c:pt>
                <c:pt idx="11">
                  <c:v>12003.896349581815</c:v>
                </c:pt>
                <c:pt idx="12">
                  <c:v>11698.734127125721</c:v>
                </c:pt>
                <c:pt idx="13">
                  <c:v>11046.766428983381</c:v>
                </c:pt>
                <c:pt idx="14">
                  <c:v>11982.514040670743</c:v>
                </c:pt>
                <c:pt idx="15">
                  <c:v>9965.5234476617261</c:v>
                </c:pt>
                <c:pt idx="16">
                  <c:v>8721.0380804145752</c:v>
                </c:pt>
                <c:pt idx="17">
                  <c:v>8089.36194288142</c:v>
                </c:pt>
                <c:pt idx="18">
                  <c:v>7524.9132246815479</c:v>
                </c:pt>
                <c:pt idx="19">
                  <c:v>6873.3726131800549</c:v>
                </c:pt>
                <c:pt idx="20">
                  <c:v>6252.3069525485917</c:v>
                </c:pt>
                <c:pt idx="21">
                  <c:v>5741.0464519396355</c:v>
                </c:pt>
                <c:pt idx="22">
                  <c:v>5536.6393022446255</c:v>
                </c:pt>
                <c:pt idx="23">
                  <c:v>5407.6113248911788</c:v>
                </c:pt>
                <c:pt idx="24">
                  <c:v>5272.7539217343347</c:v>
                </c:pt>
                <c:pt idx="25">
                  <c:v>5156.5864528284892</c:v>
                </c:pt>
                <c:pt idx="26">
                  <c:v>5073.215774658177</c:v>
                </c:pt>
                <c:pt idx="27">
                  <c:v>4851.1688601033202</c:v>
                </c:pt>
                <c:pt idx="28">
                  <c:v>4765.4345872101112</c:v>
                </c:pt>
                <c:pt idx="29">
                  <c:v>4506.169623791141</c:v>
                </c:pt>
                <c:pt idx="30">
                  <c:v>4447.2662245829961</c:v>
                </c:pt>
                <c:pt idx="31">
                  <c:v>4281.2482482789128</c:v>
                </c:pt>
                <c:pt idx="32">
                  <c:v>4118.9624850124828</c:v>
                </c:pt>
                <c:pt idx="33">
                  <c:v>3980.505027006885</c:v>
                </c:pt>
              </c:numCache>
            </c:numRef>
          </c:val>
          <c:smooth val="0"/>
          <c:extLst>
            <c:ext xmlns:c16="http://schemas.microsoft.com/office/drawing/2014/chart" uri="{C3380CC4-5D6E-409C-BE32-E72D297353CC}">
              <c16:uniqueId val="{00000003-E08B-4A03-8764-13FDA15D8FB4}"/>
            </c:ext>
          </c:extLst>
        </c:ser>
        <c:ser>
          <c:idx val="5"/>
          <c:order val="4"/>
          <c:tx>
            <c:strRef>
              <c:f>'NG Sum Distribution PostMeter'!$A$316</c:f>
              <c:strCache>
                <c:ptCount val="1"/>
                <c:pt idx="0">
                  <c:v>Total Routine Maintenance and Upsets</c:v>
                </c:pt>
              </c:strCache>
            </c:strRef>
          </c:tx>
          <c:spPr>
            <a:ln w="28575" cap="rnd">
              <a:solidFill>
                <a:schemeClr val="accent6"/>
              </a:solidFill>
              <a:prstDash val="dashDot"/>
              <a:round/>
            </a:ln>
            <a:effectLst/>
          </c:spPr>
          <c:marker>
            <c:symbol val="circle"/>
            <c:size val="6"/>
            <c:spPr>
              <a:solidFill>
                <a:schemeClr val="accent6"/>
              </a:solidFill>
              <a:ln w="9525">
                <a:solidFill>
                  <a:schemeClr val="accent6"/>
                </a:solidFill>
              </a:ln>
              <a:effectLst/>
            </c:spPr>
          </c:marker>
          <c:cat>
            <c:strRef>
              <c:extLst>
                <c:ext xmlns:c15="http://schemas.microsoft.com/office/drawing/2012/chart" uri="{02D57815-91ED-43cb-92C2-25804820EDAC}">
                  <c15:fullRef>
                    <c15:sqref>'NG Sum Distribution PostMeter'!$C$57:$AK$57</c15:sqref>
                  </c15:fullRef>
                </c:ext>
              </c:extLst>
              <c:f>'NG Sum Distribution PostMeter'!$C$57:$AJ$57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PostMeter'!$C$316:$AK$316</c15:sqref>
                  </c15:fullRef>
                </c:ext>
              </c:extLst>
              <c:f>'NG Sum Distribution PostMeter'!$C$316:$AJ$316</c:f>
              <c:numCache>
                <c:formatCode>#,##0.0</c:formatCode>
                <c:ptCount val="34"/>
                <c:pt idx="0">
                  <c:v>999.65257682179322</c:v>
                </c:pt>
                <c:pt idx="1">
                  <c:v>1006.4644728069344</c:v>
                </c:pt>
                <c:pt idx="2">
                  <c:v>1031.4839609198932</c:v>
                </c:pt>
                <c:pt idx="3">
                  <c:v>1018.9644875183915</c:v>
                </c:pt>
                <c:pt idx="4">
                  <c:v>1021.1450396855043</c:v>
                </c:pt>
                <c:pt idx="5">
                  <c:v>1046.4312594761061</c:v>
                </c:pt>
                <c:pt idx="6">
                  <c:v>1051.5901011978506</c:v>
                </c:pt>
                <c:pt idx="7">
                  <c:v>1032.2210058981752</c:v>
                </c:pt>
                <c:pt idx="8">
                  <c:v>1085.2385475398903</c:v>
                </c:pt>
                <c:pt idx="9">
                  <c:v>1100.7671706564201</c:v>
                </c:pt>
                <c:pt idx="10">
                  <c:v>1037.5146067415615</c:v>
                </c:pt>
                <c:pt idx="11">
                  <c:v>1052.5527905946249</c:v>
                </c:pt>
                <c:pt idx="12">
                  <c:v>1041.9413051505837</c:v>
                </c:pt>
                <c:pt idx="13">
                  <c:v>1030.2809775830142</c:v>
                </c:pt>
                <c:pt idx="14">
                  <c:v>1044.6176716261164</c:v>
                </c:pt>
                <c:pt idx="15">
                  <c:v>1124.6504490747277</c:v>
                </c:pt>
                <c:pt idx="16">
                  <c:v>1076.2986264869032</c:v>
                </c:pt>
                <c:pt idx="17">
                  <c:v>1120.3189732586814</c:v>
                </c:pt>
                <c:pt idx="18">
                  <c:v>1108.3505867313008</c:v>
                </c:pt>
                <c:pt idx="19">
                  <c:v>1103.3088557465082</c:v>
                </c:pt>
                <c:pt idx="20">
                  <c:v>1096.3138122768416</c:v>
                </c:pt>
                <c:pt idx="21">
                  <c:v>1049.9739525055591</c:v>
                </c:pt>
                <c:pt idx="22">
                  <c:v>1132.8427378024462</c:v>
                </c:pt>
                <c:pt idx="23">
                  <c:v>1132.6706893933649</c:v>
                </c:pt>
                <c:pt idx="24">
                  <c:v>1146.706599046569</c:v>
                </c:pt>
                <c:pt idx="25">
                  <c:v>1148.4363334952641</c:v>
                </c:pt>
                <c:pt idx="26">
                  <c:v>1156.3705733865718</c:v>
                </c:pt>
                <c:pt idx="27">
                  <c:v>1158.1552841952459</c:v>
                </c:pt>
                <c:pt idx="28">
                  <c:v>1156.3478320527256</c:v>
                </c:pt>
                <c:pt idx="29">
                  <c:v>1181.9755765876125</c:v>
                </c:pt>
                <c:pt idx="30">
                  <c:v>1166.2332662988301</c:v>
                </c:pt>
                <c:pt idx="31">
                  <c:v>1164.1283578609614</c:v>
                </c:pt>
                <c:pt idx="32">
                  <c:v>1172.3917783128431</c:v>
                </c:pt>
                <c:pt idx="33">
                  <c:v>1249.5523918536876</c:v>
                </c:pt>
              </c:numCache>
            </c:numRef>
          </c:val>
          <c:smooth val="0"/>
          <c:extLst>
            <c:ext xmlns:c16="http://schemas.microsoft.com/office/drawing/2014/chart" uri="{C3380CC4-5D6E-409C-BE32-E72D297353CC}">
              <c16:uniqueId val="{00000004-E08B-4A03-8764-13FDA15D8FB4}"/>
            </c:ext>
          </c:extLst>
        </c:ser>
        <c:ser>
          <c:idx val="2"/>
          <c:order val="5"/>
          <c:tx>
            <c:strRef>
              <c:f>'NG Sum Distribution PostMeter'!$A$299</c:f>
              <c:strCache>
                <c:ptCount val="1"/>
                <c:pt idx="0">
                  <c:v>Total Metering and Regulating Stations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'NG Sum Distribution PostMeter'!$C$57:$AK$57</c15:sqref>
                  </c15:fullRef>
                </c:ext>
              </c:extLst>
              <c:f>'NG Sum Distribution PostMeter'!$C$57:$AJ$57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PostMeter'!$C$299:$AK$299</c15:sqref>
                  </c15:fullRef>
                </c:ext>
              </c:extLst>
              <c:f>'NG Sum Distribution PostMeter'!$C$299:$AJ$299</c:f>
              <c:numCache>
                <c:formatCode>#,##0.0</c:formatCode>
                <c:ptCount val="34"/>
                <c:pt idx="0">
                  <c:v>2218.5582393924005</c:v>
                </c:pt>
                <c:pt idx="1">
                  <c:v>2137.5905963683504</c:v>
                </c:pt>
                <c:pt idx="2">
                  <c:v>2056.6229533443006</c:v>
                </c:pt>
                <c:pt idx="3">
                  <c:v>1975.6553103202505</c:v>
                </c:pt>
                <c:pt idx="4">
                  <c:v>1894.6876672962005</c:v>
                </c:pt>
                <c:pt idx="5">
                  <c:v>1813.7200242721503</c:v>
                </c:pt>
                <c:pt idx="6">
                  <c:v>1732.7523812481004</c:v>
                </c:pt>
                <c:pt idx="7">
                  <c:v>1651.7847382240502</c:v>
                </c:pt>
                <c:pt idx="8">
                  <c:v>1570.8170952000005</c:v>
                </c:pt>
                <c:pt idx="9">
                  <c:v>1489.8494521759503</c:v>
                </c:pt>
                <c:pt idx="10">
                  <c:v>1408.8818091519001</c:v>
                </c:pt>
                <c:pt idx="11">
                  <c:v>1327.9141661278504</c:v>
                </c:pt>
                <c:pt idx="12">
                  <c:v>1246.9465231038002</c:v>
                </c:pt>
                <c:pt idx="13">
                  <c:v>1165.9788800797503</c:v>
                </c:pt>
                <c:pt idx="14">
                  <c:v>1085.0112370557001</c:v>
                </c:pt>
                <c:pt idx="15">
                  <c:v>1004.0435940316502</c:v>
                </c:pt>
                <c:pt idx="16">
                  <c:v>923.07595100760022</c:v>
                </c:pt>
                <c:pt idx="17">
                  <c:v>842.10830798355005</c:v>
                </c:pt>
                <c:pt idx="18">
                  <c:v>761.1406649595001</c:v>
                </c:pt>
                <c:pt idx="19">
                  <c:v>680.17302193545015</c:v>
                </c:pt>
                <c:pt idx="20">
                  <c:v>599.20537891139998</c:v>
                </c:pt>
                <c:pt idx="21">
                  <c:v>518.23773588735003</c:v>
                </c:pt>
                <c:pt idx="22">
                  <c:v>437.27009286330008</c:v>
                </c:pt>
                <c:pt idx="23" formatCode="#,##0.000">
                  <c:v>356.3024498392499</c:v>
                </c:pt>
                <c:pt idx="24" formatCode="#,##0.000">
                  <c:v>275.33480681520001</c:v>
                </c:pt>
                <c:pt idx="25">
                  <c:v>273.84975450000007</c:v>
                </c:pt>
                <c:pt idx="26">
                  <c:v>283.29726522959999</c:v>
                </c:pt>
                <c:pt idx="27">
                  <c:v>283.57683029280003</c:v>
                </c:pt>
                <c:pt idx="28">
                  <c:v>281.65463067600001</c:v>
                </c:pt>
                <c:pt idx="29">
                  <c:v>281.66644090800003</c:v>
                </c:pt>
                <c:pt idx="30">
                  <c:v>288.59601017520009</c:v>
                </c:pt>
                <c:pt idx="31">
                  <c:v>282.07574980559997</c:v>
                </c:pt>
                <c:pt idx="32">
                  <c:v>279.25546640400012</c:v>
                </c:pt>
                <c:pt idx="33">
                  <c:v>279.56236371840009</c:v>
                </c:pt>
              </c:numCache>
            </c:numRef>
          </c:val>
          <c:smooth val="0"/>
          <c:extLst>
            <c:ext xmlns:c16="http://schemas.microsoft.com/office/drawing/2014/chart" uri="{C3380CC4-5D6E-409C-BE32-E72D297353CC}">
              <c16:uniqueId val="{00000005-E08B-4A03-8764-13FDA15D8FB4}"/>
            </c:ext>
          </c:extLst>
        </c:ser>
        <c:dLbls>
          <c:showLegendKey val="0"/>
          <c:showVal val="0"/>
          <c:showCatName val="0"/>
          <c:showSerName val="0"/>
          <c:showPercent val="0"/>
          <c:showBubbleSize val="0"/>
        </c:dLbls>
        <c:marker val="1"/>
        <c:smooth val="0"/>
        <c:axId val="699282304"/>
        <c:axId val="699286264"/>
      </c:lineChart>
      <c:catAx>
        <c:axId val="699282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699286264"/>
        <c:crosses val="autoZero"/>
        <c:auto val="1"/>
        <c:lblAlgn val="ctr"/>
        <c:lblOffset val="100"/>
        <c:noMultiLvlLbl val="0"/>
      </c:catAx>
      <c:valAx>
        <c:axId val="699286264"/>
        <c:scaling>
          <c:orientation val="minMax"/>
          <c:max val="4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699282304"/>
        <c:crosses val="autoZero"/>
        <c:crossBetween val="between"/>
      </c:valAx>
      <c:spPr>
        <a:noFill/>
        <a:ln>
          <a:noFill/>
        </a:ln>
        <a:effectLst/>
      </c:spPr>
    </c:plotArea>
    <c:legend>
      <c:legendPos val="r"/>
      <c:layout>
        <c:manualLayout>
          <c:xMode val="edge"/>
          <c:yMode val="edge"/>
          <c:x val="0.77448550043541753"/>
          <c:y val="7.5296758272336797E-2"/>
          <c:w val="0.21849624150175986"/>
          <c:h val="0.87759155695268498"/>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ptos" panose="020B0004020202020204" pitchFamily="34" charset="0"/>
                <a:ea typeface="Calibri"/>
                <a:cs typeface="Calibri"/>
              </a:defRPr>
            </a:pPr>
            <a:r>
              <a:rPr lang="en-US">
                <a:latin typeface="Aptos" panose="020B0004020202020204" pitchFamily="34" charset="0"/>
              </a:rPr>
              <a:t>Miles of Pipeline</a:t>
            </a:r>
          </a:p>
        </c:rich>
      </c:tx>
      <c:layout>
        <c:manualLayout>
          <c:xMode val="edge"/>
          <c:yMode val="edge"/>
          <c:x val="0.28774699002206916"/>
          <c:y val="2.676076278846887E-2"/>
        </c:manualLayout>
      </c:layout>
      <c:overlay val="0"/>
    </c:title>
    <c:autoTitleDeleted val="0"/>
    <c:plotArea>
      <c:layout>
        <c:manualLayout>
          <c:layoutTarget val="inner"/>
          <c:xMode val="edge"/>
          <c:yMode val="edge"/>
          <c:x val="6.0584536307961505E-2"/>
          <c:y val="0.11065761750195427"/>
          <c:w val="0.58449833563218201"/>
          <c:h val="0.74414729828080217"/>
        </c:manualLayout>
      </c:layout>
      <c:lineChart>
        <c:grouping val="standard"/>
        <c:varyColors val="0"/>
        <c:ser>
          <c:idx val="10"/>
          <c:order val="0"/>
          <c:tx>
            <c:strRef>
              <c:f>'NG Sum Distribution PostMeter'!$A$119</c:f>
              <c:strCache>
                <c:ptCount val="1"/>
                <c:pt idx="0">
                  <c:v>Total</c:v>
                </c:pt>
              </c:strCache>
            </c:strRef>
          </c:tx>
          <c:spPr>
            <a:ln>
              <a:solidFill>
                <a:schemeClr val="tx2">
                  <a:lumMod val="75000"/>
                </a:schemeClr>
              </a:solidFill>
            </a:ln>
          </c:spPr>
          <c:marker>
            <c:symbol val="square"/>
            <c:size val="7"/>
            <c:spPr>
              <a:solidFill>
                <a:schemeClr val="tx2">
                  <a:lumMod val="75000"/>
                </a:schemeClr>
              </a:solidFill>
            </c:spPr>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PostMeter'!$C$119:$AK$119</c15:sqref>
                  </c15:fullRef>
                </c:ext>
              </c:extLst>
              <c:f>'NG Sum Distribution PostMeter'!$C$119:$AJ$119</c:f>
              <c:numCache>
                <c:formatCode>#,##0</c:formatCode>
                <c:ptCount val="34"/>
                <c:pt idx="0">
                  <c:v>17630</c:v>
                </c:pt>
                <c:pt idx="1">
                  <c:v>17696</c:v>
                </c:pt>
                <c:pt idx="2">
                  <c:v>17961.5</c:v>
                </c:pt>
                <c:pt idx="3">
                  <c:v>18074</c:v>
                </c:pt>
                <c:pt idx="4">
                  <c:v>18370</c:v>
                </c:pt>
                <c:pt idx="5">
                  <c:v>18625</c:v>
                </c:pt>
                <c:pt idx="6">
                  <c:v>18805</c:v>
                </c:pt>
                <c:pt idx="7">
                  <c:v>19044.5</c:v>
                </c:pt>
                <c:pt idx="8">
                  <c:v>19278</c:v>
                </c:pt>
                <c:pt idx="9">
                  <c:v>19506</c:v>
                </c:pt>
                <c:pt idx="10">
                  <c:v>19726</c:v>
                </c:pt>
                <c:pt idx="11">
                  <c:v>20038</c:v>
                </c:pt>
                <c:pt idx="12">
                  <c:v>20234</c:v>
                </c:pt>
                <c:pt idx="13">
                  <c:v>20377.166663333333</c:v>
                </c:pt>
                <c:pt idx="14">
                  <c:v>20686.367336666666</c:v>
                </c:pt>
                <c:pt idx="15">
                  <c:v>20954.368000000002</c:v>
                </c:pt>
                <c:pt idx="16">
                  <c:v>20776.769</c:v>
                </c:pt>
                <c:pt idx="17">
                  <c:v>20903.015000000003</c:v>
                </c:pt>
                <c:pt idx="18">
                  <c:v>21022.859</c:v>
                </c:pt>
                <c:pt idx="19">
                  <c:v>21068.694999999996</c:v>
                </c:pt>
                <c:pt idx="20">
                  <c:v>21132.808000000001</c:v>
                </c:pt>
                <c:pt idx="21">
                  <c:v>21191.999999999996</c:v>
                </c:pt>
                <c:pt idx="22">
                  <c:v>21284.661999999997</c:v>
                </c:pt>
                <c:pt idx="23">
                  <c:v>21382.517000000003</c:v>
                </c:pt>
                <c:pt idx="24">
                  <c:v>21526.286</c:v>
                </c:pt>
                <c:pt idx="25">
                  <c:v>21576.441999999999</c:v>
                </c:pt>
                <c:pt idx="26">
                  <c:v>21631.246999999999</c:v>
                </c:pt>
                <c:pt idx="27">
                  <c:v>21668.565999999999</c:v>
                </c:pt>
                <c:pt idx="28">
                  <c:v>21714.471999999998</c:v>
                </c:pt>
                <c:pt idx="29">
                  <c:v>21755.177000000003</c:v>
                </c:pt>
                <c:pt idx="30">
                  <c:v>21798.249</c:v>
                </c:pt>
                <c:pt idx="31">
                  <c:v>21779.767</c:v>
                </c:pt>
                <c:pt idx="32">
                  <c:v>21842.466</c:v>
                </c:pt>
                <c:pt idx="33">
                  <c:v>21857.349000000002</c:v>
                </c:pt>
              </c:numCache>
            </c:numRef>
          </c:val>
          <c:smooth val="0"/>
          <c:extLst>
            <c:ext xmlns:c16="http://schemas.microsoft.com/office/drawing/2014/chart" uri="{C3380CC4-5D6E-409C-BE32-E72D297353CC}">
              <c16:uniqueId val="{00000000-DBA7-497F-BBDC-CF6FD4556D13}"/>
            </c:ext>
          </c:extLst>
        </c:ser>
        <c:ser>
          <c:idx val="5"/>
          <c:order val="1"/>
          <c:tx>
            <c:strRef>
              <c:f>'NG Sum Distribution PostMeter'!$A$114</c:f>
              <c:strCache>
                <c:ptCount val="1"/>
                <c:pt idx="0">
                  <c:v>Plastic</c:v>
                </c:pt>
              </c:strCache>
            </c:strRef>
          </c:tx>
          <c:spPr>
            <a:ln>
              <a:solidFill>
                <a:schemeClr val="accent6">
                  <a:lumMod val="75000"/>
                </a:schemeClr>
              </a:solidFill>
            </a:ln>
          </c:spPr>
          <c:marker>
            <c:symbol val="diamond"/>
            <c:size val="6"/>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PostMeter'!$C$114:$AK$114</c15:sqref>
                  </c15:fullRef>
                </c:ext>
              </c:extLst>
              <c:f>'NG Sum Distribution PostMeter'!$C$114:$AJ$114</c:f>
              <c:numCache>
                <c:formatCode>#,##0</c:formatCode>
                <c:ptCount val="34"/>
                <c:pt idx="0">
                  <c:v>2392</c:v>
                </c:pt>
                <c:pt idx="1">
                  <c:v>2654</c:v>
                </c:pt>
                <c:pt idx="2">
                  <c:v>2946</c:v>
                </c:pt>
                <c:pt idx="3">
                  <c:v>3291</c:v>
                </c:pt>
                <c:pt idx="4">
                  <c:v>3558</c:v>
                </c:pt>
                <c:pt idx="5">
                  <c:v>3886</c:v>
                </c:pt>
                <c:pt idx="6">
                  <c:v>4173</c:v>
                </c:pt>
                <c:pt idx="7">
                  <c:v>4485</c:v>
                </c:pt>
                <c:pt idx="8">
                  <c:v>4790.5</c:v>
                </c:pt>
                <c:pt idx="9">
                  <c:v>5084</c:v>
                </c:pt>
                <c:pt idx="10">
                  <c:v>5458</c:v>
                </c:pt>
                <c:pt idx="11">
                  <c:v>5874</c:v>
                </c:pt>
                <c:pt idx="12">
                  <c:v>6138</c:v>
                </c:pt>
                <c:pt idx="13">
                  <c:v>6421.7333333333336</c:v>
                </c:pt>
                <c:pt idx="14">
                  <c:v>6803.3786666666674</c:v>
                </c:pt>
                <c:pt idx="15">
                  <c:v>7241.8329999999996</c:v>
                </c:pt>
                <c:pt idx="16">
                  <c:v>7282.4510000000009</c:v>
                </c:pt>
                <c:pt idx="17">
                  <c:v>7523.9110000000001</c:v>
                </c:pt>
                <c:pt idx="18">
                  <c:v>7752.192</c:v>
                </c:pt>
                <c:pt idx="19">
                  <c:v>7943.8769999999995</c:v>
                </c:pt>
                <c:pt idx="20">
                  <c:v>8150.4049999999997</c:v>
                </c:pt>
                <c:pt idx="21">
                  <c:v>8434.4189999999981</c:v>
                </c:pt>
                <c:pt idx="22">
                  <c:v>8780.8809999999994</c:v>
                </c:pt>
                <c:pt idx="23">
                  <c:v>9097.1120000000028</c:v>
                </c:pt>
                <c:pt idx="24">
                  <c:v>9490.3840000000018</c:v>
                </c:pt>
                <c:pt idx="25">
                  <c:v>9788.7090000000007</c:v>
                </c:pt>
                <c:pt idx="26">
                  <c:v>10099.989000000001</c:v>
                </c:pt>
                <c:pt idx="27">
                  <c:v>10467.602999999999</c:v>
                </c:pt>
                <c:pt idx="28">
                  <c:v>10741.089</c:v>
                </c:pt>
                <c:pt idx="29">
                  <c:v>11016.081</c:v>
                </c:pt>
                <c:pt idx="30">
                  <c:v>11259.867</c:v>
                </c:pt>
                <c:pt idx="31">
                  <c:v>11541.005999999999</c:v>
                </c:pt>
                <c:pt idx="32">
                  <c:v>11843.298999999999</c:v>
                </c:pt>
                <c:pt idx="33">
                  <c:v>12128.515000000001</c:v>
                </c:pt>
              </c:numCache>
            </c:numRef>
          </c:val>
          <c:smooth val="0"/>
          <c:extLst>
            <c:ext xmlns:c16="http://schemas.microsoft.com/office/drawing/2014/chart" uri="{C3380CC4-5D6E-409C-BE32-E72D297353CC}">
              <c16:uniqueId val="{00000001-DBA7-497F-BBDC-CF6FD4556D13}"/>
            </c:ext>
          </c:extLst>
        </c:ser>
        <c:ser>
          <c:idx val="4"/>
          <c:order val="2"/>
          <c:tx>
            <c:strRef>
              <c:f>'NG Sum Distribution PostMeter'!$A$113</c:f>
              <c:strCache>
                <c:ptCount val="1"/>
                <c:pt idx="0">
                  <c:v>Steel, Cathodically Protected and Coated</c:v>
                </c:pt>
              </c:strCache>
            </c:strRef>
          </c:tx>
          <c:spPr>
            <a:ln>
              <a:solidFill>
                <a:schemeClr val="accent5">
                  <a:lumMod val="75000"/>
                </a:schemeClr>
              </a:solidFill>
            </a:ln>
          </c:spPr>
          <c:marker>
            <c:symbol val="x"/>
            <c:size val="5"/>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PostMeter'!$C$113:$AK$113</c15:sqref>
                  </c15:fullRef>
                </c:ext>
              </c:extLst>
              <c:f>'NG Sum Distribution PostMeter'!$C$113:$AJ$113</c:f>
              <c:numCache>
                <c:formatCode>#,##0</c:formatCode>
                <c:ptCount val="34"/>
                <c:pt idx="0">
                  <c:v>4345</c:v>
                </c:pt>
                <c:pt idx="1">
                  <c:v>4335</c:v>
                </c:pt>
                <c:pt idx="2">
                  <c:v>4531.5</c:v>
                </c:pt>
                <c:pt idx="3">
                  <c:v>4641</c:v>
                </c:pt>
                <c:pt idx="4">
                  <c:v>4737</c:v>
                </c:pt>
                <c:pt idx="5">
                  <c:v>4816</c:v>
                </c:pt>
                <c:pt idx="6">
                  <c:v>4984</c:v>
                </c:pt>
                <c:pt idx="7">
                  <c:v>5031.5</c:v>
                </c:pt>
                <c:pt idx="8">
                  <c:v>5104.5</c:v>
                </c:pt>
                <c:pt idx="9">
                  <c:v>5174</c:v>
                </c:pt>
                <c:pt idx="10">
                  <c:v>4911</c:v>
                </c:pt>
                <c:pt idx="11">
                  <c:v>5391</c:v>
                </c:pt>
                <c:pt idx="12">
                  <c:v>5495</c:v>
                </c:pt>
                <c:pt idx="13">
                  <c:v>5717.9666666666672</c:v>
                </c:pt>
                <c:pt idx="14">
                  <c:v>5764.333333333333</c:v>
                </c:pt>
                <c:pt idx="15">
                  <c:v>5982.8640000000005</c:v>
                </c:pt>
                <c:pt idx="16">
                  <c:v>5429.8910000000005</c:v>
                </c:pt>
                <c:pt idx="17">
                  <c:v>5530.1380000000008</c:v>
                </c:pt>
                <c:pt idx="18">
                  <c:v>5569.3809999999994</c:v>
                </c:pt>
                <c:pt idx="19">
                  <c:v>5635.1399999999985</c:v>
                </c:pt>
                <c:pt idx="20">
                  <c:v>5743.9079999999994</c:v>
                </c:pt>
                <c:pt idx="21">
                  <c:v>5791.3860000000004</c:v>
                </c:pt>
                <c:pt idx="22">
                  <c:v>5767.6239999999998</c:v>
                </c:pt>
                <c:pt idx="23">
                  <c:v>5745.0240000000003</c:v>
                </c:pt>
                <c:pt idx="24">
                  <c:v>5845.0329999999994</c:v>
                </c:pt>
                <c:pt idx="25">
                  <c:v>5790.0969999999979</c:v>
                </c:pt>
                <c:pt idx="26">
                  <c:v>5781.018</c:v>
                </c:pt>
                <c:pt idx="27">
                  <c:v>5755.134</c:v>
                </c:pt>
                <c:pt idx="28">
                  <c:v>5746.6629999999986</c:v>
                </c:pt>
                <c:pt idx="29" formatCode="0">
                  <c:v>5731.9160000000002</c:v>
                </c:pt>
                <c:pt idx="30" formatCode="0">
                  <c:v>5714.6039999999994</c:v>
                </c:pt>
                <c:pt idx="31">
                  <c:v>5696.9069999999992</c:v>
                </c:pt>
                <c:pt idx="32">
                  <c:v>5754.6399999999994</c:v>
                </c:pt>
                <c:pt idx="33">
                  <c:v>5747.33</c:v>
                </c:pt>
              </c:numCache>
            </c:numRef>
          </c:val>
          <c:smooth val="0"/>
          <c:extLst>
            <c:ext xmlns:c16="http://schemas.microsoft.com/office/drawing/2014/chart" uri="{C3380CC4-5D6E-409C-BE32-E72D297353CC}">
              <c16:uniqueId val="{00000002-DBA7-497F-BBDC-CF6FD4556D13}"/>
            </c:ext>
          </c:extLst>
        </c:ser>
        <c:ser>
          <c:idx val="6"/>
          <c:order val="3"/>
          <c:tx>
            <c:strRef>
              <c:f>'NG Sum Distribution PostMeter'!$A$115</c:f>
              <c:strCache>
                <c:ptCount val="1"/>
                <c:pt idx="0">
                  <c:v>Cast or Wrought Iron</c:v>
                </c:pt>
              </c:strCache>
            </c:strRef>
          </c:tx>
          <c:marker>
            <c:symbol val="triangle"/>
            <c:size val="6"/>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PostMeter'!$C$115:$AK$115</c15:sqref>
                  </c15:fullRef>
                </c:ext>
              </c:extLst>
              <c:f>'NG Sum Distribution PostMeter'!$C$115:$AJ$115</c:f>
              <c:numCache>
                <c:formatCode>#,##0</c:formatCode>
                <c:ptCount val="34"/>
                <c:pt idx="0">
                  <c:v>5155</c:v>
                </c:pt>
                <c:pt idx="1">
                  <c:v>5099</c:v>
                </c:pt>
                <c:pt idx="2">
                  <c:v>5017</c:v>
                </c:pt>
                <c:pt idx="3">
                  <c:v>4820</c:v>
                </c:pt>
                <c:pt idx="4">
                  <c:v>4903</c:v>
                </c:pt>
                <c:pt idx="5">
                  <c:v>4867</c:v>
                </c:pt>
                <c:pt idx="6">
                  <c:v>4798</c:v>
                </c:pt>
                <c:pt idx="7">
                  <c:v>4755</c:v>
                </c:pt>
                <c:pt idx="8">
                  <c:v>4715.5</c:v>
                </c:pt>
                <c:pt idx="9">
                  <c:v>4685</c:v>
                </c:pt>
                <c:pt idx="10">
                  <c:v>4574.5</c:v>
                </c:pt>
                <c:pt idx="11">
                  <c:v>4501</c:v>
                </c:pt>
                <c:pt idx="12">
                  <c:v>4440</c:v>
                </c:pt>
                <c:pt idx="13">
                  <c:v>4405</c:v>
                </c:pt>
                <c:pt idx="14">
                  <c:v>4351.7439999999997</c:v>
                </c:pt>
                <c:pt idx="15">
                  <c:v>4292.402</c:v>
                </c:pt>
                <c:pt idx="16">
                  <c:v>4228.4610000000002</c:v>
                </c:pt>
                <c:pt idx="17">
                  <c:v>4184.7259999999997</c:v>
                </c:pt>
                <c:pt idx="18">
                  <c:v>4140.4629999999997</c:v>
                </c:pt>
                <c:pt idx="19">
                  <c:v>4066.4039999999995</c:v>
                </c:pt>
                <c:pt idx="20">
                  <c:v>3990.1370000000006</c:v>
                </c:pt>
                <c:pt idx="21">
                  <c:v>3901.2620000000006</c:v>
                </c:pt>
                <c:pt idx="22">
                  <c:v>3791.5729999999999</c:v>
                </c:pt>
                <c:pt idx="23">
                  <c:v>3691.1470000000008</c:v>
                </c:pt>
                <c:pt idx="24">
                  <c:v>3433.2250000000004</c:v>
                </c:pt>
                <c:pt idx="25">
                  <c:v>3315.1860000000001</c:v>
                </c:pt>
                <c:pt idx="26">
                  <c:v>3193.5120000000002</c:v>
                </c:pt>
                <c:pt idx="27">
                  <c:v>3049.1059999999998</c:v>
                </c:pt>
                <c:pt idx="28">
                  <c:v>2925.4759999999997</c:v>
                </c:pt>
                <c:pt idx="29">
                  <c:v>2808.6909999999998</c:v>
                </c:pt>
                <c:pt idx="30">
                  <c:v>2712.5239999999999</c:v>
                </c:pt>
                <c:pt idx="31">
                  <c:v>2560.4329999999995</c:v>
                </c:pt>
                <c:pt idx="32">
                  <c:v>2413.442</c:v>
                </c:pt>
                <c:pt idx="33">
                  <c:v>2265.7069999999999</c:v>
                </c:pt>
              </c:numCache>
            </c:numRef>
          </c:val>
          <c:smooth val="0"/>
          <c:extLst>
            <c:ext xmlns:c16="http://schemas.microsoft.com/office/drawing/2014/chart" uri="{C3380CC4-5D6E-409C-BE32-E72D297353CC}">
              <c16:uniqueId val="{00000003-DBA7-497F-BBDC-CF6FD4556D13}"/>
            </c:ext>
          </c:extLst>
        </c:ser>
        <c:ser>
          <c:idx val="1"/>
          <c:order val="4"/>
          <c:tx>
            <c:strRef>
              <c:f>'NG Sum Distribution PostMeter'!$A$110</c:f>
              <c:strCache>
                <c:ptCount val="1"/>
                <c:pt idx="0">
                  <c:v>Steel, Cathodically Unprotected and Uncoated</c:v>
                </c:pt>
              </c:strCache>
            </c:strRef>
          </c:tx>
          <c:marker>
            <c:symbol val="circle"/>
            <c:size val="5"/>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PostMeter'!$C$110:$AK$110</c15:sqref>
                  </c15:fullRef>
                </c:ext>
              </c:extLst>
              <c:f>'NG Sum Distribution PostMeter'!$C$110:$AJ$110</c:f>
              <c:numCache>
                <c:formatCode>#,##0</c:formatCode>
                <c:ptCount val="34"/>
                <c:pt idx="0">
                  <c:v>2784</c:v>
                </c:pt>
                <c:pt idx="1">
                  <c:v>2737</c:v>
                </c:pt>
                <c:pt idx="2">
                  <c:v>2648</c:v>
                </c:pt>
                <c:pt idx="3">
                  <c:v>2588</c:v>
                </c:pt>
                <c:pt idx="4">
                  <c:v>2529</c:v>
                </c:pt>
                <c:pt idx="5">
                  <c:v>2481</c:v>
                </c:pt>
                <c:pt idx="6">
                  <c:v>2436</c:v>
                </c:pt>
                <c:pt idx="7">
                  <c:v>2393.5</c:v>
                </c:pt>
                <c:pt idx="8">
                  <c:v>2349</c:v>
                </c:pt>
                <c:pt idx="9">
                  <c:v>2329</c:v>
                </c:pt>
                <c:pt idx="10">
                  <c:v>2603.5</c:v>
                </c:pt>
                <c:pt idx="11">
                  <c:v>2398</c:v>
                </c:pt>
                <c:pt idx="12">
                  <c:v>2421</c:v>
                </c:pt>
                <c:pt idx="13">
                  <c:v>2329</c:v>
                </c:pt>
                <c:pt idx="14">
                  <c:v>2271.9870000000001</c:v>
                </c:pt>
                <c:pt idx="15">
                  <c:v>2174.9859999999999</c:v>
                </c:pt>
                <c:pt idx="16">
                  <c:v>2125.0189999999998</c:v>
                </c:pt>
                <c:pt idx="17">
                  <c:v>2054.0549999999998</c:v>
                </c:pt>
                <c:pt idx="18">
                  <c:v>1988.9559999999999</c:v>
                </c:pt>
                <c:pt idx="19">
                  <c:v>1913.8189999999997</c:v>
                </c:pt>
                <c:pt idx="20">
                  <c:v>1839.1949999999997</c:v>
                </c:pt>
                <c:pt idx="21">
                  <c:v>1746.3110000000001</c:v>
                </c:pt>
                <c:pt idx="22">
                  <c:v>1622.2090000000001</c:v>
                </c:pt>
                <c:pt idx="23">
                  <c:v>1538.5670000000002</c:v>
                </c:pt>
                <c:pt idx="24">
                  <c:v>1487.05</c:v>
                </c:pt>
                <c:pt idx="25">
                  <c:v>1417.8520000000003</c:v>
                </c:pt>
                <c:pt idx="26">
                  <c:v>1317.1020000000001</c:v>
                </c:pt>
                <c:pt idx="27">
                  <c:v>1206.0239999999999</c:v>
                </c:pt>
                <c:pt idx="28">
                  <c:v>1145.8670000000002</c:v>
                </c:pt>
                <c:pt idx="29">
                  <c:v>1077.4349999999999</c:v>
                </c:pt>
                <c:pt idx="30">
                  <c:v>1011.423</c:v>
                </c:pt>
                <c:pt idx="31">
                  <c:v>934.69400000000007</c:v>
                </c:pt>
                <c:pt idx="32">
                  <c:v>931.7120000000001</c:v>
                </c:pt>
                <c:pt idx="33">
                  <c:v>848.0619999999999</c:v>
                </c:pt>
              </c:numCache>
            </c:numRef>
          </c:val>
          <c:smooth val="0"/>
          <c:extLst>
            <c:ext xmlns:c16="http://schemas.microsoft.com/office/drawing/2014/chart" uri="{C3380CC4-5D6E-409C-BE32-E72D297353CC}">
              <c16:uniqueId val="{00000004-DBA7-497F-BBDC-CF6FD4556D13}"/>
            </c:ext>
          </c:extLst>
        </c:ser>
        <c:ser>
          <c:idx val="2"/>
          <c:order val="5"/>
          <c:tx>
            <c:strRef>
              <c:f>'NG Sum Distribution PostMeter'!$A$111</c:f>
              <c:strCache>
                <c:ptCount val="1"/>
                <c:pt idx="0">
                  <c:v>Steel, Cathodically Unprotected and Coated</c:v>
                </c:pt>
              </c:strCache>
            </c:strRef>
          </c:tx>
          <c:spPr>
            <a:ln>
              <a:prstDash val="sysDash"/>
            </a:ln>
          </c:spPr>
          <c:marker>
            <c:symbol val="square"/>
            <c:size val="5"/>
            <c:spPr>
              <a:ln>
                <a:prstDash val="sysDash"/>
              </a:ln>
            </c:spPr>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PostMeter'!$C$111:$AK$111</c15:sqref>
                  </c15:fullRef>
                </c:ext>
              </c:extLst>
              <c:f>'NG Sum Distribution PostMeter'!$C$111:$AJ$111</c:f>
              <c:numCache>
                <c:formatCode>#,##0</c:formatCode>
                <c:ptCount val="34"/>
                <c:pt idx="0">
                  <c:v>2888</c:v>
                </c:pt>
                <c:pt idx="1">
                  <c:v>2806</c:v>
                </c:pt>
                <c:pt idx="2">
                  <c:v>2754</c:v>
                </c:pt>
                <c:pt idx="3">
                  <c:v>2669</c:v>
                </c:pt>
                <c:pt idx="4">
                  <c:v>2580</c:v>
                </c:pt>
                <c:pt idx="5">
                  <c:v>2512</c:v>
                </c:pt>
                <c:pt idx="6">
                  <c:v>2351</c:v>
                </c:pt>
                <c:pt idx="7">
                  <c:v>2312.5</c:v>
                </c:pt>
                <c:pt idx="8">
                  <c:v>2252.5</c:v>
                </c:pt>
                <c:pt idx="9">
                  <c:v>2173</c:v>
                </c:pt>
                <c:pt idx="10">
                  <c:v>2118</c:v>
                </c:pt>
                <c:pt idx="11">
                  <c:v>1637</c:v>
                </c:pt>
                <c:pt idx="12">
                  <c:v>1425</c:v>
                </c:pt>
                <c:pt idx="13">
                  <c:v>1256.3333333333333</c:v>
                </c:pt>
                <c:pt idx="14">
                  <c:v>1233.9366666666667</c:v>
                </c:pt>
                <c:pt idx="15">
                  <c:v>1015.2810000000001</c:v>
                </c:pt>
                <c:pt idx="16">
                  <c:v>1510.3520000000001</c:v>
                </c:pt>
                <c:pt idx="17">
                  <c:v>1410.135</c:v>
                </c:pt>
                <c:pt idx="18">
                  <c:v>1376.232</c:v>
                </c:pt>
                <c:pt idx="19">
                  <c:v>1318.5780000000002</c:v>
                </c:pt>
                <c:pt idx="20">
                  <c:v>1241.2710000000002</c:v>
                </c:pt>
                <c:pt idx="21">
                  <c:v>1160.97</c:v>
                </c:pt>
                <c:pt idx="22">
                  <c:v>1162.8399999999999</c:v>
                </c:pt>
                <c:pt idx="23">
                  <c:v>1149.636</c:v>
                </c:pt>
                <c:pt idx="24">
                  <c:v>1116.9070000000002</c:v>
                </c:pt>
                <c:pt idx="25">
                  <c:v>1113.386</c:v>
                </c:pt>
                <c:pt idx="26">
                  <c:v>1091.992</c:v>
                </c:pt>
                <c:pt idx="27">
                  <c:v>1045.3530000000001</c:v>
                </c:pt>
                <c:pt idx="28">
                  <c:v>1011.107</c:v>
                </c:pt>
                <c:pt idx="29">
                  <c:v>978.54300000000012</c:v>
                </c:pt>
                <c:pt idx="30">
                  <c:v>959.04899999999998</c:v>
                </c:pt>
                <c:pt idx="31">
                  <c:v>911.46399999999994</c:v>
                </c:pt>
                <c:pt idx="32">
                  <c:v>897.91599999999994</c:v>
                </c:pt>
                <c:pt idx="33">
                  <c:v>866.52799999999991</c:v>
                </c:pt>
              </c:numCache>
            </c:numRef>
          </c:val>
          <c:smooth val="0"/>
          <c:extLst>
            <c:ext xmlns:c16="http://schemas.microsoft.com/office/drawing/2014/chart" uri="{C3380CC4-5D6E-409C-BE32-E72D297353CC}">
              <c16:uniqueId val="{00000005-DBA7-497F-BBDC-CF6FD4556D13}"/>
            </c:ext>
          </c:extLst>
        </c:ser>
        <c:ser>
          <c:idx val="3"/>
          <c:order val="6"/>
          <c:tx>
            <c:strRef>
              <c:f>'NG Sum Distribution PostMeter'!$A$112</c:f>
              <c:strCache>
                <c:ptCount val="1"/>
                <c:pt idx="0">
                  <c:v>Steel, Cathodically Protected and Uncoated</c:v>
                </c:pt>
              </c:strCache>
            </c:strRef>
          </c:tx>
          <c:marker>
            <c:symbol val="square"/>
            <c:size val="5"/>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PostMeter'!$C$112:$AK$112</c15:sqref>
                  </c15:fullRef>
                </c:ext>
              </c:extLst>
              <c:f>'NG Sum Distribution PostMeter'!$C$112:$AJ$112</c:f>
              <c:numCache>
                <c:formatCode>#,##0</c:formatCode>
                <c:ptCount val="34"/>
                <c:pt idx="0">
                  <c:v>53</c:v>
                </c:pt>
                <c:pt idx="1">
                  <c:v>52</c:v>
                </c:pt>
                <c:pt idx="2">
                  <c:v>52</c:v>
                </c:pt>
                <c:pt idx="3">
                  <c:v>52</c:v>
                </c:pt>
                <c:pt idx="4">
                  <c:v>50</c:v>
                </c:pt>
                <c:pt idx="5">
                  <c:v>50</c:v>
                </c:pt>
                <c:pt idx="6">
                  <c:v>50</c:v>
                </c:pt>
                <c:pt idx="7">
                  <c:v>50</c:v>
                </c:pt>
                <c:pt idx="8">
                  <c:v>50</c:v>
                </c:pt>
                <c:pt idx="9">
                  <c:v>48</c:v>
                </c:pt>
                <c:pt idx="10">
                  <c:v>48</c:v>
                </c:pt>
                <c:pt idx="11">
                  <c:v>225</c:v>
                </c:pt>
                <c:pt idx="12">
                  <c:v>255</c:v>
                </c:pt>
                <c:pt idx="13">
                  <c:v>235</c:v>
                </c:pt>
                <c:pt idx="14">
                  <c:v>240.79999999999998</c:v>
                </c:pt>
                <c:pt idx="15">
                  <c:v>242.47</c:v>
                </c:pt>
                <c:pt idx="16">
                  <c:v>198.40800000000002</c:v>
                </c:pt>
                <c:pt idx="17">
                  <c:v>198.09100000000001</c:v>
                </c:pt>
                <c:pt idx="18">
                  <c:v>191.47200000000001</c:v>
                </c:pt>
                <c:pt idx="19">
                  <c:v>188.91399999999999</c:v>
                </c:pt>
                <c:pt idx="20">
                  <c:v>165.92699999999999</c:v>
                </c:pt>
                <c:pt idx="21">
                  <c:v>155.69699999999997</c:v>
                </c:pt>
                <c:pt idx="22">
                  <c:v>157.58000000000001</c:v>
                </c:pt>
                <c:pt idx="23">
                  <c:v>159.25200000000001</c:v>
                </c:pt>
                <c:pt idx="24">
                  <c:v>151.28700000000001</c:v>
                </c:pt>
                <c:pt idx="25">
                  <c:v>148.55199999999999</c:v>
                </c:pt>
                <c:pt idx="26">
                  <c:v>144.97399999999999</c:v>
                </c:pt>
                <c:pt idx="27">
                  <c:v>143.11500000000001</c:v>
                </c:pt>
                <c:pt idx="28">
                  <c:v>142.08099999999999</c:v>
                </c:pt>
                <c:pt idx="29">
                  <c:v>140.32300000000001</c:v>
                </c:pt>
                <c:pt idx="30">
                  <c:v>138.964</c:v>
                </c:pt>
                <c:pt idx="31">
                  <c:v>133.476</c:v>
                </c:pt>
                <c:pt idx="32">
                  <c:v>0</c:v>
                </c:pt>
                <c:pt idx="33">
                  <c:v>0</c:v>
                </c:pt>
              </c:numCache>
            </c:numRef>
          </c:val>
          <c:smooth val="0"/>
          <c:extLst>
            <c:ext xmlns:c16="http://schemas.microsoft.com/office/drawing/2014/chart" uri="{C3380CC4-5D6E-409C-BE32-E72D297353CC}">
              <c16:uniqueId val="{00000008-DBA7-497F-BBDC-CF6FD4556D13}"/>
            </c:ext>
          </c:extLst>
        </c:ser>
        <c:ser>
          <c:idx val="7"/>
          <c:order val="7"/>
          <c:tx>
            <c:strRef>
              <c:f>'NG Sum Distribution PostMeter'!$A$116</c:f>
              <c:strCache>
                <c:ptCount val="1"/>
                <c:pt idx="0">
                  <c:v>Ductile Iron</c:v>
                </c:pt>
              </c:strCache>
            </c:strRef>
          </c:tx>
          <c:marker>
            <c:symbol val="none"/>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PostMeter'!$C$116:$AH$116</c15:sqref>
                  </c15:fullRef>
                </c:ext>
              </c:extLst>
              <c:f>'NG Sum Distribution PostMeter'!$C$116:$AH$116</c:f>
              <c:numCache>
                <c:formatCode>#,##0</c:formatCode>
                <c:ptCount val="32"/>
                <c:pt idx="0">
                  <c:v>13</c:v>
                </c:pt>
                <c:pt idx="1">
                  <c:v>13</c:v>
                </c:pt>
                <c:pt idx="2">
                  <c:v>13</c:v>
                </c:pt>
                <c:pt idx="3">
                  <c:v>13</c:v>
                </c:pt>
                <c:pt idx="4">
                  <c:v>13</c:v>
                </c:pt>
                <c:pt idx="5">
                  <c:v>13</c:v>
                </c:pt>
                <c:pt idx="6">
                  <c:v>13</c:v>
                </c:pt>
                <c:pt idx="7">
                  <c:v>13</c:v>
                </c:pt>
                <c:pt idx="8">
                  <c:v>13</c:v>
                </c:pt>
                <c:pt idx="9">
                  <c:v>13</c:v>
                </c:pt>
                <c:pt idx="10">
                  <c:v>13</c:v>
                </c:pt>
                <c:pt idx="11">
                  <c:v>3</c:v>
                </c:pt>
                <c:pt idx="12">
                  <c:v>3</c:v>
                </c:pt>
                <c:pt idx="13">
                  <c:v>3</c:v>
                </c:pt>
                <c:pt idx="14">
                  <c:v>3</c:v>
                </c:pt>
                <c:pt idx="15">
                  <c:v>3</c:v>
                </c:pt>
                <c:pt idx="16">
                  <c:v>2</c:v>
                </c:pt>
                <c:pt idx="17">
                  <c:v>1.9</c:v>
                </c:pt>
                <c:pt idx="18">
                  <c:v>1.92</c:v>
                </c:pt>
                <c:pt idx="19">
                  <c:v>1.92</c:v>
                </c:pt>
                <c:pt idx="20">
                  <c:v>1.9</c:v>
                </c:pt>
                <c:pt idx="21">
                  <c:v>1.89</c:v>
                </c:pt>
                <c:pt idx="22">
                  <c:v>1.89</c:v>
                </c:pt>
                <c:pt idx="23">
                  <c:v>1.1000000000000001</c:v>
                </c:pt>
                <c:pt idx="24">
                  <c:v>1.54</c:v>
                </c:pt>
                <c:pt idx="25">
                  <c:v>1.8</c:v>
                </c:pt>
                <c:pt idx="26">
                  <c:v>1.8</c:v>
                </c:pt>
                <c:pt idx="27">
                  <c:v>1.37</c:v>
                </c:pt>
                <c:pt idx="28">
                  <c:v>1.36</c:v>
                </c:pt>
                <c:pt idx="29">
                  <c:v>1.47</c:v>
                </c:pt>
                <c:pt idx="30">
                  <c:v>1.1000000000000001</c:v>
                </c:pt>
                <c:pt idx="31">
                  <c:v>1.07</c:v>
                </c:pt>
              </c:numCache>
            </c:numRef>
          </c:val>
          <c:smooth val="0"/>
          <c:extLst>
            <c:ext xmlns:c16="http://schemas.microsoft.com/office/drawing/2014/chart" uri="{C3380CC4-5D6E-409C-BE32-E72D297353CC}">
              <c16:uniqueId val="{00000006-DBA7-497F-BBDC-CF6FD4556D13}"/>
            </c:ext>
          </c:extLst>
        </c:ser>
        <c:ser>
          <c:idx val="8"/>
          <c:order val="8"/>
          <c:tx>
            <c:strRef>
              <c:f>'NG Sum Distribution PostMeter'!$A$117</c:f>
              <c:strCache>
                <c:ptCount val="1"/>
                <c:pt idx="0">
                  <c:v>Copper</c:v>
                </c:pt>
              </c:strCache>
            </c:strRef>
          </c:tx>
          <c:marker>
            <c:symbol val="none"/>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PostMeter'!$C$117:$AK$117</c15:sqref>
                  </c15:fullRef>
                </c:ext>
              </c:extLst>
              <c:f>'NG Sum Distribution PostMeter'!$C$117:$AJ$117</c:f>
              <c:numCache>
                <c:formatCode>#,##0</c:formatCode>
                <c:ptCount val="34"/>
                <c:pt idx="0">
                  <c:v>0</c:v>
                </c:pt>
                <c:pt idx="1">
                  <c:v>0</c:v>
                </c:pt>
                <c:pt idx="2">
                  <c:v>0</c:v>
                </c:pt>
                <c:pt idx="3">
                  <c:v>0</c:v>
                </c:pt>
                <c:pt idx="4">
                  <c:v>0</c:v>
                </c:pt>
                <c:pt idx="5">
                  <c:v>0</c:v>
                </c:pt>
                <c:pt idx="6">
                  <c:v>0</c:v>
                </c:pt>
                <c:pt idx="7">
                  <c:v>0</c:v>
                </c:pt>
                <c:pt idx="8">
                  <c:v>0</c:v>
                </c:pt>
                <c:pt idx="9">
                  <c:v>0</c:v>
                </c:pt>
                <c:pt idx="10">
                  <c:v>0</c:v>
                </c:pt>
                <c:pt idx="11">
                  <c:v>0</c:v>
                </c:pt>
                <c:pt idx="12">
                  <c:v>2</c:v>
                </c:pt>
                <c:pt idx="13">
                  <c:v>0</c:v>
                </c:pt>
                <c:pt idx="14">
                  <c:v>0</c:v>
                </c:pt>
                <c:pt idx="15">
                  <c:v>0</c:v>
                </c:pt>
                <c:pt idx="16">
                  <c:v>5.8999999999999997E-2</c:v>
                </c:pt>
                <c:pt idx="17">
                  <c:v>5.8999999999999997E-2</c:v>
                </c:pt>
                <c:pt idx="18">
                  <c:v>4.2999999999999997E-2</c:v>
                </c:pt>
                <c:pt idx="19">
                  <c:v>4.2999999999999997E-2</c:v>
                </c:pt>
                <c:pt idx="20">
                  <c:v>6.5000000000000002E-2</c:v>
                </c:pt>
                <c:pt idx="21">
                  <c:v>6.5000000000000002E-2</c:v>
                </c:pt>
                <c:pt idx="22">
                  <c:v>6.5000000000000002E-2</c:v>
                </c:pt>
                <c:pt idx="23">
                  <c:v>3.9E-2</c:v>
                </c:pt>
                <c:pt idx="24">
                  <c:v>0.06</c:v>
                </c:pt>
                <c:pt idx="25">
                  <c:v>0.06</c:v>
                </c:pt>
                <c:pt idx="26">
                  <c:v>0.06</c:v>
                </c:pt>
                <c:pt idx="27">
                  <c:v>0.06</c:v>
                </c:pt>
                <c:pt idx="28">
                  <c:v>2.8000000000000001E-2</c:v>
                </c:pt>
                <c:pt idx="29">
                  <c:v>1.7000000000000001E-2</c:v>
                </c:pt>
                <c:pt idx="30">
                  <c:v>1.7000000000000001E-2</c:v>
                </c:pt>
                <c:pt idx="31">
                  <c:v>1.7000000000000001E-2</c:v>
                </c:pt>
                <c:pt idx="32">
                  <c:v>1.7000000000000001E-2</c:v>
                </c:pt>
                <c:pt idx="33">
                  <c:v>1.7000000000000001E-2</c:v>
                </c:pt>
              </c:numCache>
            </c:numRef>
          </c:val>
          <c:smooth val="0"/>
          <c:extLst>
            <c:ext xmlns:c16="http://schemas.microsoft.com/office/drawing/2014/chart" uri="{C3380CC4-5D6E-409C-BE32-E72D297353CC}">
              <c16:uniqueId val="{00000007-DBA7-497F-BBDC-CF6FD4556D13}"/>
            </c:ext>
          </c:extLst>
        </c:ser>
        <c:dLbls>
          <c:showLegendKey val="0"/>
          <c:showVal val="0"/>
          <c:showCatName val="0"/>
          <c:showSerName val="0"/>
          <c:showPercent val="0"/>
          <c:showBubbleSize val="0"/>
        </c:dLbls>
        <c:marker val="1"/>
        <c:smooth val="0"/>
        <c:axId val="79964032"/>
        <c:axId val="79965568"/>
      </c:lineChart>
      <c:catAx>
        <c:axId val="79964032"/>
        <c:scaling>
          <c:orientation val="minMax"/>
        </c:scaling>
        <c:delete val="0"/>
        <c:axPos val="b"/>
        <c:numFmt formatCode="General" sourceLinked="1"/>
        <c:majorTickMark val="out"/>
        <c:minorTickMark val="none"/>
        <c:tickLblPos val="nextTo"/>
        <c:txPr>
          <a:bodyPr rot="-5400000" vert="horz"/>
          <a:lstStyle/>
          <a:p>
            <a:pPr>
              <a:defRPr sz="1200">
                <a:latin typeface="Aptos" panose="020B0004020202020204" pitchFamily="34" charset="0"/>
              </a:defRPr>
            </a:pPr>
            <a:endParaRPr lang="en-US"/>
          </a:p>
        </c:txPr>
        <c:crossAx val="79965568"/>
        <c:crosses val="autoZero"/>
        <c:auto val="1"/>
        <c:lblAlgn val="ctr"/>
        <c:lblOffset val="100"/>
        <c:noMultiLvlLbl val="0"/>
      </c:catAx>
      <c:valAx>
        <c:axId val="79965568"/>
        <c:scaling>
          <c:orientation val="minMax"/>
        </c:scaling>
        <c:delete val="0"/>
        <c:axPos val="l"/>
        <c:majorGridlines/>
        <c:numFmt formatCode="#,##0" sourceLinked="1"/>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79964032"/>
        <c:crosses val="autoZero"/>
        <c:crossBetween val="midCat"/>
      </c:valAx>
    </c:plotArea>
    <c:legend>
      <c:legendPos val="r"/>
      <c:layout>
        <c:manualLayout>
          <c:xMode val="edge"/>
          <c:yMode val="edge"/>
          <c:x val="0.67390122085364879"/>
          <c:y val="3.4744871176817189E-2"/>
          <c:w val="0.30996966512880197"/>
          <c:h val="0.95809266698805506"/>
        </c:manualLayout>
      </c:layout>
      <c:overlay val="0"/>
      <c:txPr>
        <a:bodyPr/>
        <a:lstStyle/>
        <a:p>
          <a:pPr>
            <a:defRPr sz="1600" b="1" i="0" u="none" strike="noStrike" baseline="0">
              <a:solidFill>
                <a:srgbClr val="000000"/>
              </a:solidFill>
              <a:latin typeface="Aptos" panose="020B0004020202020204" pitchFamily="34" charset="0"/>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ptos" panose="020B0004020202020204" pitchFamily="34" charset="0"/>
                <a:ea typeface="Calibri"/>
                <a:cs typeface="Calibri"/>
              </a:defRPr>
            </a:pPr>
            <a:r>
              <a:rPr lang="en-US">
                <a:latin typeface="Aptos" panose="020B0004020202020204" pitchFamily="34" charset="0"/>
              </a:rPr>
              <a:t>Number of Services</a:t>
            </a:r>
          </a:p>
        </c:rich>
      </c:tx>
      <c:layout>
        <c:manualLayout>
          <c:xMode val="edge"/>
          <c:yMode val="edge"/>
          <c:x val="0.22527017910355093"/>
          <c:y val="2.9435190793458511E-2"/>
        </c:manualLayout>
      </c:layout>
      <c:overlay val="0"/>
    </c:title>
    <c:autoTitleDeleted val="0"/>
    <c:plotArea>
      <c:layout>
        <c:manualLayout>
          <c:layoutTarget val="inner"/>
          <c:xMode val="edge"/>
          <c:yMode val="edge"/>
          <c:x val="6.9965461377880372E-2"/>
          <c:y val="0.11559768971186295"/>
          <c:w val="0.56568512633885026"/>
          <c:h val="0.79339512849355365"/>
        </c:manualLayout>
      </c:layout>
      <c:lineChart>
        <c:grouping val="standard"/>
        <c:varyColors val="0"/>
        <c:ser>
          <c:idx val="9"/>
          <c:order val="0"/>
          <c:tx>
            <c:strRef>
              <c:f>'NG Sum Distribution PostMeter'!$A$136</c:f>
              <c:strCache>
                <c:ptCount val="1"/>
                <c:pt idx="0">
                  <c:v>Total</c:v>
                </c:pt>
              </c:strCache>
            </c:strRef>
          </c:tx>
          <c:spPr>
            <a:ln>
              <a:solidFill>
                <a:schemeClr val="tx2">
                  <a:lumMod val="75000"/>
                </a:schemeClr>
              </a:solidFill>
            </a:ln>
          </c:spPr>
          <c:marker>
            <c:symbol val="square"/>
            <c:size val="6"/>
            <c:spPr>
              <a:solidFill>
                <a:schemeClr val="tx2">
                  <a:lumMod val="75000"/>
                </a:schemeClr>
              </a:solidFill>
              <a:ln>
                <a:solidFill>
                  <a:schemeClr val="tx2">
                    <a:lumMod val="75000"/>
                  </a:schemeClr>
                </a:solidFill>
              </a:ln>
            </c:spPr>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PostMeter'!$C$136:$AK$136</c15:sqref>
                  </c15:fullRef>
                </c:ext>
              </c:extLst>
              <c:f>'NG Sum Distribution PostMeter'!$C$136:$AJ$136</c:f>
              <c:numCache>
                <c:formatCode>#,##0</c:formatCode>
                <c:ptCount val="34"/>
                <c:pt idx="0">
                  <c:v>984898</c:v>
                </c:pt>
                <c:pt idx="1">
                  <c:v>993135</c:v>
                </c:pt>
                <c:pt idx="2">
                  <c:v>1006923</c:v>
                </c:pt>
                <c:pt idx="3">
                  <c:v>1014015</c:v>
                </c:pt>
                <c:pt idx="4">
                  <c:v>1028049</c:v>
                </c:pt>
                <c:pt idx="5">
                  <c:v>1045460</c:v>
                </c:pt>
                <c:pt idx="6">
                  <c:v>1053778</c:v>
                </c:pt>
                <c:pt idx="7">
                  <c:v>1069958</c:v>
                </c:pt>
                <c:pt idx="8">
                  <c:v>1089671</c:v>
                </c:pt>
                <c:pt idx="9">
                  <c:v>1103363</c:v>
                </c:pt>
                <c:pt idx="10">
                  <c:v>1191103</c:v>
                </c:pt>
                <c:pt idx="11">
                  <c:v>1203684</c:v>
                </c:pt>
                <c:pt idx="12">
                  <c:v>1233685</c:v>
                </c:pt>
                <c:pt idx="13">
                  <c:v>1246447.6666666665</c:v>
                </c:pt>
                <c:pt idx="14">
                  <c:v>1255373.3333333335</c:v>
                </c:pt>
                <c:pt idx="15">
                  <c:v>1224377.5</c:v>
                </c:pt>
                <c:pt idx="16">
                  <c:v>1222457</c:v>
                </c:pt>
                <c:pt idx="17">
                  <c:v>1230363</c:v>
                </c:pt>
                <c:pt idx="18">
                  <c:v>1240586</c:v>
                </c:pt>
                <c:pt idx="19">
                  <c:v>1245332</c:v>
                </c:pt>
                <c:pt idx="20">
                  <c:v>1245850</c:v>
                </c:pt>
                <c:pt idx="21">
                  <c:v>1252018</c:v>
                </c:pt>
                <c:pt idx="22">
                  <c:v>1265696</c:v>
                </c:pt>
                <c:pt idx="23">
                  <c:v>1281569</c:v>
                </c:pt>
                <c:pt idx="24">
                  <c:v>1295096</c:v>
                </c:pt>
                <c:pt idx="25">
                  <c:v>1309474</c:v>
                </c:pt>
                <c:pt idx="26">
                  <c:v>1323581</c:v>
                </c:pt>
                <c:pt idx="27">
                  <c:v>1336678</c:v>
                </c:pt>
                <c:pt idx="28">
                  <c:v>1348782</c:v>
                </c:pt>
                <c:pt idx="29">
                  <c:v>1352943</c:v>
                </c:pt>
                <c:pt idx="30">
                  <c:v>1361430</c:v>
                </c:pt>
                <c:pt idx="31">
                  <c:v>1368087</c:v>
                </c:pt>
                <c:pt idx="32">
                  <c:v>1372770</c:v>
                </c:pt>
                <c:pt idx="33">
                  <c:v>1377734</c:v>
                </c:pt>
              </c:numCache>
            </c:numRef>
          </c:val>
          <c:smooth val="0"/>
          <c:extLst>
            <c:ext xmlns:c16="http://schemas.microsoft.com/office/drawing/2014/chart" uri="{C3380CC4-5D6E-409C-BE32-E72D297353CC}">
              <c16:uniqueId val="{00000000-47D1-494F-AF8C-20626F0FDCC0}"/>
            </c:ext>
          </c:extLst>
        </c:ser>
        <c:ser>
          <c:idx val="4"/>
          <c:order val="1"/>
          <c:tx>
            <c:strRef>
              <c:f>'NG Sum Distribution PostMeter'!$A$131</c:f>
              <c:strCache>
                <c:ptCount val="1"/>
                <c:pt idx="0">
                  <c:v>Plastic</c:v>
                </c:pt>
              </c:strCache>
            </c:strRef>
          </c:tx>
          <c:spPr>
            <a:ln>
              <a:solidFill>
                <a:schemeClr val="accent6">
                  <a:lumMod val="75000"/>
                </a:schemeClr>
              </a:solidFill>
            </a:ln>
          </c:spPr>
          <c:marker>
            <c:symbol val="diamond"/>
            <c:size val="6"/>
            <c:spPr>
              <a:solidFill>
                <a:schemeClr val="accent6">
                  <a:lumMod val="75000"/>
                </a:schemeClr>
              </a:solidFill>
              <a:ln>
                <a:solidFill>
                  <a:schemeClr val="accent6">
                    <a:lumMod val="75000"/>
                  </a:schemeClr>
                </a:solidFill>
              </a:ln>
            </c:spPr>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PostMeter'!$C$131:$AK$131</c15:sqref>
                  </c15:fullRef>
                </c:ext>
              </c:extLst>
              <c:f>'NG Sum Distribution PostMeter'!$C$131:$AJ$131</c:f>
              <c:numCache>
                <c:formatCode>#,##0</c:formatCode>
                <c:ptCount val="34"/>
                <c:pt idx="0">
                  <c:v>236420</c:v>
                </c:pt>
                <c:pt idx="1">
                  <c:v>251027</c:v>
                </c:pt>
                <c:pt idx="2">
                  <c:v>276126</c:v>
                </c:pt>
                <c:pt idx="3">
                  <c:v>300166</c:v>
                </c:pt>
                <c:pt idx="4">
                  <c:v>328250</c:v>
                </c:pt>
                <c:pt idx="5">
                  <c:v>346910</c:v>
                </c:pt>
                <c:pt idx="6">
                  <c:v>375837</c:v>
                </c:pt>
                <c:pt idx="7">
                  <c:v>401255.5</c:v>
                </c:pt>
                <c:pt idx="8">
                  <c:v>429103</c:v>
                </c:pt>
                <c:pt idx="9">
                  <c:v>449591</c:v>
                </c:pt>
                <c:pt idx="10">
                  <c:v>477157</c:v>
                </c:pt>
                <c:pt idx="11">
                  <c:v>498936</c:v>
                </c:pt>
                <c:pt idx="12">
                  <c:v>522779</c:v>
                </c:pt>
                <c:pt idx="13">
                  <c:v>544690.66666666663</c:v>
                </c:pt>
                <c:pt idx="14">
                  <c:v>540562.33333333337</c:v>
                </c:pt>
                <c:pt idx="15">
                  <c:v>574564.5</c:v>
                </c:pt>
                <c:pt idx="16">
                  <c:v>607804</c:v>
                </c:pt>
                <c:pt idx="17">
                  <c:v>627558</c:v>
                </c:pt>
                <c:pt idx="18">
                  <c:v>647922</c:v>
                </c:pt>
                <c:pt idx="19">
                  <c:v>669488</c:v>
                </c:pt>
                <c:pt idx="20">
                  <c:v>692751</c:v>
                </c:pt>
                <c:pt idx="21">
                  <c:v>711267</c:v>
                </c:pt>
                <c:pt idx="22">
                  <c:v>741775</c:v>
                </c:pt>
                <c:pt idx="23">
                  <c:v>771079</c:v>
                </c:pt>
                <c:pt idx="24">
                  <c:v>796643</c:v>
                </c:pt>
                <c:pt idx="25">
                  <c:v>821281</c:v>
                </c:pt>
                <c:pt idx="26">
                  <c:v>843550</c:v>
                </c:pt>
                <c:pt idx="27">
                  <c:v>874717</c:v>
                </c:pt>
                <c:pt idx="28">
                  <c:v>896013</c:v>
                </c:pt>
                <c:pt idx="29">
                  <c:v>920789</c:v>
                </c:pt>
                <c:pt idx="30">
                  <c:v>934887</c:v>
                </c:pt>
                <c:pt idx="31">
                  <c:v>955878</c:v>
                </c:pt>
                <c:pt idx="32">
                  <c:v>974004</c:v>
                </c:pt>
                <c:pt idx="33">
                  <c:v>990794</c:v>
                </c:pt>
              </c:numCache>
            </c:numRef>
          </c:val>
          <c:smooth val="0"/>
          <c:extLst>
            <c:ext xmlns:c16="http://schemas.microsoft.com/office/drawing/2014/chart" uri="{C3380CC4-5D6E-409C-BE32-E72D297353CC}">
              <c16:uniqueId val="{00000001-47D1-494F-AF8C-20626F0FDCC0}"/>
            </c:ext>
          </c:extLst>
        </c:ser>
        <c:ser>
          <c:idx val="3"/>
          <c:order val="2"/>
          <c:tx>
            <c:strRef>
              <c:f>'NG Sum Distribution PostMeter'!$A$130</c:f>
              <c:strCache>
                <c:ptCount val="1"/>
                <c:pt idx="0">
                  <c:v>Steel, Cathodically Protected and Coated</c:v>
                </c:pt>
              </c:strCache>
            </c:strRef>
          </c:tx>
          <c:spPr>
            <a:ln>
              <a:prstDash val="sysDash"/>
            </a:ln>
          </c:spPr>
          <c:marker>
            <c:symbol val="square"/>
            <c:size val="5"/>
            <c:spPr>
              <a:solidFill>
                <a:schemeClr val="accent4">
                  <a:lumMod val="75000"/>
                </a:schemeClr>
              </a:solidFill>
            </c:spPr>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PostMeter'!$C$130:$AK$130</c15:sqref>
                  </c15:fullRef>
                </c:ext>
              </c:extLst>
              <c:f>'NG Sum Distribution PostMeter'!$C$130:$AJ$130</c:f>
              <c:numCache>
                <c:formatCode>#,##0</c:formatCode>
                <c:ptCount val="34"/>
                <c:pt idx="0">
                  <c:v>150054</c:v>
                </c:pt>
                <c:pt idx="1">
                  <c:v>152153</c:v>
                </c:pt>
                <c:pt idx="2">
                  <c:v>154005</c:v>
                </c:pt>
                <c:pt idx="3">
                  <c:v>153943</c:v>
                </c:pt>
                <c:pt idx="4">
                  <c:v>158080</c:v>
                </c:pt>
                <c:pt idx="5">
                  <c:v>157721</c:v>
                </c:pt>
                <c:pt idx="6">
                  <c:v>151173</c:v>
                </c:pt>
                <c:pt idx="7">
                  <c:v>151111.5</c:v>
                </c:pt>
                <c:pt idx="8">
                  <c:v>151112.5</c:v>
                </c:pt>
                <c:pt idx="9">
                  <c:v>153785</c:v>
                </c:pt>
                <c:pt idx="10">
                  <c:v>220002</c:v>
                </c:pt>
                <c:pt idx="11">
                  <c:v>220002</c:v>
                </c:pt>
                <c:pt idx="12">
                  <c:v>219167</c:v>
                </c:pt>
                <c:pt idx="13">
                  <c:v>218028</c:v>
                </c:pt>
                <c:pt idx="14">
                  <c:v>162241</c:v>
                </c:pt>
                <c:pt idx="15">
                  <c:v>171863</c:v>
                </c:pt>
                <c:pt idx="16">
                  <c:v>178153</c:v>
                </c:pt>
                <c:pt idx="17">
                  <c:v>177883</c:v>
                </c:pt>
                <c:pt idx="18">
                  <c:v>176657</c:v>
                </c:pt>
                <c:pt idx="19">
                  <c:v>175219</c:v>
                </c:pt>
                <c:pt idx="20">
                  <c:v>167169</c:v>
                </c:pt>
                <c:pt idx="21">
                  <c:v>164179</c:v>
                </c:pt>
                <c:pt idx="22">
                  <c:v>161970</c:v>
                </c:pt>
                <c:pt idx="23">
                  <c:v>158060</c:v>
                </c:pt>
                <c:pt idx="24">
                  <c:v>155703</c:v>
                </c:pt>
                <c:pt idx="25">
                  <c:v>153922</c:v>
                </c:pt>
                <c:pt idx="26">
                  <c:v>151873</c:v>
                </c:pt>
                <c:pt idx="27">
                  <c:v>149751</c:v>
                </c:pt>
                <c:pt idx="28">
                  <c:v>146738</c:v>
                </c:pt>
                <c:pt idx="29">
                  <c:v>144496</c:v>
                </c:pt>
                <c:pt idx="30">
                  <c:v>143181</c:v>
                </c:pt>
                <c:pt idx="31">
                  <c:v>140604</c:v>
                </c:pt>
                <c:pt idx="32">
                  <c:v>138640</c:v>
                </c:pt>
                <c:pt idx="33">
                  <c:v>136722</c:v>
                </c:pt>
              </c:numCache>
            </c:numRef>
          </c:val>
          <c:smooth val="0"/>
          <c:extLst>
            <c:ext xmlns:c16="http://schemas.microsoft.com/office/drawing/2014/chart" uri="{C3380CC4-5D6E-409C-BE32-E72D297353CC}">
              <c16:uniqueId val="{00000002-47D1-494F-AF8C-20626F0FDCC0}"/>
            </c:ext>
          </c:extLst>
        </c:ser>
        <c:ser>
          <c:idx val="0"/>
          <c:order val="3"/>
          <c:tx>
            <c:strRef>
              <c:f>'NG Sum Distribution PostMeter'!$A$127</c:f>
              <c:strCache>
                <c:ptCount val="1"/>
                <c:pt idx="0">
                  <c:v>Steel, Cathodically Unprotected and Uncoated</c:v>
                </c:pt>
              </c:strCache>
            </c:strRef>
          </c:tx>
          <c:spPr>
            <a:ln>
              <a:solidFill>
                <a:schemeClr val="accent2">
                  <a:lumMod val="75000"/>
                </a:schemeClr>
              </a:solidFill>
            </a:ln>
          </c:spPr>
          <c:marker>
            <c:symbol val="circle"/>
            <c:size val="5"/>
            <c:spPr>
              <a:solidFill>
                <a:srgbClr val="C00000"/>
              </a:solidFill>
              <a:ln>
                <a:solidFill>
                  <a:srgbClr val="C00000"/>
                </a:solidFill>
              </a:ln>
            </c:spPr>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PostMeter'!$C$127:$AK$127</c15:sqref>
                  </c15:fullRef>
                </c:ext>
              </c:extLst>
              <c:f>'NG Sum Distribution PostMeter'!$C$127:$AJ$127</c:f>
              <c:numCache>
                <c:formatCode>#,##0</c:formatCode>
                <c:ptCount val="34"/>
                <c:pt idx="0">
                  <c:v>475349</c:v>
                </c:pt>
                <c:pt idx="1">
                  <c:v>467092</c:v>
                </c:pt>
                <c:pt idx="2">
                  <c:v>453146</c:v>
                </c:pt>
                <c:pt idx="3">
                  <c:v>443269</c:v>
                </c:pt>
                <c:pt idx="4">
                  <c:v>427591</c:v>
                </c:pt>
                <c:pt idx="5">
                  <c:v>428012</c:v>
                </c:pt>
                <c:pt idx="6">
                  <c:v>415460</c:v>
                </c:pt>
                <c:pt idx="7">
                  <c:v>409520</c:v>
                </c:pt>
                <c:pt idx="8">
                  <c:v>403511</c:v>
                </c:pt>
                <c:pt idx="9">
                  <c:v>398751</c:v>
                </c:pt>
                <c:pt idx="10">
                  <c:v>316403</c:v>
                </c:pt>
                <c:pt idx="11">
                  <c:v>309921</c:v>
                </c:pt>
                <c:pt idx="12">
                  <c:v>306301</c:v>
                </c:pt>
                <c:pt idx="13">
                  <c:v>299705</c:v>
                </c:pt>
                <c:pt idx="14">
                  <c:v>220649</c:v>
                </c:pt>
                <c:pt idx="15">
                  <c:v>217206</c:v>
                </c:pt>
                <c:pt idx="16">
                  <c:v>225174</c:v>
                </c:pt>
                <c:pt idx="17">
                  <c:v>220927</c:v>
                </c:pt>
                <c:pt idx="18">
                  <c:v>215059</c:v>
                </c:pt>
                <c:pt idx="19">
                  <c:v>207260</c:v>
                </c:pt>
                <c:pt idx="20">
                  <c:v>200732</c:v>
                </c:pt>
                <c:pt idx="21">
                  <c:v>200899</c:v>
                </c:pt>
                <c:pt idx="22">
                  <c:v>192355</c:v>
                </c:pt>
                <c:pt idx="23">
                  <c:v>188544</c:v>
                </c:pt>
                <c:pt idx="24">
                  <c:v>180608</c:v>
                </c:pt>
                <c:pt idx="25">
                  <c:v>172605</c:v>
                </c:pt>
                <c:pt idx="26">
                  <c:v>164402</c:v>
                </c:pt>
                <c:pt idx="27">
                  <c:v>155001</c:v>
                </c:pt>
                <c:pt idx="28">
                  <c:v>147064</c:v>
                </c:pt>
                <c:pt idx="29">
                  <c:v>140583</c:v>
                </c:pt>
                <c:pt idx="30">
                  <c:v>137149</c:v>
                </c:pt>
                <c:pt idx="31">
                  <c:v>130173</c:v>
                </c:pt>
                <c:pt idx="32">
                  <c:v>122595</c:v>
                </c:pt>
                <c:pt idx="33">
                  <c:v>115995</c:v>
                </c:pt>
              </c:numCache>
            </c:numRef>
          </c:val>
          <c:smooth val="0"/>
          <c:extLst>
            <c:ext xmlns:c16="http://schemas.microsoft.com/office/drawing/2014/chart" uri="{C3380CC4-5D6E-409C-BE32-E72D297353CC}">
              <c16:uniqueId val="{00000003-47D1-494F-AF8C-20626F0FDCC0}"/>
            </c:ext>
          </c:extLst>
        </c:ser>
        <c:ser>
          <c:idx val="8"/>
          <c:order val="4"/>
          <c:tx>
            <c:strRef>
              <c:f>'NG Sum Distribution PostMeter'!$A$135</c:f>
              <c:strCache>
                <c:ptCount val="1"/>
                <c:pt idx="0">
                  <c:v>Other</c:v>
                </c:pt>
              </c:strCache>
            </c:strRef>
          </c:tx>
          <c:spPr>
            <a:ln>
              <a:solidFill>
                <a:schemeClr val="bg1">
                  <a:lumMod val="50000"/>
                </a:schemeClr>
              </a:solidFill>
            </a:ln>
          </c:spPr>
          <c:marker>
            <c:symbol val="square"/>
            <c:size val="6"/>
            <c:spPr>
              <a:solidFill>
                <a:schemeClr val="bg1">
                  <a:lumMod val="50000"/>
                </a:schemeClr>
              </a:solidFill>
              <a:ln>
                <a:solidFill>
                  <a:schemeClr val="bg1">
                    <a:lumMod val="50000"/>
                  </a:schemeClr>
                </a:solidFill>
              </a:ln>
            </c:spPr>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PostMeter'!$C$135:$AK$135</c15:sqref>
                  </c15:fullRef>
                </c:ext>
              </c:extLst>
              <c:f>'NG Sum Distribution PostMeter'!$C$135:$AJ$135</c:f>
              <c:numCache>
                <c:formatCode>#,##0</c:formatCode>
                <c:ptCount val="34"/>
                <c:pt idx="0">
                  <c:v>0</c:v>
                </c:pt>
                <c:pt idx="1">
                  <c:v>0</c:v>
                </c:pt>
                <c:pt idx="2">
                  <c:v>0</c:v>
                </c:pt>
                <c:pt idx="3">
                  <c:v>0</c:v>
                </c:pt>
                <c:pt idx="4">
                  <c:v>0</c:v>
                </c:pt>
                <c:pt idx="5">
                  <c:v>0</c:v>
                </c:pt>
                <c:pt idx="6">
                  <c:v>0</c:v>
                </c:pt>
                <c:pt idx="7">
                  <c:v>0</c:v>
                </c:pt>
                <c:pt idx="8">
                  <c:v>0</c:v>
                </c:pt>
                <c:pt idx="9">
                  <c:v>0</c:v>
                </c:pt>
                <c:pt idx="10">
                  <c:v>79449</c:v>
                </c:pt>
                <c:pt idx="11">
                  <c:v>77088</c:v>
                </c:pt>
                <c:pt idx="12">
                  <c:v>90048</c:v>
                </c:pt>
                <c:pt idx="13">
                  <c:v>89911</c:v>
                </c:pt>
                <c:pt idx="14">
                  <c:v>244773</c:v>
                </c:pt>
                <c:pt idx="15">
                  <c:v>172327</c:v>
                </c:pt>
                <c:pt idx="16">
                  <c:v>124524</c:v>
                </c:pt>
                <c:pt idx="17">
                  <c:v>118486</c:v>
                </c:pt>
                <c:pt idx="18">
                  <c:v>116845</c:v>
                </c:pt>
                <c:pt idx="19">
                  <c:v>112735</c:v>
                </c:pt>
                <c:pt idx="20">
                  <c:v>105536</c:v>
                </c:pt>
                <c:pt idx="21">
                  <c:v>103713</c:v>
                </c:pt>
                <c:pt idx="22">
                  <c:v>100348</c:v>
                </c:pt>
                <c:pt idx="23">
                  <c:v>95366</c:v>
                </c:pt>
                <c:pt idx="24">
                  <c:v>95690</c:v>
                </c:pt>
                <c:pt idx="25">
                  <c:v>97872</c:v>
                </c:pt>
                <c:pt idx="26">
                  <c:v>102975</c:v>
                </c:pt>
                <c:pt idx="27">
                  <c:v>101824</c:v>
                </c:pt>
                <c:pt idx="28">
                  <c:v>105361</c:v>
                </c:pt>
                <c:pt idx="29">
                  <c:v>96072</c:v>
                </c:pt>
                <c:pt idx="30">
                  <c:v>96000</c:v>
                </c:pt>
                <c:pt idx="31">
                  <c:v>93946</c:v>
                </c:pt>
                <c:pt idx="32">
                  <c:v>92617</c:v>
                </c:pt>
                <c:pt idx="33">
                  <c:v>91919</c:v>
                </c:pt>
              </c:numCache>
            </c:numRef>
          </c:val>
          <c:smooth val="0"/>
          <c:extLst>
            <c:ext xmlns:c16="http://schemas.microsoft.com/office/drawing/2014/chart" uri="{C3380CC4-5D6E-409C-BE32-E72D297353CC}">
              <c16:uniqueId val="{00000004-47D1-494F-AF8C-20626F0FDCC0}"/>
            </c:ext>
          </c:extLst>
        </c:ser>
        <c:ser>
          <c:idx val="1"/>
          <c:order val="5"/>
          <c:tx>
            <c:strRef>
              <c:f>'NG Sum Distribution PostMeter'!$A$128</c:f>
              <c:strCache>
                <c:ptCount val="1"/>
                <c:pt idx="0">
                  <c:v>Steel, Cathodically Unprotected and Coated</c:v>
                </c:pt>
              </c:strCache>
            </c:strRef>
          </c:tx>
          <c:spPr>
            <a:ln>
              <a:solidFill>
                <a:schemeClr val="accent4">
                  <a:lumMod val="75000"/>
                </a:schemeClr>
              </a:solidFill>
            </a:ln>
          </c:spPr>
          <c:marker>
            <c:symbol val="none"/>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PostMeter'!$C$128:$AK$128</c15:sqref>
                  </c15:fullRef>
                </c:ext>
              </c:extLst>
              <c:f>'NG Sum Distribution PostMeter'!$C$128:$AJ$128</c:f>
              <c:numCache>
                <c:formatCode>#,##0</c:formatCode>
                <c:ptCount val="34"/>
                <c:pt idx="0">
                  <c:v>99773</c:v>
                </c:pt>
                <c:pt idx="1">
                  <c:v>99898</c:v>
                </c:pt>
                <c:pt idx="2">
                  <c:v>96050</c:v>
                </c:pt>
                <c:pt idx="3">
                  <c:v>94795</c:v>
                </c:pt>
                <c:pt idx="4">
                  <c:v>92515</c:v>
                </c:pt>
                <c:pt idx="5">
                  <c:v>91539</c:v>
                </c:pt>
                <c:pt idx="6">
                  <c:v>90313</c:v>
                </c:pt>
                <c:pt idx="7">
                  <c:v>87179.5</c:v>
                </c:pt>
                <c:pt idx="8">
                  <c:v>85152</c:v>
                </c:pt>
                <c:pt idx="9">
                  <c:v>80506</c:v>
                </c:pt>
                <c:pt idx="10">
                  <c:v>77326</c:v>
                </c:pt>
                <c:pt idx="11">
                  <c:v>77050</c:v>
                </c:pt>
                <c:pt idx="12">
                  <c:v>74877</c:v>
                </c:pt>
                <c:pt idx="13">
                  <c:v>73794</c:v>
                </c:pt>
                <c:pt idx="14">
                  <c:v>72602</c:v>
                </c:pt>
                <c:pt idx="15">
                  <c:v>74057</c:v>
                </c:pt>
                <c:pt idx="16">
                  <c:v>72459</c:v>
                </c:pt>
                <c:pt idx="17">
                  <c:v>71295</c:v>
                </c:pt>
                <c:pt idx="18">
                  <c:v>70001</c:v>
                </c:pt>
                <c:pt idx="19">
                  <c:v>66838</c:v>
                </c:pt>
                <c:pt idx="20">
                  <c:v>66115</c:v>
                </c:pt>
                <c:pt idx="21">
                  <c:v>58460</c:v>
                </c:pt>
                <c:pt idx="22">
                  <c:v>56086</c:v>
                </c:pt>
                <c:pt idx="23">
                  <c:v>55966</c:v>
                </c:pt>
                <c:pt idx="24">
                  <c:v>54117</c:v>
                </c:pt>
                <c:pt idx="25">
                  <c:v>51749</c:v>
                </c:pt>
                <c:pt idx="26">
                  <c:v>48989</c:v>
                </c:pt>
                <c:pt idx="27">
                  <c:v>44009</c:v>
                </c:pt>
                <c:pt idx="28">
                  <c:v>42471</c:v>
                </c:pt>
                <c:pt idx="29">
                  <c:v>40239</c:v>
                </c:pt>
                <c:pt idx="30">
                  <c:v>39603</c:v>
                </c:pt>
                <c:pt idx="31">
                  <c:v>37145</c:v>
                </c:pt>
                <c:pt idx="32">
                  <c:v>34778</c:v>
                </c:pt>
                <c:pt idx="33">
                  <c:v>32540</c:v>
                </c:pt>
              </c:numCache>
            </c:numRef>
          </c:val>
          <c:smooth val="0"/>
          <c:extLst>
            <c:ext xmlns:c16="http://schemas.microsoft.com/office/drawing/2014/chart" uri="{C3380CC4-5D6E-409C-BE32-E72D297353CC}">
              <c16:uniqueId val="{00000005-47D1-494F-AF8C-20626F0FDCC0}"/>
            </c:ext>
          </c:extLst>
        </c:ser>
        <c:ser>
          <c:idx val="7"/>
          <c:order val="6"/>
          <c:tx>
            <c:strRef>
              <c:f>'NG Sum Distribution PostMeter'!$A$134</c:f>
              <c:strCache>
                <c:ptCount val="1"/>
                <c:pt idx="0">
                  <c:v>Copper</c:v>
                </c:pt>
              </c:strCache>
            </c:strRef>
          </c:tx>
          <c:spPr>
            <a:ln>
              <a:solidFill>
                <a:schemeClr val="accent3">
                  <a:lumMod val="60000"/>
                  <a:lumOff val="40000"/>
                </a:schemeClr>
              </a:solidFill>
            </a:ln>
          </c:spPr>
          <c:marker>
            <c:symbol val="star"/>
            <c:size val="6"/>
            <c:spPr>
              <a:solidFill>
                <a:schemeClr val="accent3">
                  <a:lumMod val="40000"/>
                  <a:lumOff val="60000"/>
                </a:schemeClr>
              </a:solidFill>
              <a:ln>
                <a:solidFill>
                  <a:schemeClr val="accent3">
                    <a:lumMod val="40000"/>
                    <a:lumOff val="60000"/>
                  </a:schemeClr>
                </a:solidFill>
              </a:ln>
            </c:spPr>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PostMeter'!$C$134:$AK$134</c15:sqref>
                  </c15:fullRef>
                </c:ext>
              </c:extLst>
              <c:f>'NG Sum Distribution PostMeter'!$C$134:$AJ$134</c:f>
              <c:numCache>
                <c:formatCode>#,##0</c:formatCode>
                <c:ptCount val="34"/>
                <c:pt idx="0">
                  <c:v>14098</c:v>
                </c:pt>
                <c:pt idx="1">
                  <c:v>15205</c:v>
                </c:pt>
                <c:pt idx="2">
                  <c:v>19894</c:v>
                </c:pt>
                <c:pt idx="3">
                  <c:v>14792</c:v>
                </c:pt>
                <c:pt idx="4">
                  <c:v>14660</c:v>
                </c:pt>
                <c:pt idx="5">
                  <c:v>14481</c:v>
                </c:pt>
                <c:pt idx="6">
                  <c:v>14382</c:v>
                </c:pt>
                <c:pt idx="7">
                  <c:v>14281</c:v>
                </c:pt>
                <c:pt idx="8">
                  <c:v>14180.5</c:v>
                </c:pt>
                <c:pt idx="9">
                  <c:v>14120</c:v>
                </c:pt>
                <c:pt idx="10">
                  <c:v>16082</c:v>
                </c:pt>
                <c:pt idx="11">
                  <c:v>16024</c:v>
                </c:pt>
                <c:pt idx="12">
                  <c:v>15909</c:v>
                </c:pt>
                <c:pt idx="13">
                  <c:v>15775</c:v>
                </c:pt>
                <c:pt idx="14">
                  <c:v>12448</c:v>
                </c:pt>
                <c:pt idx="15">
                  <c:v>12280</c:v>
                </c:pt>
                <c:pt idx="16">
                  <c:v>12286</c:v>
                </c:pt>
                <c:pt idx="17">
                  <c:v>12199</c:v>
                </c:pt>
                <c:pt idx="18">
                  <c:v>12109</c:v>
                </c:pt>
                <c:pt idx="19">
                  <c:v>11878</c:v>
                </c:pt>
                <c:pt idx="20">
                  <c:v>11675</c:v>
                </c:pt>
                <c:pt idx="21">
                  <c:v>11426</c:v>
                </c:pt>
                <c:pt idx="22">
                  <c:v>11191</c:v>
                </c:pt>
                <c:pt idx="23">
                  <c:v>10903</c:v>
                </c:pt>
                <c:pt idx="24">
                  <c:v>10735</c:v>
                </c:pt>
                <c:pt idx="25">
                  <c:v>10537</c:v>
                </c:pt>
                <c:pt idx="26">
                  <c:v>10337</c:v>
                </c:pt>
                <c:pt idx="27">
                  <c:v>9968</c:v>
                </c:pt>
                <c:pt idx="28">
                  <c:v>9751</c:v>
                </c:pt>
                <c:pt idx="29">
                  <c:v>9411</c:v>
                </c:pt>
                <c:pt idx="30">
                  <c:v>9285</c:v>
                </c:pt>
                <c:pt idx="31">
                  <c:v>9064</c:v>
                </c:pt>
                <c:pt idx="32">
                  <c:v>8878</c:v>
                </c:pt>
                <c:pt idx="33">
                  <c:v>8550</c:v>
                </c:pt>
              </c:numCache>
            </c:numRef>
          </c:val>
          <c:smooth val="0"/>
          <c:extLst>
            <c:ext xmlns:c16="http://schemas.microsoft.com/office/drawing/2014/chart" uri="{C3380CC4-5D6E-409C-BE32-E72D297353CC}">
              <c16:uniqueId val="{00000006-47D1-494F-AF8C-20626F0FDCC0}"/>
            </c:ext>
          </c:extLst>
        </c:ser>
        <c:ser>
          <c:idx val="5"/>
          <c:order val="7"/>
          <c:tx>
            <c:strRef>
              <c:f>'NG Sum Distribution PostMeter'!$A$132</c:f>
              <c:strCache>
                <c:ptCount val="1"/>
                <c:pt idx="0">
                  <c:v>Cast or Wrought Iron</c:v>
                </c:pt>
              </c:strCache>
            </c:strRef>
          </c:tx>
          <c:spPr>
            <a:ln>
              <a:solidFill>
                <a:schemeClr val="accent1">
                  <a:lumMod val="60000"/>
                  <a:lumOff val="40000"/>
                </a:schemeClr>
              </a:solidFill>
            </a:ln>
          </c:spPr>
          <c:marker>
            <c:symbol val="none"/>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PostMeter'!$C$132:$AJ$132</c15:sqref>
                  </c15:fullRef>
                </c:ext>
              </c:extLst>
              <c:f>'NG Sum Distribution PostMeter'!$C$132:$AJ$132</c:f>
              <c:numCache>
                <c:formatCode>#,##0</c:formatCode>
                <c:ptCount val="34"/>
                <c:pt idx="0">
                  <c:v>7414</c:v>
                </c:pt>
                <c:pt idx="1">
                  <c:v>7297</c:v>
                </c:pt>
                <c:pt idx="2">
                  <c:v>7239</c:v>
                </c:pt>
                <c:pt idx="3">
                  <c:v>6593</c:v>
                </c:pt>
                <c:pt idx="4">
                  <c:v>6504</c:v>
                </c:pt>
                <c:pt idx="5">
                  <c:v>6348</c:v>
                </c:pt>
                <c:pt idx="6">
                  <c:v>6164</c:v>
                </c:pt>
                <c:pt idx="7">
                  <c:v>6161.5</c:v>
                </c:pt>
                <c:pt idx="8">
                  <c:v>6163</c:v>
                </c:pt>
                <c:pt idx="9">
                  <c:v>6161</c:v>
                </c:pt>
                <c:pt idx="10">
                  <c:v>4235</c:v>
                </c:pt>
                <c:pt idx="11">
                  <c:v>4214</c:v>
                </c:pt>
                <c:pt idx="12">
                  <c:v>4155</c:v>
                </c:pt>
                <c:pt idx="13">
                  <c:v>4095</c:v>
                </c:pt>
                <c:pt idx="14">
                  <c:v>2098</c:v>
                </c:pt>
                <c:pt idx="15">
                  <c:v>2080</c:v>
                </c:pt>
                <c:pt idx="16">
                  <c:v>2057</c:v>
                </c:pt>
                <c:pt idx="17">
                  <c:v>2015</c:v>
                </c:pt>
                <c:pt idx="18">
                  <c:v>1993</c:v>
                </c:pt>
                <c:pt idx="19">
                  <c:v>1914</c:v>
                </c:pt>
                <c:pt idx="20">
                  <c:v>1827</c:v>
                </c:pt>
                <c:pt idx="21">
                  <c:v>1742</c:v>
                </c:pt>
                <c:pt idx="22">
                  <c:v>1638</c:v>
                </c:pt>
                <c:pt idx="23">
                  <c:v>1583</c:v>
                </c:pt>
                <c:pt idx="24">
                  <c:v>1539</c:v>
                </c:pt>
                <c:pt idx="25">
                  <c:v>1492</c:v>
                </c:pt>
                <c:pt idx="26">
                  <c:v>1444</c:v>
                </c:pt>
                <c:pt idx="27">
                  <c:v>1397</c:v>
                </c:pt>
                <c:pt idx="28">
                  <c:v>1373</c:v>
                </c:pt>
                <c:pt idx="29">
                  <c:v>1344</c:v>
                </c:pt>
                <c:pt idx="30">
                  <c:v>1325</c:v>
                </c:pt>
                <c:pt idx="31">
                  <c:v>1277</c:v>
                </c:pt>
                <c:pt idx="32">
                  <c:v>1258</c:v>
                </c:pt>
                <c:pt idx="33">
                  <c:v>1214</c:v>
                </c:pt>
              </c:numCache>
            </c:numRef>
          </c:val>
          <c:smooth val="0"/>
          <c:extLst>
            <c:ext xmlns:c16="http://schemas.microsoft.com/office/drawing/2014/chart" uri="{C3380CC4-5D6E-409C-BE32-E72D297353CC}">
              <c16:uniqueId val="{00000007-47D1-494F-AF8C-20626F0FDCC0}"/>
            </c:ext>
          </c:extLst>
        </c:ser>
        <c:ser>
          <c:idx val="6"/>
          <c:order val="8"/>
          <c:tx>
            <c:strRef>
              <c:f>'NG Sum Distribution PostMeter'!$A$133</c:f>
              <c:strCache>
                <c:ptCount val="1"/>
                <c:pt idx="0">
                  <c:v>Ductile Iron</c:v>
                </c:pt>
              </c:strCache>
            </c:strRef>
          </c:tx>
          <c:spPr>
            <a:ln>
              <a:solidFill>
                <a:schemeClr val="accent2">
                  <a:lumMod val="60000"/>
                  <a:lumOff val="40000"/>
                </a:schemeClr>
              </a:solidFill>
            </a:ln>
          </c:spPr>
          <c:marker>
            <c:symbol val="none"/>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PostMeter'!$C$133:$AJ$133</c15:sqref>
                  </c15:fullRef>
                </c:ext>
              </c:extLst>
              <c:f>'NG Sum Distribution PostMeter'!$C$133:$AJ$133</c:f>
              <c:numCache>
                <c:formatCode>#,##0</c:formatCode>
                <c:ptCount val="34"/>
                <c:pt idx="0">
                  <c:v>1323</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8-47D1-494F-AF8C-20626F0FDCC0}"/>
            </c:ext>
          </c:extLst>
        </c:ser>
        <c:ser>
          <c:idx val="2"/>
          <c:order val="9"/>
          <c:tx>
            <c:strRef>
              <c:f>'NG Sum Distribution PostMeter'!$A$129</c:f>
              <c:strCache>
                <c:ptCount val="1"/>
                <c:pt idx="0">
                  <c:v>Steel, Cathodically Protected and Uncoated</c:v>
                </c:pt>
              </c:strCache>
            </c:strRef>
          </c:tx>
          <c:spPr>
            <a:ln>
              <a:solidFill>
                <a:schemeClr val="accent4">
                  <a:lumMod val="50000"/>
                </a:schemeClr>
              </a:solidFill>
            </a:ln>
          </c:spPr>
          <c:marker>
            <c:symbol val="none"/>
          </c:marker>
          <c:cat>
            <c:strRef>
              <c:extLst>
                <c:ext xmlns:c15="http://schemas.microsoft.com/office/drawing/2012/chart" uri="{02D57815-91ED-43cb-92C2-25804820EDAC}">
                  <c15:fullRef>
                    <c15:sqref>'NG Sum Distribution PostMeter'!$C$109:$AK$109</c15:sqref>
                  </c15:fullRef>
                </c:ext>
              </c:extLst>
              <c:f>'NG Sum Distribution PostMeter'!$C$109:$AJ$109</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Sum Distribution PostMeter'!$C$129:$AK$129</c15:sqref>
                  </c15:fullRef>
                </c:ext>
              </c:extLst>
              <c:f>'NG Sum Distribution PostMeter'!$C$129:$AJ$129</c:f>
              <c:numCache>
                <c:formatCode>#,##0</c:formatCode>
                <c:ptCount val="34"/>
                <c:pt idx="0">
                  <c:v>467</c:v>
                </c:pt>
                <c:pt idx="1">
                  <c:v>463</c:v>
                </c:pt>
                <c:pt idx="2">
                  <c:v>463</c:v>
                </c:pt>
                <c:pt idx="3">
                  <c:v>457</c:v>
                </c:pt>
                <c:pt idx="4">
                  <c:v>449</c:v>
                </c:pt>
                <c:pt idx="5">
                  <c:v>449</c:v>
                </c:pt>
                <c:pt idx="6">
                  <c:v>449</c:v>
                </c:pt>
                <c:pt idx="7">
                  <c:v>449</c:v>
                </c:pt>
                <c:pt idx="8">
                  <c:v>449</c:v>
                </c:pt>
                <c:pt idx="9">
                  <c:v>449</c:v>
                </c:pt>
                <c:pt idx="10">
                  <c:v>449</c:v>
                </c:pt>
                <c:pt idx="11">
                  <c:v>449</c:v>
                </c:pt>
                <c:pt idx="12">
                  <c:v>449</c:v>
                </c:pt>
                <c:pt idx="13">
                  <c:v>449</c:v>
                </c:pt>
                <c:pt idx="14">
                  <c:v>0</c:v>
                </c:pt>
                <c:pt idx="15">
                  <c:v>0</c:v>
                </c:pt>
                <c:pt idx="16">
                  <c:v>0</c:v>
                </c:pt>
                <c:pt idx="17">
                  <c:v>0</c:v>
                </c:pt>
                <c:pt idx="18">
                  <c:v>0</c:v>
                </c:pt>
                <c:pt idx="19">
                  <c:v>0</c:v>
                </c:pt>
                <c:pt idx="20">
                  <c:v>45</c:v>
                </c:pt>
                <c:pt idx="21">
                  <c:v>332</c:v>
                </c:pt>
                <c:pt idx="22">
                  <c:v>333</c:v>
                </c:pt>
                <c:pt idx="23">
                  <c:v>68</c:v>
                </c:pt>
                <c:pt idx="24">
                  <c:v>61</c:v>
                </c:pt>
                <c:pt idx="25">
                  <c:v>16</c:v>
                </c:pt>
                <c:pt idx="26">
                  <c:v>11</c:v>
                </c:pt>
                <c:pt idx="27">
                  <c:v>11</c:v>
                </c:pt>
                <c:pt idx="28">
                  <c:v>11</c:v>
                </c:pt>
                <c:pt idx="29">
                  <c:v>9</c:v>
                </c:pt>
                <c:pt idx="30">
                  <c:v>0</c:v>
                </c:pt>
                <c:pt idx="31">
                  <c:v>0</c:v>
                </c:pt>
                <c:pt idx="32">
                  <c:v>0</c:v>
                </c:pt>
                <c:pt idx="33">
                  <c:v>0</c:v>
                </c:pt>
              </c:numCache>
            </c:numRef>
          </c:val>
          <c:smooth val="0"/>
          <c:extLst>
            <c:ext xmlns:c16="http://schemas.microsoft.com/office/drawing/2014/chart" uri="{C3380CC4-5D6E-409C-BE32-E72D297353CC}">
              <c16:uniqueId val="{00000009-47D1-494F-AF8C-20626F0FDCC0}"/>
            </c:ext>
          </c:extLst>
        </c:ser>
        <c:dLbls>
          <c:showLegendKey val="0"/>
          <c:showVal val="0"/>
          <c:showCatName val="0"/>
          <c:showSerName val="0"/>
          <c:showPercent val="0"/>
          <c:showBubbleSize val="0"/>
        </c:dLbls>
        <c:marker val="1"/>
        <c:smooth val="0"/>
        <c:axId val="94505984"/>
        <c:axId val="94520064"/>
      </c:lineChart>
      <c:catAx>
        <c:axId val="94505984"/>
        <c:scaling>
          <c:orientation val="minMax"/>
        </c:scaling>
        <c:delete val="0"/>
        <c:axPos val="b"/>
        <c:numFmt formatCode="General" sourceLinked="1"/>
        <c:majorTickMark val="out"/>
        <c:minorTickMark val="none"/>
        <c:tickLblPos val="nextTo"/>
        <c:txPr>
          <a:bodyPr rot="-540000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94520064"/>
        <c:crosses val="autoZero"/>
        <c:auto val="1"/>
        <c:lblAlgn val="ctr"/>
        <c:lblOffset val="100"/>
        <c:noMultiLvlLbl val="0"/>
      </c:catAx>
      <c:valAx>
        <c:axId val="94520064"/>
        <c:scaling>
          <c:orientation val="minMax"/>
          <c:max val="1400000"/>
        </c:scaling>
        <c:delete val="0"/>
        <c:axPos val="l"/>
        <c:majorGridlines/>
        <c:numFmt formatCode="#,##0" sourceLinked="1"/>
        <c:majorTickMark val="out"/>
        <c:minorTickMark val="none"/>
        <c:tickLblPos val="nextTo"/>
        <c:txPr>
          <a:bodyPr rot="0" vert="horz"/>
          <a:lstStyle/>
          <a:p>
            <a:pPr>
              <a:defRPr sz="1200" b="0" i="0" u="none" strike="noStrike" baseline="0">
                <a:solidFill>
                  <a:srgbClr val="000000"/>
                </a:solidFill>
                <a:latin typeface="Aptos" panose="020B0004020202020204" pitchFamily="34" charset="0"/>
                <a:ea typeface="Calibri"/>
                <a:cs typeface="Calibri"/>
              </a:defRPr>
            </a:pPr>
            <a:endParaRPr lang="en-US"/>
          </a:p>
        </c:txPr>
        <c:crossAx val="94505984"/>
        <c:crosses val="autoZero"/>
        <c:crossBetween val="midCat"/>
      </c:valAx>
    </c:plotArea>
    <c:legend>
      <c:legendPos val="r"/>
      <c:layout>
        <c:manualLayout>
          <c:xMode val="edge"/>
          <c:yMode val="edge"/>
          <c:x val="0.67890108247913838"/>
          <c:y val="4.557357825952648E-2"/>
          <c:w val="0.3141665149581348"/>
          <c:h val="0.95442642174047343"/>
        </c:manualLayout>
      </c:layout>
      <c:overlay val="0"/>
      <c:txPr>
        <a:bodyPr/>
        <a:lstStyle/>
        <a:p>
          <a:pPr>
            <a:defRPr sz="1600" b="1" i="0" u="none" strike="noStrike" baseline="0">
              <a:solidFill>
                <a:srgbClr val="000000"/>
              </a:solidFill>
              <a:latin typeface="Aptos" panose="020B0004020202020204" pitchFamily="34" charset="0"/>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r>
              <a:rPr lang="en-US" sz="1600" b="1">
                <a:latin typeface="Aptos" panose="020B0004020202020204" pitchFamily="34" charset="0"/>
              </a:rPr>
              <a:t>NG Transmission and</a:t>
            </a:r>
            <a:r>
              <a:rPr lang="en-US" sz="1600" b="1" baseline="0">
                <a:latin typeface="Aptos" panose="020B0004020202020204" pitchFamily="34" charset="0"/>
              </a:rPr>
              <a:t> Storage</a:t>
            </a:r>
            <a:r>
              <a:rPr lang="en-US" sz="1600" b="1">
                <a:latin typeface="Aptos" panose="020B0004020202020204" pitchFamily="34" charset="0"/>
              </a:rPr>
              <a:t> (metric tons CH4)</a:t>
            </a:r>
          </a:p>
        </c:rich>
      </c:tx>
      <c:layout>
        <c:manualLayout>
          <c:xMode val="edge"/>
          <c:yMode val="edge"/>
          <c:x val="9.2956088636323542E-2"/>
          <c:y val="2.2886872838454211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8.8000649497600267E-2"/>
          <c:y val="0.12460216121633444"/>
          <c:w val="0.52885557816856577"/>
          <c:h val="0.68905937433496478"/>
        </c:manualLayout>
      </c:layout>
      <c:barChart>
        <c:barDir val="col"/>
        <c:grouping val="stacked"/>
        <c:varyColors val="0"/>
        <c:ser>
          <c:idx val="2"/>
          <c:order val="0"/>
          <c:tx>
            <c:strRef>
              <c:f>'NG Transmission Storage'!$A$176</c:f>
              <c:strCache>
                <c:ptCount val="1"/>
                <c:pt idx="0">
                  <c:v>Pipeline </c:v>
                </c:pt>
              </c:strCache>
            </c:strRef>
          </c:tx>
          <c:spPr>
            <a:solidFill>
              <a:schemeClr val="accent3"/>
            </a:solidFill>
            <a:ln>
              <a:noFill/>
            </a:ln>
            <a:effectLst/>
          </c:spPr>
          <c:invertIfNegative val="0"/>
          <c:cat>
            <c:strRef>
              <c:extLst>
                <c:ext xmlns:c15="http://schemas.microsoft.com/office/drawing/2012/chart" uri="{02D57815-91ED-43cb-92C2-25804820EDAC}">
                  <c15:fullRef>
                    <c15:sqref>'NG Transmission Storage'!$C$175:$AK$175</c15:sqref>
                  </c15:fullRef>
                </c:ext>
              </c:extLst>
              <c:f>'NG Transmission Storage'!$C$175:$AJ$175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Transmission Storage'!$C$176:$AK$176</c15:sqref>
                  </c15:fullRef>
                </c:ext>
              </c:extLst>
              <c:f>'NG Transmission Storage'!$C$176:$AJ$176</c:f>
              <c:numCache>
                <c:formatCode>#,##0.0</c:formatCode>
                <c:ptCount val="34"/>
                <c:pt idx="0">
                  <c:v>10.104725790885766</c:v>
                </c:pt>
                <c:pt idx="1">
                  <c:v>10.206319250188725</c:v>
                </c:pt>
                <c:pt idx="2">
                  <c:v>10.211781264129744</c:v>
                </c:pt>
                <c:pt idx="3">
                  <c:v>10.272955820269161</c:v>
                </c:pt>
                <c:pt idx="4">
                  <c:v>10.304635501127073</c:v>
                </c:pt>
                <c:pt idx="5">
                  <c:v>10.315559529009111</c:v>
                </c:pt>
                <c:pt idx="6">
                  <c:v>10.567904573084206</c:v>
                </c:pt>
                <c:pt idx="7">
                  <c:v>10.55807294799037</c:v>
                </c:pt>
                <c:pt idx="8">
                  <c:v>10.650927184987699</c:v>
                </c:pt>
                <c:pt idx="9">
                  <c:v>10.825046540443779</c:v>
                </c:pt>
                <c:pt idx="10">
                  <c:v>10.879666679853971</c:v>
                </c:pt>
                <c:pt idx="11">
                  <c:v>11.360988997320213</c:v>
                </c:pt>
                <c:pt idx="12">
                  <c:v>11.51534551129342</c:v>
                </c:pt>
                <c:pt idx="13">
                  <c:v>11.484255727941138</c:v>
                </c:pt>
                <c:pt idx="14">
                  <c:v>11.972734558714377</c:v>
                </c:pt>
                <c:pt idx="15">
                  <c:v>12.019270917491861</c:v>
                </c:pt>
                <c:pt idx="16">
                  <c:v>11.948046255700969</c:v>
                </c:pt>
                <c:pt idx="17">
                  <c:v>12.130805242167476</c:v>
                </c:pt>
                <c:pt idx="18">
                  <c:v>12.122830701813585</c:v>
                </c:pt>
                <c:pt idx="19">
                  <c:v>12.161392520237186</c:v>
                </c:pt>
                <c:pt idx="20">
                  <c:v>11.70509587560443</c:v>
                </c:pt>
                <c:pt idx="21">
                  <c:v>12.291279211754627</c:v>
                </c:pt>
                <c:pt idx="22">
                  <c:v>12.291388452033443</c:v>
                </c:pt>
                <c:pt idx="23">
                  <c:v>12.336723167743905</c:v>
                </c:pt>
                <c:pt idx="24">
                  <c:v>12.337007192468839</c:v>
                </c:pt>
                <c:pt idx="25">
                  <c:v>12.348411877577686</c:v>
                </c:pt>
                <c:pt idx="26">
                  <c:v>12.399208607229165</c:v>
                </c:pt>
                <c:pt idx="27">
                  <c:v>12.375601782976078</c:v>
                </c:pt>
                <c:pt idx="28">
                  <c:v>12.383248602493506</c:v>
                </c:pt>
                <c:pt idx="29">
                  <c:v>12.320326201892966</c:v>
                </c:pt>
                <c:pt idx="30">
                  <c:v>12.347745511876882</c:v>
                </c:pt>
                <c:pt idx="31">
                  <c:v>12.353426006375544</c:v>
                </c:pt>
                <c:pt idx="32">
                  <c:v>12.324488256516023</c:v>
                </c:pt>
                <c:pt idx="33">
                  <c:v>12.311379423057614</c:v>
                </c:pt>
              </c:numCache>
            </c:numRef>
          </c:val>
          <c:extLst>
            <c:ext xmlns:c16="http://schemas.microsoft.com/office/drawing/2014/chart" uri="{C3380CC4-5D6E-409C-BE32-E72D297353CC}">
              <c16:uniqueId val="{00000001-9770-4A92-A34C-39EA741FD4E2}"/>
            </c:ext>
          </c:extLst>
        </c:ser>
        <c:ser>
          <c:idx val="17"/>
          <c:order val="1"/>
          <c:tx>
            <c:strRef>
              <c:f>'NG Transmission Storage'!$A$177</c:f>
              <c:strCache>
                <c:ptCount val="1"/>
                <c:pt idx="0">
                  <c:v>Pipeline venting (Routine Maintenance/Upsets)</c:v>
                </c:pt>
              </c:strCache>
            </c:strRef>
          </c:tx>
          <c:spPr>
            <a:solidFill>
              <a:schemeClr val="accent6">
                <a:lumMod val="80000"/>
                <a:lumOff val="20000"/>
              </a:schemeClr>
            </a:solidFill>
            <a:ln>
              <a:noFill/>
            </a:ln>
            <a:effectLst/>
          </c:spPr>
          <c:invertIfNegative val="0"/>
          <c:cat>
            <c:strRef>
              <c:extLst>
                <c:ext xmlns:c15="http://schemas.microsoft.com/office/drawing/2012/chart" uri="{02D57815-91ED-43cb-92C2-25804820EDAC}">
                  <c15:fullRef>
                    <c15:sqref>'NG Transmission Storage'!$C$175:$AK$175</c15:sqref>
                  </c15:fullRef>
                </c:ext>
              </c:extLst>
              <c:f>'NG Transmission Storage'!$C$175:$AJ$175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Transmission Storage'!$C$177:$AJ$177</c15:sqref>
                  </c15:fullRef>
                </c:ext>
              </c:extLst>
              <c:f>'NG Transmission Storage'!$C$177:$AJ$177</c:f>
              <c:numCache>
                <c:formatCode>#,##0.0</c:formatCode>
                <c:ptCount val="34"/>
                <c:pt idx="0">
                  <c:v>563.86057500000004</c:v>
                </c:pt>
                <c:pt idx="1">
                  <c:v>569.52965969999991</c:v>
                </c:pt>
                <c:pt idx="2">
                  <c:v>569.83444920000011</c:v>
                </c:pt>
                <c:pt idx="3">
                  <c:v>573.24809159999995</c:v>
                </c:pt>
                <c:pt idx="4">
                  <c:v>575.01587069999994</c:v>
                </c:pt>
                <c:pt idx="5">
                  <c:v>575.62544969999988</c:v>
                </c:pt>
                <c:pt idx="6">
                  <c:v>589.70672459999992</c:v>
                </c:pt>
                <c:pt idx="7">
                  <c:v>589.15810350000004</c:v>
                </c:pt>
                <c:pt idx="8">
                  <c:v>594.33952499999998</c:v>
                </c:pt>
                <c:pt idx="9">
                  <c:v>604.0556758305994</c:v>
                </c:pt>
                <c:pt idx="10">
                  <c:v>607.10357083059944</c:v>
                </c:pt>
                <c:pt idx="11">
                  <c:v>633.96215999999993</c:v>
                </c:pt>
                <c:pt idx="12">
                  <c:v>642.57551127000022</c:v>
                </c:pt>
                <c:pt idx="13">
                  <c:v>640.84064943599992</c:v>
                </c:pt>
                <c:pt idx="14">
                  <c:v>668.09858399999996</c:v>
                </c:pt>
                <c:pt idx="15">
                  <c:v>670.69539053999995</c:v>
                </c:pt>
                <c:pt idx="16">
                  <c:v>666.72093545999985</c:v>
                </c:pt>
                <c:pt idx="17">
                  <c:v>676.91919212999983</c:v>
                </c:pt>
                <c:pt idx="18">
                  <c:v>676.4741994599998</c:v>
                </c:pt>
                <c:pt idx="19">
                  <c:v>678.62601332999998</c:v>
                </c:pt>
                <c:pt idx="20">
                  <c:v>653.16389849999996</c:v>
                </c:pt>
                <c:pt idx="21">
                  <c:v>685.87390764000008</c:v>
                </c:pt>
                <c:pt idx="22">
                  <c:v>685.88000342999987</c:v>
                </c:pt>
                <c:pt idx="23">
                  <c:v>688.4097562799999</c:v>
                </c:pt>
                <c:pt idx="24">
                  <c:v>688.42560533400001</c:v>
                </c:pt>
                <c:pt idx="25">
                  <c:v>689.06200580999985</c:v>
                </c:pt>
                <c:pt idx="26">
                  <c:v>363.31148510014651</c:v>
                </c:pt>
                <c:pt idx="27">
                  <c:v>132.93572899449819</c:v>
                </c:pt>
                <c:pt idx="28">
                  <c:v>52.285010639321079</c:v>
                </c:pt>
                <c:pt idx="29">
                  <c:v>199.19089016146484</c:v>
                </c:pt>
                <c:pt idx="30">
                  <c:v>113.40716475714406</c:v>
                </c:pt>
                <c:pt idx="31">
                  <c:v>115.62145172795398</c:v>
                </c:pt>
                <c:pt idx="32">
                  <c:v>254.81875734746572</c:v>
                </c:pt>
                <c:pt idx="33">
                  <c:v>331.08060005346476</c:v>
                </c:pt>
              </c:numCache>
            </c:numRef>
          </c:val>
          <c:extLst>
            <c:ext xmlns:c16="http://schemas.microsoft.com/office/drawing/2014/chart" uri="{C3380CC4-5D6E-409C-BE32-E72D297353CC}">
              <c16:uniqueId val="{00000000-9770-4A92-A34C-39EA741FD4E2}"/>
            </c:ext>
          </c:extLst>
        </c:ser>
        <c:ser>
          <c:idx val="15"/>
          <c:order val="2"/>
          <c:tx>
            <c:strRef>
              <c:f>'NG Transmission Storage'!$A$200</c:f>
              <c:strCache>
                <c:ptCount val="1"/>
                <c:pt idx="0">
                  <c:v>Devices and Controllers</c:v>
                </c:pt>
              </c:strCache>
            </c:strRef>
          </c:tx>
          <c:spPr>
            <a:solidFill>
              <a:schemeClr val="accent4">
                <a:lumMod val="50000"/>
              </a:schemeClr>
            </a:solidFill>
            <a:ln>
              <a:noFill/>
            </a:ln>
            <a:effectLst/>
          </c:spPr>
          <c:invertIfNegative val="0"/>
          <c:cat>
            <c:strRef>
              <c:extLst>
                <c:ext xmlns:c15="http://schemas.microsoft.com/office/drawing/2012/chart" uri="{02D57815-91ED-43cb-92C2-25804820EDAC}">
                  <c15:fullRef>
                    <c15:sqref>'NG Transmission Storage'!$C$175:$AK$175</c15:sqref>
                  </c15:fullRef>
                </c:ext>
              </c:extLst>
              <c:f>'NG Transmission Storage'!$C$175:$AJ$175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Transmission Storage'!$C$205:$AJ$205</c15:sqref>
                  </c15:fullRef>
                </c:ext>
              </c:extLst>
              <c:f>'NG Transmission Storage'!$C$205:$AJ$205</c:f>
              <c:numCache>
                <c:formatCode>#,##0.0</c:formatCode>
                <c:ptCount val="34"/>
                <c:pt idx="0">
                  <c:v>424.85233392000004</c:v>
                </c:pt>
                <c:pt idx="1">
                  <c:v>424.85233392000004</c:v>
                </c:pt>
                <c:pt idx="2">
                  <c:v>424.85233392000009</c:v>
                </c:pt>
                <c:pt idx="3">
                  <c:v>408.97378852437049</c:v>
                </c:pt>
                <c:pt idx="4">
                  <c:v>393.09524312874089</c:v>
                </c:pt>
                <c:pt idx="5">
                  <c:v>377.21669773311129</c:v>
                </c:pt>
                <c:pt idx="6">
                  <c:v>361.3381523374818</c:v>
                </c:pt>
                <c:pt idx="7">
                  <c:v>345.45960694185231</c:v>
                </c:pt>
                <c:pt idx="8">
                  <c:v>329.58106154622266</c:v>
                </c:pt>
                <c:pt idx="9">
                  <c:v>313.70251615059317</c:v>
                </c:pt>
                <c:pt idx="10">
                  <c:v>297.82397075496363</c:v>
                </c:pt>
                <c:pt idx="11">
                  <c:v>281.94542535933402</c:v>
                </c:pt>
                <c:pt idx="12">
                  <c:v>266.06687996370448</c:v>
                </c:pt>
                <c:pt idx="13">
                  <c:v>250.18833456807491</c:v>
                </c:pt>
                <c:pt idx="14">
                  <c:v>234.30978917244536</c:v>
                </c:pt>
                <c:pt idx="15">
                  <c:v>218.43124377681582</c:v>
                </c:pt>
                <c:pt idx="16">
                  <c:v>202.55269838118625</c:v>
                </c:pt>
                <c:pt idx="17">
                  <c:v>186.67415298555667</c:v>
                </c:pt>
                <c:pt idx="18">
                  <c:v>170.79560758992713</c:v>
                </c:pt>
                <c:pt idx="19">
                  <c:v>154.91706219429756</c:v>
                </c:pt>
                <c:pt idx="20">
                  <c:v>139.03851679866801</c:v>
                </c:pt>
                <c:pt idx="21">
                  <c:v>68.167789763873913</c:v>
                </c:pt>
                <c:pt idx="22">
                  <c:v>74.020341233267459</c:v>
                </c:pt>
                <c:pt idx="23">
                  <c:v>72.30166818135919</c:v>
                </c:pt>
                <c:pt idx="24">
                  <c:v>68.605325268817296</c:v>
                </c:pt>
                <c:pt idx="25">
                  <c:v>67.605218827415399</c:v>
                </c:pt>
                <c:pt idx="26">
                  <c:v>68.867234743875343</c:v>
                </c:pt>
                <c:pt idx="27">
                  <c:v>66.527242652836748</c:v>
                </c:pt>
                <c:pt idx="28">
                  <c:v>67.532759286606847</c:v>
                </c:pt>
                <c:pt idx="29">
                  <c:v>68.147901108908755</c:v>
                </c:pt>
                <c:pt idx="30">
                  <c:v>67.59998233215552</c:v>
                </c:pt>
                <c:pt idx="31">
                  <c:v>67.669004998196684</c:v>
                </c:pt>
                <c:pt idx="32">
                  <c:v>70.233286472012026</c:v>
                </c:pt>
                <c:pt idx="33">
                  <c:v>69.728437829294165</c:v>
                </c:pt>
              </c:numCache>
            </c:numRef>
          </c:val>
          <c:extLst>
            <c:ext xmlns:c16="http://schemas.microsoft.com/office/drawing/2014/chart" uri="{C3380CC4-5D6E-409C-BE32-E72D297353CC}">
              <c16:uniqueId val="{00000002-9770-4A92-A34C-39EA741FD4E2}"/>
            </c:ext>
          </c:extLst>
        </c:ser>
        <c:ser>
          <c:idx val="20"/>
          <c:order val="3"/>
          <c:tx>
            <c:strRef>
              <c:f>'NG Transmission Storage'!$A$189</c:f>
              <c:strCache>
                <c:ptCount val="1"/>
                <c:pt idx="0">
                  <c:v>Station Venting (Transmission)</c:v>
                </c:pt>
              </c:strCache>
            </c:strRef>
          </c:tx>
          <c:spPr>
            <a:solidFill>
              <a:schemeClr val="tx2">
                <a:lumMod val="40000"/>
                <a:lumOff val="60000"/>
              </a:schemeClr>
            </a:solidFill>
            <a:ln>
              <a:noFill/>
            </a:ln>
            <a:effectLst/>
          </c:spPr>
          <c:invertIfNegative val="0"/>
          <c:cat>
            <c:strRef>
              <c:extLst>
                <c:ext xmlns:c15="http://schemas.microsoft.com/office/drawing/2012/chart" uri="{02D57815-91ED-43cb-92C2-25804820EDAC}">
                  <c15:fullRef>
                    <c15:sqref>'NG Transmission Storage'!$C$175:$AK$175</c15:sqref>
                  </c15:fullRef>
                </c:ext>
              </c:extLst>
              <c:f>'NG Transmission Storage'!$C$175:$AJ$175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Transmission Storage'!$C$189:$AJ$189</c15:sqref>
                  </c15:fullRef>
                </c:ext>
              </c:extLst>
              <c:f>'NG Transmission Storage'!$C$189:$AJ$189</c:f>
              <c:numCache>
                <c:formatCode>#,##0.0</c:formatCode>
                <c:ptCount val="34"/>
                <c:pt idx="0">
                  <c:v>335.81735999999995</c:v>
                </c:pt>
                <c:pt idx="1">
                  <c:v>335.81736000000001</c:v>
                </c:pt>
                <c:pt idx="2">
                  <c:v>335.81736000000001</c:v>
                </c:pt>
                <c:pt idx="3">
                  <c:v>333.31467684483289</c:v>
                </c:pt>
                <c:pt idx="4">
                  <c:v>334.80420024469458</c:v>
                </c:pt>
                <c:pt idx="5">
                  <c:v>333.03441253626067</c:v>
                </c:pt>
                <c:pt idx="6">
                  <c:v>331.82554971619498</c:v>
                </c:pt>
                <c:pt idx="7">
                  <c:v>333.63468250659872</c:v>
                </c:pt>
                <c:pt idx="8">
                  <c:v>332.94603867651762</c:v>
                </c:pt>
                <c:pt idx="9">
                  <c:v>333.25622384220918</c:v>
                </c:pt>
                <c:pt idx="10">
                  <c:v>330.67720354559816</c:v>
                </c:pt>
                <c:pt idx="11">
                  <c:v>326.67633939186629</c:v>
                </c:pt>
                <c:pt idx="12">
                  <c:v>329.80072243548784</c:v>
                </c:pt>
                <c:pt idx="13">
                  <c:v>320.27423848818268</c:v>
                </c:pt>
                <c:pt idx="14">
                  <c:v>323.69716319367478</c:v>
                </c:pt>
                <c:pt idx="15">
                  <c:v>330.97341765192232</c:v>
                </c:pt>
                <c:pt idx="16">
                  <c:v>313.24333354348562</c:v>
                </c:pt>
                <c:pt idx="17">
                  <c:v>331.83925348271981</c:v>
                </c:pt>
                <c:pt idx="18">
                  <c:v>321.78383696555085</c:v>
                </c:pt>
                <c:pt idx="19">
                  <c:v>328.37304758296938</c:v>
                </c:pt>
                <c:pt idx="20">
                  <c:v>328.23831725561655</c:v>
                </c:pt>
                <c:pt idx="21">
                  <c:v>330.23351460349318</c:v>
                </c:pt>
                <c:pt idx="22">
                  <c:v>410.73780221479149</c:v>
                </c:pt>
                <c:pt idx="23">
                  <c:v>409.94292245839847</c:v>
                </c:pt>
                <c:pt idx="24">
                  <c:v>410.71278014639461</c:v>
                </c:pt>
                <c:pt idx="25">
                  <c:v>375.50550014488704</c:v>
                </c:pt>
                <c:pt idx="26">
                  <c:v>262.77440648739969</c:v>
                </c:pt>
                <c:pt idx="27">
                  <c:v>226.71836407956363</c:v>
                </c:pt>
                <c:pt idx="28">
                  <c:v>249.08342541881092</c:v>
                </c:pt>
                <c:pt idx="29">
                  <c:v>205.99604602183314</c:v>
                </c:pt>
                <c:pt idx="30">
                  <c:v>201.10143269674148</c:v>
                </c:pt>
                <c:pt idx="31">
                  <c:v>289.50034575294177</c:v>
                </c:pt>
                <c:pt idx="32">
                  <c:v>349.13549012199428</c:v>
                </c:pt>
                <c:pt idx="33">
                  <c:v>321.80796446085446</c:v>
                </c:pt>
              </c:numCache>
            </c:numRef>
          </c:val>
          <c:extLst>
            <c:ext xmlns:c16="http://schemas.microsoft.com/office/drawing/2014/chart" uri="{C3380CC4-5D6E-409C-BE32-E72D297353CC}">
              <c16:uniqueId val="{00000003-9770-4A92-A34C-39EA741FD4E2}"/>
            </c:ext>
          </c:extLst>
        </c:ser>
        <c:ser>
          <c:idx val="1"/>
          <c:order val="4"/>
          <c:tx>
            <c:strRef>
              <c:f>'NG Transmission Storage'!$A$183</c:f>
              <c:strCache>
                <c:ptCount val="1"/>
                <c:pt idx="0">
                  <c:v>Stations, Compressors and Venting</c:v>
                </c:pt>
              </c:strCache>
            </c:strRef>
          </c:tx>
          <c:spPr>
            <a:pattFill prst="trellis">
              <a:fgClr>
                <a:srgbClr val="C00000"/>
              </a:fgClr>
              <a:bgClr>
                <a:schemeClr val="bg1"/>
              </a:bgClr>
            </a:pattFill>
            <a:ln>
              <a:noFill/>
            </a:ln>
            <a:effectLst/>
          </c:spPr>
          <c:invertIfNegative val="0"/>
          <c:cat>
            <c:strRef>
              <c:extLst>
                <c:ext xmlns:c15="http://schemas.microsoft.com/office/drawing/2012/chart" uri="{02D57815-91ED-43cb-92C2-25804820EDAC}">
                  <c15:fullRef>
                    <c15:sqref>'NG Transmission Storage'!$C$175:$AK$175</c15:sqref>
                  </c15:fullRef>
                </c:ext>
              </c:extLst>
              <c:f>'NG Transmission Storage'!$C$175:$AJ$175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Transmission Storage'!$C$190:$AJ$190</c15:sqref>
                  </c15:fullRef>
                </c:ext>
              </c:extLst>
              <c:f>'NG Transmission Storage'!$C$190:$AJ$190</c:f>
              <c:numCache>
                <c:formatCode>#,##0.0</c:formatCode>
                <c:ptCount val="34"/>
                <c:pt idx="0">
                  <c:v>2871.1389389733063</c:v>
                </c:pt>
                <c:pt idx="1">
                  <c:v>2871.1389389733072</c:v>
                </c:pt>
                <c:pt idx="2">
                  <c:v>2871.1389389733072</c:v>
                </c:pt>
                <c:pt idx="3">
                  <c:v>2802.8223381278153</c:v>
                </c:pt>
                <c:pt idx="4">
                  <c:v>2738.4979438373534</c:v>
                </c:pt>
                <c:pt idx="5">
                  <c:v>2670.9142384385955</c:v>
                </c:pt>
                <c:pt idx="6">
                  <c:v>2603.8914579282055</c:v>
                </c:pt>
                <c:pt idx="7">
                  <c:v>2539.8866730282848</c:v>
                </c:pt>
                <c:pt idx="8">
                  <c:v>2473.3841115078794</c:v>
                </c:pt>
                <c:pt idx="9">
                  <c:v>2407.8803789832464</c:v>
                </c:pt>
                <c:pt idx="10">
                  <c:v>2339.4874409963113</c:v>
                </c:pt>
                <c:pt idx="11">
                  <c:v>2269.6726591522552</c:v>
                </c:pt>
                <c:pt idx="12">
                  <c:v>2206.9831245055525</c:v>
                </c:pt>
                <c:pt idx="13">
                  <c:v>2131.6427228679227</c:v>
                </c:pt>
                <c:pt idx="14">
                  <c:v>2069.2517298830903</c:v>
                </c:pt>
                <c:pt idx="15">
                  <c:v>2010.7140666510136</c:v>
                </c:pt>
                <c:pt idx="16">
                  <c:v>1927.1700648522524</c:v>
                </c:pt>
                <c:pt idx="17">
                  <c:v>1879.9520671011619</c:v>
                </c:pt>
                <c:pt idx="18">
                  <c:v>1804.0827328936684</c:v>
                </c:pt>
                <c:pt idx="19">
                  <c:v>1744.8580258207621</c:v>
                </c:pt>
                <c:pt idx="20">
                  <c:v>1678.9093778030849</c:v>
                </c:pt>
                <c:pt idx="21">
                  <c:v>1483.2335146034932</c:v>
                </c:pt>
                <c:pt idx="22">
                  <c:v>1671.7378022147914</c:v>
                </c:pt>
                <c:pt idx="23">
                  <c:v>1670.9429224583985</c:v>
                </c:pt>
                <c:pt idx="24">
                  <c:v>1671.7127801463944</c:v>
                </c:pt>
                <c:pt idx="25">
                  <c:v>1237.6355001448869</c:v>
                </c:pt>
                <c:pt idx="26">
                  <c:v>895.91460888739971</c:v>
                </c:pt>
                <c:pt idx="27">
                  <c:v>787.21836407956357</c:v>
                </c:pt>
                <c:pt idx="28">
                  <c:v>790.18437541881099</c:v>
                </c:pt>
                <c:pt idx="29">
                  <c:v>835.32604602183301</c:v>
                </c:pt>
                <c:pt idx="30">
                  <c:v>783.98143269674142</c:v>
                </c:pt>
                <c:pt idx="31">
                  <c:v>1141.9253457529417</c:v>
                </c:pt>
                <c:pt idx="32">
                  <c:v>1281.3654901219943</c:v>
                </c:pt>
                <c:pt idx="33">
                  <c:v>1353.1153489608544</c:v>
                </c:pt>
              </c:numCache>
            </c:numRef>
          </c:val>
          <c:extLst>
            <c:ext xmlns:c16="http://schemas.microsoft.com/office/drawing/2014/chart" uri="{C3380CC4-5D6E-409C-BE32-E72D297353CC}">
              <c16:uniqueId val="{00000004-9770-4A92-A34C-39EA741FD4E2}"/>
            </c:ext>
          </c:extLst>
        </c:ser>
        <c:ser>
          <c:idx val="23"/>
          <c:order val="5"/>
          <c:tx>
            <c:strRef>
              <c:f>'NG Transmission Storage'!$A$213</c:f>
              <c:strCache>
                <c:ptCount val="1"/>
                <c:pt idx="0">
                  <c:v>LNG Station Blowdowns</c:v>
                </c:pt>
              </c:strCache>
            </c:strRef>
          </c:tx>
          <c:spPr>
            <a:solidFill>
              <a:schemeClr val="accent4">
                <a:lumMod val="40000"/>
                <a:lumOff val="60000"/>
              </a:schemeClr>
            </a:solidFill>
            <a:ln>
              <a:noFill/>
            </a:ln>
            <a:effectLst/>
          </c:spPr>
          <c:invertIfNegative val="0"/>
          <c:cat>
            <c:strRef>
              <c:extLst>
                <c:ext xmlns:c15="http://schemas.microsoft.com/office/drawing/2012/chart" uri="{02D57815-91ED-43cb-92C2-25804820EDAC}">
                  <c15:fullRef>
                    <c15:sqref>'NG Transmission Storage'!$C$175:$AK$175</c15:sqref>
                  </c15:fullRef>
                </c:ext>
              </c:extLst>
              <c:f>'NG Transmission Storage'!$C$175:$AJ$175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Transmission Storage'!$C$213:$AJ$213</c15:sqref>
                  </c15:fullRef>
                </c:ext>
              </c:extLst>
              <c:f>'NG Transmission Storage'!$C$213:$AJ$213</c:f>
              <c:numCache>
                <c:formatCode>#,##0.0</c:formatCode>
                <c:ptCount val="34"/>
                <c:pt idx="0">
                  <c:v>1511.1781200000003</c:v>
                </c:pt>
                <c:pt idx="1">
                  <c:v>1511.17812</c:v>
                </c:pt>
                <c:pt idx="2">
                  <c:v>1511.1781199999998</c:v>
                </c:pt>
                <c:pt idx="3">
                  <c:v>1511.17812</c:v>
                </c:pt>
                <c:pt idx="4">
                  <c:v>1511.1781199999998</c:v>
                </c:pt>
                <c:pt idx="5">
                  <c:v>1511.17812</c:v>
                </c:pt>
                <c:pt idx="6">
                  <c:v>1511.17812</c:v>
                </c:pt>
                <c:pt idx="7">
                  <c:v>1511.17812</c:v>
                </c:pt>
                <c:pt idx="8">
                  <c:v>1511.17812</c:v>
                </c:pt>
                <c:pt idx="9">
                  <c:v>1511.17812</c:v>
                </c:pt>
                <c:pt idx="10">
                  <c:v>1595.1324599999998</c:v>
                </c:pt>
                <c:pt idx="11">
                  <c:v>1595.13246</c:v>
                </c:pt>
                <c:pt idx="12">
                  <c:v>1595.13246</c:v>
                </c:pt>
                <c:pt idx="13">
                  <c:v>1595.13246</c:v>
                </c:pt>
                <c:pt idx="14">
                  <c:v>1595.13246</c:v>
                </c:pt>
                <c:pt idx="15">
                  <c:v>1595.13246</c:v>
                </c:pt>
                <c:pt idx="16">
                  <c:v>1595.13246</c:v>
                </c:pt>
                <c:pt idx="17">
                  <c:v>1595.13246</c:v>
                </c:pt>
                <c:pt idx="18">
                  <c:v>1595.13246</c:v>
                </c:pt>
                <c:pt idx="19">
                  <c:v>1595.13246</c:v>
                </c:pt>
                <c:pt idx="20">
                  <c:v>1595.13246</c:v>
                </c:pt>
                <c:pt idx="21">
                  <c:v>1595.13246</c:v>
                </c:pt>
                <c:pt idx="22">
                  <c:v>1595.1324599999998</c:v>
                </c:pt>
                <c:pt idx="23">
                  <c:v>1595.1324599999998</c:v>
                </c:pt>
                <c:pt idx="24">
                  <c:v>1595.1324599999998</c:v>
                </c:pt>
                <c:pt idx="25">
                  <c:v>1595.1324599999998</c:v>
                </c:pt>
                <c:pt idx="26">
                  <c:v>1595.13246</c:v>
                </c:pt>
                <c:pt idx="27">
                  <c:v>1595.13246</c:v>
                </c:pt>
                <c:pt idx="28">
                  <c:v>1595.13246</c:v>
                </c:pt>
                <c:pt idx="29">
                  <c:v>1595.1324599999998</c:v>
                </c:pt>
                <c:pt idx="30">
                  <c:v>1595.13246</c:v>
                </c:pt>
                <c:pt idx="31">
                  <c:v>1595.13246</c:v>
                </c:pt>
                <c:pt idx="32">
                  <c:v>1595.13246</c:v>
                </c:pt>
                <c:pt idx="33">
                  <c:v>1595.1324600000003</c:v>
                </c:pt>
              </c:numCache>
            </c:numRef>
          </c:val>
          <c:extLst>
            <c:ext xmlns:c16="http://schemas.microsoft.com/office/drawing/2014/chart" uri="{C3380CC4-5D6E-409C-BE32-E72D297353CC}">
              <c16:uniqueId val="{00000005-9770-4A92-A34C-39EA741FD4E2}"/>
            </c:ext>
          </c:extLst>
        </c:ser>
        <c:ser>
          <c:idx val="22"/>
          <c:order val="6"/>
          <c:tx>
            <c:strRef>
              <c:f>'NG Transmission Storage'!$A$212</c:f>
              <c:strCache>
                <c:ptCount val="1"/>
                <c:pt idx="0">
                  <c:v>LNG Stations (eq. leaks, compressors, flares)</c:v>
                </c:pt>
              </c:strCache>
            </c:strRef>
          </c:tx>
          <c:spPr>
            <a:pattFill prst="smGrid">
              <a:fgClr>
                <a:schemeClr val="tx2">
                  <a:lumMod val="75000"/>
                </a:schemeClr>
              </a:fgClr>
              <a:bgClr>
                <a:schemeClr val="bg1"/>
              </a:bgClr>
            </a:pattFill>
            <a:ln>
              <a:noFill/>
            </a:ln>
            <a:effectLst/>
          </c:spPr>
          <c:invertIfNegative val="0"/>
          <c:cat>
            <c:strRef>
              <c:extLst>
                <c:ext xmlns:c15="http://schemas.microsoft.com/office/drawing/2012/chart" uri="{02D57815-91ED-43cb-92C2-25804820EDAC}">
                  <c15:fullRef>
                    <c15:sqref>'NG Transmission Storage'!$C$175:$AK$175</c15:sqref>
                  </c15:fullRef>
                </c:ext>
              </c:extLst>
              <c:f>'NG Transmission Storage'!$C$175:$AJ$175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Transmission Storage'!$C$212:$AJ$212</c15:sqref>
                  </c15:fullRef>
                </c:ext>
              </c:extLst>
              <c:f>'NG Transmission Storage'!$C$212:$AJ$212</c:f>
              <c:numCache>
                <c:formatCode>#,##0.0</c:formatCode>
                <c:ptCount val="34"/>
                <c:pt idx="0">
                  <c:v>108.69882352941177</c:v>
                </c:pt>
                <c:pt idx="1">
                  <c:v>108.69882352941177</c:v>
                </c:pt>
                <c:pt idx="2">
                  <c:v>108.69882352941175</c:v>
                </c:pt>
                <c:pt idx="3">
                  <c:v>108.69882352941175</c:v>
                </c:pt>
                <c:pt idx="4">
                  <c:v>108.69882352941175</c:v>
                </c:pt>
                <c:pt idx="5">
                  <c:v>108.69882352941174</c:v>
                </c:pt>
                <c:pt idx="6">
                  <c:v>108.69882352941177</c:v>
                </c:pt>
                <c:pt idx="7">
                  <c:v>108.69882352941175</c:v>
                </c:pt>
                <c:pt idx="8">
                  <c:v>108.69882352941175</c:v>
                </c:pt>
                <c:pt idx="9">
                  <c:v>108.69882352941175</c:v>
                </c:pt>
                <c:pt idx="10">
                  <c:v>114.73764705882354</c:v>
                </c:pt>
                <c:pt idx="11">
                  <c:v>114.73764705882351</c:v>
                </c:pt>
                <c:pt idx="12">
                  <c:v>114.7376470588235</c:v>
                </c:pt>
                <c:pt idx="13">
                  <c:v>114.73764705882354</c:v>
                </c:pt>
                <c:pt idx="14">
                  <c:v>114.73764705882354</c:v>
                </c:pt>
                <c:pt idx="15">
                  <c:v>114.73764705882354</c:v>
                </c:pt>
                <c:pt idx="16">
                  <c:v>114.73764705882354</c:v>
                </c:pt>
                <c:pt idx="17">
                  <c:v>114.73764705882354</c:v>
                </c:pt>
                <c:pt idx="18">
                  <c:v>114.73764705882354</c:v>
                </c:pt>
                <c:pt idx="19">
                  <c:v>114.73764705882354</c:v>
                </c:pt>
                <c:pt idx="20">
                  <c:v>114.73764705882351</c:v>
                </c:pt>
                <c:pt idx="21">
                  <c:v>114.73764705882351</c:v>
                </c:pt>
                <c:pt idx="22">
                  <c:v>114.73764705882351</c:v>
                </c:pt>
                <c:pt idx="23">
                  <c:v>114.73764705882351</c:v>
                </c:pt>
                <c:pt idx="24">
                  <c:v>114.73764705882351</c:v>
                </c:pt>
                <c:pt idx="25">
                  <c:v>114.73764705882351</c:v>
                </c:pt>
                <c:pt idx="26">
                  <c:v>114.73764705882354</c:v>
                </c:pt>
                <c:pt idx="27">
                  <c:v>114.73764705882351</c:v>
                </c:pt>
                <c:pt idx="28">
                  <c:v>105.72866666666667</c:v>
                </c:pt>
                <c:pt idx="29">
                  <c:v>171.2406666666667</c:v>
                </c:pt>
                <c:pt idx="30">
                  <c:v>316.084</c:v>
                </c:pt>
                <c:pt idx="31">
                  <c:v>520.03</c:v>
                </c:pt>
                <c:pt idx="32">
                  <c:v>634.94200000000001</c:v>
                </c:pt>
                <c:pt idx="33">
                  <c:v>589.38</c:v>
                </c:pt>
              </c:numCache>
            </c:numRef>
          </c:val>
          <c:extLst>
            <c:ext xmlns:c16="http://schemas.microsoft.com/office/drawing/2014/chart" uri="{C3380CC4-5D6E-409C-BE32-E72D297353CC}">
              <c16:uniqueId val="{00000006-9770-4A92-A34C-39EA741FD4E2}"/>
            </c:ext>
          </c:extLst>
        </c:ser>
        <c:ser>
          <c:idx val="26"/>
          <c:order val="7"/>
          <c:tx>
            <c:strRef>
              <c:f>'NG Transmission Storage'!$A$219</c:f>
              <c:strCache>
                <c:ptCount val="1"/>
                <c:pt idx="0">
                  <c:v>LNG Import Terminal Blowdowns</c:v>
                </c:pt>
              </c:strCache>
            </c:strRef>
          </c:tx>
          <c:spPr>
            <a:solidFill>
              <a:schemeClr val="accent3">
                <a:lumMod val="60000"/>
                <a:lumOff val="40000"/>
              </a:schemeClr>
            </a:solidFill>
            <a:ln>
              <a:noFill/>
            </a:ln>
            <a:effectLst/>
          </c:spPr>
          <c:invertIfNegative val="0"/>
          <c:cat>
            <c:strRef>
              <c:extLst>
                <c:ext xmlns:c15="http://schemas.microsoft.com/office/drawing/2012/chart" uri="{02D57815-91ED-43cb-92C2-25804820EDAC}">
                  <c15:fullRef>
                    <c15:sqref>'NG Transmission Storage'!$C$175:$AK$175</c15:sqref>
                  </c15:fullRef>
                </c:ext>
              </c:extLst>
              <c:f>'NG Transmission Storage'!$C$175:$AJ$175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Transmission Storage'!$C$219:$AJ$219</c15:sqref>
                  </c15:fullRef>
                </c:ext>
              </c:extLst>
              <c:f>'NG Transmission Storage'!$C$219:$AJ$219</c:f>
              <c:numCache>
                <c:formatCode>#,##0.0</c:formatCode>
                <c:ptCount val="34"/>
                <c:pt idx="0">
                  <c:v>1229.556</c:v>
                </c:pt>
                <c:pt idx="1">
                  <c:v>1418.6699999999998</c:v>
                </c:pt>
                <c:pt idx="2">
                  <c:v>1418.6699999999998</c:v>
                </c:pt>
                <c:pt idx="3">
                  <c:v>1418.6699999999998</c:v>
                </c:pt>
                <c:pt idx="4">
                  <c:v>1418.6699999999998</c:v>
                </c:pt>
                <c:pt idx="5">
                  <c:v>1418.6699999999998</c:v>
                </c:pt>
                <c:pt idx="6">
                  <c:v>1418.6699999999998</c:v>
                </c:pt>
                <c:pt idx="7">
                  <c:v>1418.6699999999998</c:v>
                </c:pt>
                <c:pt idx="8">
                  <c:v>1418.6699999999998</c:v>
                </c:pt>
                <c:pt idx="9">
                  <c:v>1418.6699999999998</c:v>
                </c:pt>
                <c:pt idx="10">
                  <c:v>1418.6699999999998</c:v>
                </c:pt>
                <c:pt idx="11">
                  <c:v>1418.6699999999998</c:v>
                </c:pt>
                <c:pt idx="12">
                  <c:v>1418.6699999999998</c:v>
                </c:pt>
                <c:pt idx="13">
                  <c:v>1418.6699999999998</c:v>
                </c:pt>
                <c:pt idx="14">
                  <c:v>1418.6699999999998</c:v>
                </c:pt>
                <c:pt idx="15">
                  <c:v>1418.6699999999998</c:v>
                </c:pt>
                <c:pt idx="16">
                  <c:v>1418.6699999999998</c:v>
                </c:pt>
                <c:pt idx="17">
                  <c:v>1418.6699999999998</c:v>
                </c:pt>
                <c:pt idx="18">
                  <c:v>2837.3399999999997</c:v>
                </c:pt>
                <c:pt idx="19">
                  <c:v>2837.3399999999997</c:v>
                </c:pt>
                <c:pt idx="20">
                  <c:v>4256.0099999999993</c:v>
                </c:pt>
                <c:pt idx="21">
                  <c:v>11.152000000000001</c:v>
                </c:pt>
                <c:pt idx="22">
                  <c:v>7.3244000000000007</c:v>
                </c:pt>
                <c:pt idx="23">
                  <c:v>10.0596</c:v>
                </c:pt>
                <c:pt idx="24">
                  <c:v>9.2959999999999994</c:v>
                </c:pt>
                <c:pt idx="25">
                  <c:v>1427.9499999999998</c:v>
                </c:pt>
                <c:pt idx="26">
                  <c:v>1426.1399999999999</c:v>
                </c:pt>
                <c:pt idx="27">
                  <c:v>6.51</c:v>
                </c:pt>
                <c:pt idx="28">
                  <c:v>7.67</c:v>
                </c:pt>
                <c:pt idx="29">
                  <c:v>64.788333333333327</c:v>
                </c:pt>
                <c:pt idx="30">
                  <c:v>3.71</c:v>
                </c:pt>
                <c:pt idx="31">
                  <c:v>8.11</c:v>
                </c:pt>
                <c:pt idx="32">
                  <c:v>2.6635714285714287</c:v>
                </c:pt>
                <c:pt idx="33">
                  <c:v>1.78</c:v>
                </c:pt>
              </c:numCache>
            </c:numRef>
          </c:val>
          <c:extLst>
            <c:ext xmlns:c16="http://schemas.microsoft.com/office/drawing/2014/chart" uri="{C3380CC4-5D6E-409C-BE32-E72D297353CC}">
              <c16:uniqueId val="{00000007-9770-4A92-A34C-39EA741FD4E2}"/>
            </c:ext>
          </c:extLst>
        </c:ser>
        <c:ser>
          <c:idx val="0"/>
          <c:order val="8"/>
          <c:tx>
            <c:strRef>
              <c:f>'NG Transmission Storage'!$A$218</c:f>
              <c:strCache>
                <c:ptCount val="1"/>
                <c:pt idx="0">
                  <c:v>LNG Import Terminals (eq. leaks, compressors, flares)</c:v>
                </c:pt>
              </c:strCache>
            </c:strRef>
          </c:tx>
          <c:spPr>
            <a:solidFill>
              <a:schemeClr val="tx2">
                <a:lumMod val="75000"/>
              </a:schemeClr>
            </a:solidFill>
            <a:ln>
              <a:noFill/>
            </a:ln>
            <a:effectLst/>
          </c:spPr>
          <c:invertIfNegative val="0"/>
          <c:cat>
            <c:strRef>
              <c:extLst>
                <c:ext xmlns:c15="http://schemas.microsoft.com/office/drawing/2012/chart" uri="{02D57815-91ED-43cb-92C2-25804820EDAC}">
                  <c15:fullRef>
                    <c15:sqref>'NG Transmission Storage'!$C$175:$AK$175</c15:sqref>
                  </c15:fullRef>
                </c:ext>
              </c:extLst>
              <c:f>'NG Transmission Storage'!$C$175:$AJ$175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'NG Transmission Storage'!$C$218:$AJ$218</c15:sqref>
                  </c15:fullRef>
                </c:ext>
              </c:extLst>
              <c:f>'NG Transmission Storage'!$C$218:$AJ$218</c:f>
              <c:numCache>
                <c:formatCode>#,##0.0</c:formatCode>
                <c:ptCount val="34"/>
                <c:pt idx="0">
                  <c:v>57.731333333333332</c:v>
                </c:pt>
                <c:pt idx="1">
                  <c:v>66.609230769230777</c:v>
                </c:pt>
                <c:pt idx="2">
                  <c:v>66.609230769230777</c:v>
                </c:pt>
                <c:pt idx="3">
                  <c:v>66.609230769230777</c:v>
                </c:pt>
                <c:pt idx="4">
                  <c:v>66.609230769230777</c:v>
                </c:pt>
                <c:pt idx="5">
                  <c:v>66.609230769230777</c:v>
                </c:pt>
                <c:pt idx="6">
                  <c:v>66.609230769230777</c:v>
                </c:pt>
                <c:pt idx="7">
                  <c:v>66.609230769230777</c:v>
                </c:pt>
                <c:pt idx="8">
                  <c:v>66.609230769230777</c:v>
                </c:pt>
                <c:pt idx="9">
                  <c:v>66.609230769230777</c:v>
                </c:pt>
                <c:pt idx="10">
                  <c:v>66.609230769230777</c:v>
                </c:pt>
                <c:pt idx="11">
                  <c:v>66.609230769230763</c:v>
                </c:pt>
                <c:pt idx="12">
                  <c:v>66.609230769230763</c:v>
                </c:pt>
                <c:pt idx="13">
                  <c:v>66.609230769230777</c:v>
                </c:pt>
                <c:pt idx="14">
                  <c:v>66.609230769230777</c:v>
                </c:pt>
                <c:pt idx="15">
                  <c:v>66.609230769230777</c:v>
                </c:pt>
                <c:pt idx="16">
                  <c:v>66.609230769230777</c:v>
                </c:pt>
                <c:pt idx="17">
                  <c:v>66.609230769230777</c:v>
                </c:pt>
                <c:pt idx="18">
                  <c:v>133.21846153846155</c:v>
                </c:pt>
                <c:pt idx="19">
                  <c:v>133.21846153846155</c:v>
                </c:pt>
                <c:pt idx="20">
                  <c:v>199.82769230769233</c:v>
                </c:pt>
                <c:pt idx="21">
                  <c:v>66.609230769230777</c:v>
                </c:pt>
                <c:pt idx="22">
                  <c:v>66.609230769230777</c:v>
                </c:pt>
                <c:pt idx="23">
                  <c:v>66.609230769230777</c:v>
                </c:pt>
                <c:pt idx="24">
                  <c:v>4.16</c:v>
                </c:pt>
                <c:pt idx="25">
                  <c:v>70.02083076923077</c:v>
                </c:pt>
                <c:pt idx="26">
                  <c:v>82.169230769230779</c:v>
                </c:pt>
                <c:pt idx="27">
                  <c:v>8.36</c:v>
                </c:pt>
                <c:pt idx="28">
                  <c:v>10.58</c:v>
                </c:pt>
                <c:pt idx="29">
                  <c:v>39.605833333333329</c:v>
                </c:pt>
                <c:pt idx="30">
                  <c:v>8.8199999999999985</c:v>
                </c:pt>
                <c:pt idx="31">
                  <c:v>7.34</c:v>
                </c:pt>
                <c:pt idx="32">
                  <c:v>26.646714285714296</c:v>
                </c:pt>
                <c:pt idx="33">
                  <c:v>4.96</c:v>
                </c:pt>
              </c:numCache>
            </c:numRef>
          </c:val>
          <c:extLst>
            <c:ext xmlns:c16="http://schemas.microsoft.com/office/drawing/2014/chart" uri="{C3380CC4-5D6E-409C-BE32-E72D297353CC}">
              <c16:uniqueId val="{00000008-9770-4A92-A34C-39EA741FD4E2}"/>
            </c:ext>
          </c:extLst>
        </c:ser>
        <c:dLbls>
          <c:showLegendKey val="0"/>
          <c:showVal val="0"/>
          <c:showCatName val="0"/>
          <c:showSerName val="0"/>
          <c:showPercent val="0"/>
          <c:showBubbleSize val="0"/>
        </c:dLbls>
        <c:gapWidth val="55"/>
        <c:overlap val="100"/>
        <c:axId val="523899920"/>
        <c:axId val="523898120"/>
      </c:barChart>
      <c:catAx>
        <c:axId val="52389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523898120"/>
        <c:crosses val="autoZero"/>
        <c:auto val="1"/>
        <c:lblAlgn val="ctr"/>
        <c:lblOffset val="100"/>
        <c:noMultiLvlLbl val="0"/>
      </c:catAx>
      <c:valAx>
        <c:axId val="523898120"/>
        <c:scaling>
          <c:orientation val="minMax"/>
          <c:max val="9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523899920"/>
        <c:crosses val="autoZero"/>
        <c:crossBetween val="between"/>
      </c:valAx>
      <c:spPr>
        <a:noFill/>
        <a:ln>
          <a:noFill/>
        </a:ln>
        <a:effectLst/>
      </c:spPr>
    </c:plotArea>
    <c:legend>
      <c:legendPos val="r"/>
      <c:layout>
        <c:manualLayout>
          <c:xMode val="edge"/>
          <c:yMode val="edge"/>
          <c:x val="0.64425200506890523"/>
          <c:y val="3.1964755971862359E-2"/>
          <c:w val="0.34080484362050983"/>
          <c:h val="0.9124060158905881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r>
              <a:rPr lang="en-US" sz="1600" b="1">
                <a:latin typeface="Aptos" panose="020B0004020202020204" pitchFamily="34" charset="0"/>
              </a:rPr>
              <a:t>NG Transmission and</a:t>
            </a:r>
            <a:r>
              <a:rPr lang="en-US" sz="1600" b="1" baseline="0">
                <a:latin typeface="Aptos" panose="020B0004020202020204" pitchFamily="34" charset="0"/>
              </a:rPr>
              <a:t> Storage </a:t>
            </a:r>
            <a:r>
              <a:rPr lang="en-US" sz="1600" b="1">
                <a:latin typeface="Aptos" panose="020B0004020202020204" pitchFamily="34" charset="0"/>
              </a:rPr>
              <a:t>(metric tons CH4)</a:t>
            </a:r>
          </a:p>
        </c:rich>
      </c:tx>
      <c:layout>
        <c:manualLayout>
          <c:xMode val="edge"/>
          <c:yMode val="edge"/>
          <c:x val="0.12010176606748636"/>
          <c:y val="2.5433129730138386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8.8000649497600267E-2"/>
          <c:y val="0.12460216121633444"/>
          <c:w val="0.52885557816856577"/>
          <c:h val="0.68905937433496478"/>
        </c:manualLayout>
      </c:layout>
      <c:lineChart>
        <c:grouping val="standard"/>
        <c:varyColors val="0"/>
        <c:ser>
          <c:idx val="23"/>
          <c:order val="0"/>
          <c:tx>
            <c:strRef>
              <c:f>'NG Transmission Storage'!$A$213</c:f>
              <c:strCache>
                <c:ptCount val="1"/>
                <c:pt idx="0">
                  <c:v>LNG Station Blowdowns</c:v>
                </c:pt>
              </c:strCache>
            </c:strRef>
          </c:tx>
          <c:spPr>
            <a:ln w="28575" cap="rnd">
              <a:solidFill>
                <a:schemeClr val="accent6">
                  <a:lumMod val="80000"/>
                </a:schemeClr>
              </a:solidFill>
              <a:round/>
            </a:ln>
            <a:effectLst/>
          </c:spPr>
          <c:marker>
            <c:symbol val="square"/>
            <c:size val="6"/>
            <c:spPr>
              <a:solidFill>
                <a:schemeClr val="accent6">
                  <a:lumMod val="80000"/>
                </a:schemeClr>
              </a:solidFill>
              <a:ln w="9525">
                <a:solidFill>
                  <a:schemeClr val="accent6">
                    <a:lumMod val="80000"/>
                  </a:schemeClr>
                </a:solidFill>
              </a:ln>
              <a:effectLst/>
            </c:spPr>
          </c:marker>
          <c:cat>
            <c:strRef>
              <c:f>'NG Transmission Storage'!$C$175:$AK$175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'NG Transmission Storage'!$C$213:$AJ$213</c:f>
              <c:numCache>
                <c:formatCode>#,##0.0</c:formatCode>
                <c:ptCount val="34"/>
                <c:pt idx="0">
                  <c:v>1511.1781200000003</c:v>
                </c:pt>
                <c:pt idx="1">
                  <c:v>1511.17812</c:v>
                </c:pt>
                <c:pt idx="2">
                  <c:v>1511.1781199999998</c:v>
                </c:pt>
                <c:pt idx="3">
                  <c:v>1511.17812</c:v>
                </c:pt>
                <c:pt idx="4">
                  <c:v>1511.1781199999998</c:v>
                </c:pt>
                <c:pt idx="5">
                  <c:v>1511.17812</c:v>
                </c:pt>
                <c:pt idx="6">
                  <c:v>1511.17812</c:v>
                </c:pt>
                <c:pt idx="7">
                  <c:v>1511.17812</c:v>
                </c:pt>
                <c:pt idx="8">
                  <c:v>1511.17812</c:v>
                </c:pt>
                <c:pt idx="9">
                  <c:v>1511.17812</c:v>
                </c:pt>
                <c:pt idx="10">
                  <c:v>1595.1324599999998</c:v>
                </c:pt>
                <c:pt idx="11">
                  <c:v>1595.13246</c:v>
                </c:pt>
                <c:pt idx="12">
                  <c:v>1595.13246</c:v>
                </c:pt>
                <c:pt idx="13">
                  <c:v>1595.13246</c:v>
                </c:pt>
                <c:pt idx="14">
                  <c:v>1595.13246</c:v>
                </c:pt>
                <c:pt idx="15">
                  <c:v>1595.13246</c:v>
                </c:pt>
                <c:pt idx="16">
                  <c:v>1595.13246</c:v>
                </c:pt>
                <c:pt idx="17">
                  <c:v>1595.13246</c:v>
                </c:pt>
                <c:pt idx="18">
                  <c:v>1595.13246</c:v>
                </c:pt>
                <c:pt idx="19">
                  <c:v>1595.13246</c:v>
                </c:pt>
                <c:pt idx="20">
                  <c:v>1595.13246</c:v>
                </c:pt>
                <c:pt idx="21">
                  <c:v>1595.13246</c:v>
                </c:pt>
                <c:pt idx="22">
                  <c:v>1595.1324599999998</c:v>
                </c:pt>
                <c:pt idx="23">
                  <c:v>1595.1324599999998</c:v>
                </c:pt>
                <c:pt idx="24">
                  <c:v>1595.1324599999998</c:v>
                </c:pt>
                <c:pt idx="25">
                  <c:v>1595.1324599999998</c:v>
                </c:pt>
                <c:pt idx="26">
                  <c:v>1595.13246</c:v>
                </c:pt>
                <c:pt idx="27">
                  <c:v>1595.13246</c:v>
                </c:pt>
                <c:pt idx="28">
                  <c:v>1595.13246</c:v>
                </c:pt>
                <c:pt idx="29">
                  <c:v>1595.1324599999998</c:v>
                </c:pt>
                <c:pt idx="30">
                  <c:v>1595.13246</c:v>
                </c:pt>
                <c:pt idx="31">
                  <c:v>1595.13246</c:v>
                </c:pt>
                <c:pt idx="32">
                  <c:v>1595.13246</c:v>
                </c:pt>
                <c:pt idx="33">
                  <c:v>1595.1324600000003</c:v>
                </c:pt>
              </c:numCache>
            </c:numRef>
          </c:val>
          <c:smooth val="0"/>
          <c:extLst>
            <c:ext xmlns:c16="http://schemas.microsoft.com/office/drawing/2014/chart" uri="{C3380CC4-5D6E-409C-BE32-E72D297353CC}">
              <c16:uniqueId val="{00000000-F9A8-487C-B2AA-ABB5399F2755}"/>
            </c:ext>
          </c:extLst>
        </c:ser>
        <c:ser>
          <c:idx val="1"/>
          <c:order val="1"/>
          <c:tx>
            <c:strRef>
              <c:f>'NG Transmission Storage'!$A$183</c:f>
              <c:strCache>
                <c:ptCount val="1"/>
                <c:pt idx="0">
                  <c:v>Stations, Compressors and Venting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'NG Transmission Storage'!$C$175:$AK$175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'NG Transmission Storage'!$C$190:$AJ$190</c:f>
              <c:numCache>
                <c:formatCode>#,##0.0</c:formatCode>
                <c:ptCount val="34"/>
                <c:pt idx="0">
                  <c:v>2871.1389389733063</c:v>
                </c:pt>
                <c:pt idx="1">
                  <c:v>2871.1389389733072</c:v>
                </c:pt>
                <c:pt idx="2">
                  <c:v>2871.1389389733072</c:v>
                </c:pt>
                <c:pt idx="3">
                  <c:v>2802.8223381278153</c:v>
                </c:pt>
                <c:pt idx="4">
                  <c:v>2738.4979438373534</c:v>
                </c:pt>
                <c:pt idx="5">
                  <c:v>2670.9142384385955</c:v>
                </c:pt>
                <c:pt idx="6">
                  <c:v>2603.8914579282055</c:v>
                </c:pt>
                <c:pt idx="7">
                  <c:v>2539.8866730282848</c:v>
                </c:pt>
                <c:pt idx="8">
                  <c:v>2473.3841115078794</c:v>
                </c:pt>
                <c:pt idx="9">
                  <c:v>2407.8803789832464</c:v>
                </c:pt>
                <c:pt idx="10">
                  <c:v>2339.4874409963113</c:v>
                </c:pt>
                <c:pt idx="11">
                  <c:v>2269.6726591522552</c:v>
                </c:pt>
                <c:pt idx="12">
                  <c:v>2206.9831245055525</c:v>
                </c:pt>
                <c:pt idx="13">
                  <c:v>2131.6427228679227</c:v>
                </c:pt>
                <c:pt idx="14">
                  <c:v>2069.2517298830903</c:v>
                </c:pt>
                <c:pt idx="15">
                  <c:v>2010.7140666510136</c:v>
                </c:pt>
                <c:pt idx="16">
                  <c:v>1927.1700648522524</c:v>
                </c:pt>
                <c:pt idx="17">
                  <c:v>1879.9520671011619</c:v>
                </c:pt>
                <c:pt idx="18">
                  <c:v>1804.0827328936684</c:v>
                </c:pt>
                <c:pt idx="19">
                  <c:v>1744.8580258207621</c:v>
                </c:pt>
                <c:pt idx="20">
                  <c:v>1678.9093778030849</c:v>
                </c:pt>
                <c:pt idx="21">
                  <c:v>1483.2335146034932</c:v>
                </c:pt>
                <c:pt idx="22">
                  <c:v>1671.7378022147914</c:v>
                </c:pt>
                <c:pt idx="23">
                  <c:v>1670.9429224583985</c:v>
                </c:pt>
                <c:pt idx="24">
                  <c:v>1671.7127801463944</c:v>
                </c:pt>
                <c:pt idx="25">
                  <c:v>1237.6355001448869</c:v>
                </c:pt>
                <c:pt idx="26">
                  <c:v>895.91460888739971</c:v>
                </c:pt>
                <c:pt idx="27">
                  <c:v>787.21836407956357</c:v>
                </c:pt>
                <c:pt idx="28">
                  <c:v>790.18437541881099</c:v>
                </c:pt>
                <c:pt idx="29">
                  <c:v>835.32604602183301</c:v>
                </c:pt>
                <c:pt idx="30">
                  <c:v>783.98143269674142</c:v>
                </c:pt>
                <c:pt idx="31">
                  <c:v>1141.9253457529417</c:v>
                </c:pt>
                <c:pt idx="32">
                  <c:v>1281.3654901219943</c:v>
                </c:pt>
                <c:pt idx="33">
                  <c:v>1353.1153489608544</c:v>
                </c:pt>
              </c:numCache>
            </c:numRef>
          </c:val>
          <c:smooth val="0"/>
          <c:extLst>
            <c:ext xmlns:c16="http://schemas.microsoft.com/office/drawing/2014/chart" uri="{C3380CC4-5D6E-409C-BE32-E72D297353CC}">
              <c16:uniqueId val="{00000001-F9A8-487C-B2AA-ABB5399F2755}"/>
            </c:ext>
          </c:extLst>
        </c:ser>
        <c:ser>
          <c:idx val="22"/>
          <c:order val="2"/>
          <c:tx>
            <c:strRef>
              <c:f>'NG Transmission Storage'!$A$212</c:f>
              <c:strCache>
                <c:ptCount val="1"/>
                <c:pt idx="0">
                  <c:v>LNG Stations (eq. leaks, compressors, flares)</c:v>
                </c:pt>
              </c:strCache>
            </c:strRef>
          </c:tx>
          <c:spPr>
            <a:ln w="28575" cap="rnd">
              <a:solidFill>
                <a:schemeClr val="accent5">
                  <a:lumMod val="80000"/>
                </a:schemeClr>
              </a:solidFill>
              <a:prstDash val="sysDash"/>
              <a:round/>
            </a:ln>
            <a:effectLst/>
          </c:spPr>
          <c:marker>
            <c:symbol val="circle"/>
            <c:size val="5"/>
            <c:spPr>
              <a:solidFill>
                <a:schemeClr val="accent5">
                  <a:lumMod val="80000"/>
                </a:schemeClr>
              </a:solidFill>
              <a:ln w="9525">
                <a:solidFill>
                  <a:schemeClr val="accent5">
                    <a:lumMod val="80000"/>
                  </a:schemeClr>
                </a:solidFill>
                <a:prstDash val="sysDash"/>
              </a:ln>
              <a:effectLst/>
            </c:spPr>
          </c:marker>
          <c:cat>
            <c:strRef>
              <c:f>'NG Transmission Storage'!$C$175:$AK$175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'NG Transmission Storage'!$C$212:$AJ$212</c:f>
              <c:numCache>
                <c:formatCode>#,##0.0</c:formatCode>
                <c:ptCount val="34"/>
                <c:pt idx="0">
                  <c:v>108.69882352941177</c:v>
                </c:pt>
                <c:pt idx="1">
                  <c:v>108.69882352941177</c:v>
                </c:pt>
                <c:pt idx="2">
                  <c:v>108.69882352941175</c:v>
                </c:pt>
                <c:pt idx="3">
                  <c:v>108.69882352941175</c:v>
                </c:pt>
                <c:pt idx="4">
                  <c:v>108.69882352941175</c:v>
                </c:pt>
                <c:pt idx="5">
                  <c:v>108.69882352941174</c:v>
                </c:pt>
                <c:pt idx="6">
                  <c:v>108.69882352941177</c:v>
                </c:pt>
                <c:pt idx="7">
                  <c:v>108.69882352941175</c:v>
                </c:pt>
                <c:pt idx="8">
                  <c:v>108.69882352941175</c:v>
                </c:pt>
                <c:pt idx="9">
                  <c:v>108.69882352941175</c:v>
                </c:pt>
                <c:pt idx="10">
                  <c:v>114.73764705882354</c:v>
                </c:pt>
                <c:pt idx="11">
                  <c:v>114.73764705882351</c:v>
                </c:pt>
                <c:pt idx="12">
                  <c:v>114.7376470588235</c:v>
                </c:pt>
                <c:pt idx="13">
                  <c:v>114.73764705882354</c:v>
                </c:pt>
                <c:pt idx="14">
                  <c:v>114.73764705882354</c:v>
                </c:pt>
                <c:pt idx="15">
                  <c:v>114.73764705882354</c:v>
                </c:pt>
                <c:pt idx="16">
                  <c:v>114.73764705882354</c:v>
                </c:pt>
                <c:pt idx="17">
                  <c:v>114.73764705882354</c:v>
                </c:pt>
                <c:pt idx="18">
                  <c:v>114.73764705882354</c:v>
                </c:pt>
                <c:pt idx="19">
                  <c:v>114.73764705882354</c:v>
                </c:pt>
                <c:pt idx="20">
                  <c:v>114.73764705882351</c:v>
                </c:pt>
                <c:pt idx="21">
                  <c:v>114.73764705882351</c:v>
                </c:pt>
                <c:pt idx="22">
                  <c:v>114.73764705882351</c:v>
                </c:pt>
                <c:pt idx="23">
                  <c:v>114.73764705882351</c:v>
                </c:pt>
                <c:pt idx="24">
                  <c:v>114.73764705882351</c:v>
                </c:pt>
                <c:pt idx="25">
                  <c:v>114.73764705882351</c:v>
                </c:pt>
                <c:pt idx="26">
                  <c:v>114.73764705882354</c:v>
                </c:pt>
                <c:pt idx="27">
                  <c:v>114.73764705882351</c:v>
                </c:pt>
                <c:pt idx="28">
                  <c:v>105.72866666666667</c:v>
                </c:pt>
                <c:pt idx="29">
                  <c:v>171.2406666666667</c:v>
                </c:pt>
                <c:pt idx="30">
                  <c:v>316.084</c:v>
                </c:pt>
                <c:pt idx="31">
                  <c:v>520.03</c:v>
                </c:pt>
                <c:pt idx="32">
                  <c:v>634.94200000000001</c:v>
                </c:pt>
                <c:pt idx="33">
                  <c:v>589.38</c:v>
                </c:pt>
              </c:numCache>
            </c:numRef>
          </c:val>
          <c:smooth val="0"/>
          <c:extLst>
            <c:ext xmlns:c16="http://schemas.microsoft.com/office/drawing/2014/chart" uri="{C3380CC4-5D6E-409C-BE32-E72D297353CC}">
              <c16:uniqueId val="{00000002-F9A8-487C-B2AA-ABB5399F2755}"/>
            </c:ext>
          </c:extLst>
        </c:ser>
        <c:ser>
          <c:idx val="3"/>
          <c:order val="3"/>
          <c:tx>
            <c:strRef>
              <c:f>'NG Transmission Storage'!$A$189</c:f>
              <c:strCache>
                <c:ptCount val="1"/>
                <c:pt idx="0">
                  <c:v>Station Venting (Transmission)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val>
            <c:numRef>
              <c:f>'NG Transmission Storage'!$C$189:$AJ$189</c:f>
              <c:numCache>
                <c:formatCode>#,##0.0</c:formatCode>
                <c:ptCount val="34"/>
                <c:pt idx="0">
                  <c:v>335.81735999999995</c:v>
                </c:pt>
                <c:pt idx="1">
                  <c:v>335.81736000000001</c:v>
                </c:pt>
                <c:pt idx="2">
                  <c:v>335.81736000000001</c:v>
                </c:pt>
                <c:pt idx="3">
                  <c:v>333.31467684483289</c:v>
                </c:pt>
                <c:pt idx="4">
                  <c:v>334.80420024469458</c:v>
                </c:pt>
                <c:pt idx="5">
                  <c:v>333.03441253626067</c:v>
                </c:pt>
                <c:pt idx="6">
                  <c:v>331.82554971619498</c:v>
                </c:pt>
                <c:pt idx="7">
                  <c:v>333.63468250659872</c:v>
                </c:pt>
                <c:pt idx="8">
                  <c:v>332.94603867651762</c:v>
                </c:pt>
                <c:pt idx="9">
                  <c:v>333.25622384220918</c:v>
                </c:pt>
                <c:pt idx="10">
                  <c:v>330.67720354559816</c:v>
                </c:pt>
                <c:pt idx="11">
                  <c:v>326.67633939186629</c:v>
                </c:pt>
                <c:pt idx="12">
                  <c:v>329.80072243548784</c:v>
                </c:pt>
                <c:pt idx="13">
                  <c:v>320.27423848818268</c:v>
                </c:pt>
                <c:pt idx="14">
                  <c:v>323.69716319367478</c:v>
                </c:pt>
                <c:pt idx="15">
                  <c:v>330.97341765192232</c:v>
                </c:pt>
                <c:pt idx="16">
                  <c:v>313.24333354348562</c:v>
                </c:pt>
                <c:pt idx="17">
                  <c:v>331.83925348271981</c:v>
                </c:pt>
                <c:pt idx="18">
                  <c:v>321.78383696555085</c:v>
                </c:pt>
                <c:pt idx="19">
                  <c:v>328.37304758296938</c:v>
                </c:pt>
                <c:pt idx="20">
                  <c:v>328.23831725561655</c:v>
                </c:pt>
                <c:pt idx="21">
                  <c:v>330.23351460349318</c:v>
                </c:pt>
                <c:pt idx="22">
                  <c:v>410.73780221479149</c:v>
                </c:pt>
                <c:pt idx="23">
                  <c:v>409.94292245839847</c:v>
                </c:pt>
                <c:pt idx="24">
                  <c:v>410.71278014639461</c:v>
                </c:pt>
                <c:pt idx="25">
                  <c:v>375.50550014488704</c:v>
                </c:pt>
                <c:pt idx="26">
                  <c:v>262.77440648739969</c:v>
                </c:pt>
                <c:pt idx="27">
                  <c:v>226.71836407956363</c:v>
                </c:pt>
                <c:pt idx="28">
                  <c:v>249.08342541881092</c:v>
                </c:pt>
                <c:pt idx="29">
                  <c:v>205.99604602183314</c:v>
                </c:pt>
                <c:pt idx="30">
                  <c:v>201.10143269674148</c:v>
                </c:pt>
                <c:pt idx="31">
                  <c:v>289.50034575294177</c:v>
                </c:pt>
                <c:pt idx="32">
                  <c:v>349.13549012199428</c:v>
                </c:pt>
                <c:pt idx="33">
                  <c:v>321.80796446085446</c:v>
                </c:pt>
              </c:numCache>
            </c:numRef>
          </c:val>
          <c:smooth val="0"/>
          <c:extLst>
            <c:ext xmlns:c16="http://schemas.microsoft.com/office/drawing/2014/chart" uri="{C3380CC4-5D6E-409C-BE32-E72D297353CC}">
              <c16:uniqueId val="{00000003-F9A8-487C-B2AA-ABB5399F2755}"/>
            </c:ext>
          </c:extLst>
        </c:ser>
        <c:ser>
          <c:idx val="17"/>
          <c:order val="4"/>
          <c:tx>
            <c:strRef>
              <c:f>'NG Transmission Storage'!$A$177</c:f>
              <c:strCache>
                <c:ptCount val="1"/>
                <c:pt idx="0">
                  <c:v>Pipeline venting (Routine Maintenance/Upsets)</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Ref>
              <c:f>'NG Transmission Storage'!$C$175:$AK$175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'NG Transmission Storage'!$C$177:$AJ$177</c:f>
              <c:numCache>
                <c:formatCode>#,##0.0</c:formatCode>
                <c:ptCount val="34"/>
                <c:pt idx="0">
                  <c:v>563.86057500000004</c:v>
                </c:pt>
                <c:pt idx="1">
                  <c:v>569.52965969999991</c:v>
                </c:pt>
                <c:pt idx="2">
                  <c:v>569.83444920000011</c:v>
                </c:pt>
                <c:pt idx="3">
                  <c:v>573.24809159999995</c:v>
                </c:pt>
                <c:pt idx="4">
                  <c:v>575.01587069999994</c:v>
                </c:pt>
                <c:pt idx="5">
                  <c:v>575.62544969999988</c:v>
                </c:pt>
                <c:pt idx="6">
                  <c:v>589.70672459999992</c:v>
                </c:pt>
                <c:pt idx="7">
                  <c:v>589.15810350000004</c:v>
                </c:pt>
                <c:pt idx="8">
                  <c:v>594.33952499999998</c:v>
                </c:pt>
                <c:pt idx="9">
                  <c:v>604.0556758305994</c:v>
                </c:pt>
                <c:pt idx="10">
                  <c:v>607.10357083059944</c:v>
                </c:pt>
                <c:pt idx="11">
                  <c:v>633.96215999999993</c:v>
                </c:pt>
                <c:pt idx="12">
                  <c:v>642.57551127000022</c:v>
                </c:pt>
                <c:pt idx="13">
                  <c:v>640.84064943599992</c:v>
                </c:pt>
                <c:pt idx="14">
                  <c:v>668.09858399999996</c:v>
                </c:pt>
                <c:pt idx="15">
                  <c:v>670.69539053999995</c:v>
                </c:pt>
                <c:pt idx="16">
                  <c:v>666.72093545999985</c:v>
                </c:pt>
                <c:pt idx="17">
                  <c:v>676.91919212999983</c:v>
                </c:pt>
                <c:pt idx="18">
                  <c:v>676.4741994599998</c:v>
                </c:pt>
                <c:pt idx="19">
                  <c:v>678.62601332999998</c:v>
                </c:pt>
                <c:pt idx="20">
                  <c:v>653.16389849999996</c:v>
                </c:pt>
                <c:pt idx="21">
                  <c:v>685.87390764000008</c:v>
                </c:pt>
                <c:pt idx="22">
                  <c:v>685.88000342999987</c:v>
                </c:pt>
                <c:pt idx="23">
                  <c:v>688.4097562799999</c:v>
                </c:pt>
                <c:pt idx="24">
                  <c:v>688.42560533400001</c:v>
                </c:pt>
                <c:pt idx="25">
                  <c:v>689.06200580999985</c:v>
                </c:pt>
                <c:pt idx="26">
                  <c:v>363.31148510014651</c:v>
                </c:pt>
                <c:pt idx="27">
                  <c:v>132.93572899449819</c:v>
                </c:pt>
                <c:pt idx="28">
                  <c:v>52.285010639321079</c:v>
                </c:pt>
                <c:pt idx="29">
                  <c:v>199.19089016146484</c:v>
                </c:pt>
                <c:pt idx="30">
                  <c:v>113.40716475714406</c:v>
                </c:pt>
                <c:pt idx="31">
                  <c:v>115.62145172795398</c:v>
                </c:pt>
                <c:pt idx="32">
                  <c:v>254.81875734746572</c:v>
                </c:pt>
                <c:pt idx="33">
                  <c:v>331.08060005346476</c:v>
                </c:pt>
              </c:numCache>
            </c:numRef>
          </c:val>
          <c:smooth val="0"/>
          <c:extLst>
            <c:ext xmlns:c16="http://schemas.microsoft.com/office/drawing/2014/chart" uri="{C3380CC4-5D6E-409C-BE32-E72D297353CC}">
              <c16:uniqueId val="{00000004-F9A8-487C-B2AA-ABB5399F2755}"/>
            </c:ext>
          </c:extLst>
        </c:ser>
        <c:ser>
          <c:idx val="26"/>
          <c:order val="5"/>
          <c:tx>
            <c:strRef>
              <c:f>'NG Transmission Storage'!$A$219</c:f>
              <c:strCache>
                <c:ptCount val="1"/>
                <c:pt idx="0">
                  <c:v>LNG Import Terminal Blowdowns</c:v>
                </c:pt>
              </c:strCache>
            </c:strRef>
          </c:tx>
          <c:spPr>
            <a:ln w="28575" cap="rnd">
              <a:solidFill>
                <a:schemeClr val="accent3">
                  <a:lumMod val="60000"/>
                  <a:lumOff val="40000"/>
                </a:schemeClr>
              </a:solidFill>
              <a:round/>
            </a:ln>
            <a:effectLst/>
          </c:spPr>
          <c:marker>
            <c:symbol val="triangle"/>
            <c:size val="5"/>
            <c:spPr>
              <a:solidFill>
                <a:schemeClr val="accent3">
                  <a:lumMod val="75000"/>
                </a:schemeClr>
              </a:solidFill>
              <a:ln w="9525">
                <a:solidFill>
                  <a:schemeClr val="accent3">
                    <a:lumMod val="75000"/>
                  </a:schemeClr>
                </a:solidFill>
              </a:ln>
              <a:effectLst/>
            </c:spPr>
          </c:marker>
          <c:cat>
            <c:strRef>
              <c:f>'NG Transmission Storage'!$C$175:$AK$175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'NG Transmission Storage'!$C$219:$AI$219</c:f>
              <c:numCache>
                <c:formatCode>#,##0.0</c:formatCode>
                <c:ptCount val="33"/>
                <c:pt idx="0">
                  <c:v>1229.556</c:v>
                </c:pt>
                <c:pt idx="1">
                  <c:v>1418.6699999999998</c:v>
                </c:pt>
                <c:pt idx="2">
                  <c:v>1418.6699999999998</c:v>
                </c:pt>
                <c:pt idx="3">
                  <c:v>1418.6699999999998</c:v>
                </c:pt>
                <c:pt idx="4">
                  <c:v>1418.6699999999998</c:v>
                </c:pt>
                <c:pt idx="5">
                  <c:v>1418.6699999999998</c:v>
                </c:pt>
                <c:pt idx="6">
                  <c:v>1418.6699999999998</c:v>
                </c:pt>
                <c:pt idx="7">
                  <c:v>1418.6699999999998</c:v>
                </c:pt>
                <c:pt idx="8">
                  <c:v>1418.6699999999998</c:v>
                </c:pt>
                <c:pt idx="9">
                  <c:v>1418.6699999999998</c:v>
                </c:pt>
                <c:pt idx="10">
                  <c:v>1418.6699999999998</c:v>
                </c:pt>
                <c:pt idx="11">
                  <c:v>1418.6699999999998</c:v>
                </c:pt>
                <c:pt idx="12">
                  <c:v>1418.6699999999998</c:v>
                </c:pt>
                <c:pt idx="13">
                  <c:v>1418.6699999999998</c:v>
                </c:pt>
                <c:pt idx="14">
                  <c:v>1418.6699999999998</c:v>
                </c:pt>
                <c:pt idx="15">
                  <c:v>1418.6699999999998</c:v>
                </c:pt>
                <c:pt idx="16">
                  <c:v>1418.6699999999998</c:v>
                </c:pt>
                <c:pt idx="17">
                  <c:v>1418.6699999999998</c:v>
                </c:pt>
                <c:pt idx="18">
                  <c:v>2837.3399999999997</c:v>
                </c:pt>
                <c:pt idx="19">
                  <c:v>2837.3399999999997</c:v>
                </c:pt>
                <c:pt idx="20">
                  <c:v>4256.0099999999993</c:v>
                </c:pt>
                <c:pt idx="21">
                  <c:v>11.152000000000001</c:v>
                </c:pt>
                <c:pt idx="22">
                  <c:v>7.3244000000000007</c:v>
                </c:pt>
                <c:pt idx="23">
                  <c:v>10.0596</c:v>
                </c:pt>
                <c:pt idx="24">
                  <c:v>9.2959999999999994</c:v>
                </c:pt>
                <c:pt idx="25">
                  <c:v>1427.9499999999998</c:v>
                </c:pt>
                <c:pt idx="26">
                  <c:v>1426.1399999999999</c:v>
                </c:pt>
                <c:pt idx="27">
                  <c:v>6.51</c:v>
                </c:pt>
                <c:pt idx="28">
                  <c:v>7.67</c:v>
                </c:pt>
                <c:pt idx="29">
                  <c:v>64.788333333333327</c:v>
                </c:pt>
                <c:pt idx="30">
                  <c:v>3.71</c:v>
                </c:pt>
                <c:pt idx="31">
                  <c:v>8.11</c:v>
                </c:pt>
                <c:pt idx="32">
                  <c:v>2.6635714285714287</c:v>
                </c:pt>
              </c:numCache>
            </c:numRef>
          </c:val>
          <c:smooth val="0"/>
          <c:extLst>
            <c:ext xmlns:c16="http://schemas.microsoft.com/office/drawing/2014/chart" uri="{C3380CC4-5D6E-409C-BE32-E72D297353CC}">
              <c16:uniqueId val="{00000005-F9A8-487C-B2AA-ABB5399F2755}"/>
            </c:ext>
          </c:extLst>
        </c:ser>
        <c:ser>
          <c:idx val="15"/>
          <c:order val="6"/>
          <c:tx>
            <c:strRef>
              <c:f>'NG Transmission Storage'!$A$200</c:f>
              <c:strCache>
                <c:ptCount val="1"/>
                <c:pt idx="0">
                  <c:v>Devices and Controllers</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Ref>
              <c:f>'NG Transmission Storage'!$C$175:$AK$175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'NG Transmission Storage'!$C$205:$AJ$205</c:f>
              <c:numCache>
                <c:formatCode>#,##0.0</c:formatCode>
                <c:ptCount val="34"/>
                <c:pt idx="0">
                  <c:v>424.85233392000004</c:v>
                </c:pt>
                <c:pt idx="1">
                  <c:v>424.85233392000004</c:v>
                </c:pt>
                <c:pt idx="2">
                  <c:v>424.85233392000009</c:v>
                </c:pt>
                <c:pt idx="3">
                  <c:v>408.97378852437049</c:v>
                </c:pt>
                <c:pt idx="4">
                  <c:v>393.09524312874089</c:v>
                </c:pt>
                <c:pt idx="5">
                  <c:v>377.21669773311129</c:v>
                </c:pt>
                <c:pt idx="6">
                  <c:v>361.3381523374818</c:v>
                </c:pt>
                <c:pt idx="7">
                  <c:v>345.45960694185231</c:v>
                </c:pt>
                <c:pt idx="8">
                  <c:v>329.58106154622266</c:v>
                </c:pt>
                <c:pt idx="9">
                  <c:v>313.70251615059317</c:v>
                </c:pt>
                <c:pt idx="10">
                  <c:v>297.82397075496363</c:v>
                </c:pt>
                <c:pt idx="11">
                  <c:v>281.94542535933402</c:v>
                </c:pt>
                <c:pt idx="12">
                  <c:v>266.06687996370448</c:v>
                </c:pt>
                <c:pt idx="13">
                  <c:v>250.18833456807491</c:v>
                </c:pt>
                <c:pt idx="14">
                  <c:v>234.30978917244536</c:v>
                </c:pt>
                <c:pt idx="15">
                  <c:v>218.43124377681582</c:v>
                </c:pt>
                <c:pt idx="16">
                  <c:v>202.55269838118625</c:v>
                </c:pt>
                <c:pt idx="17">
                  <c:v>186.67415298555667</c:v>
                </c:pt>
                <c:pt idx="18">
                  <c:v>170.79560758992713</c:v>
                </c:pt>
                <c:pt idx="19">
                  <c:v>154.91706219429756</c:v>
                </c:pt>
                <c:pt idx="20">
                  <c:v>139.03851679866801</c:v>
                </c:pt>
                <c:pt idx="21">
                  <c:v>68.167789763873913</c:v>
                </c:pt>
                <c:pt idx="22">
                  <c:v>74.020341233267459</c:v>
                </c:pt>
                <c:pt idx="23">
                  <c:v>72.30166818135919</c:v>
                </c:pt>
                <c:pt idx="24">
                  <c:v>68.605325268817296</c:v>
                </c:pt>
                <c:pt idx="25">
                  <c:v>67.605218827415399</c:v>
                </c:pt>
                <c:pt idx="26">
                  <c:v>68.867234743875343</c:v>
                </c:pt>
                <c:pt idx="27">
                  <c:v>66.527242652836748</c:v>
                </c:pt>
                <c:pt idx="28">
                  <c:v>67.532759286606847</c:v>
                </c:pt>
                <c:pt idx="29">
                  <c:v>68.147901108908755</c:v>
                </c:pt>
                <c:pt idx="30">
                  <c:v>67.59998233215552</c:v>
                </c:pt>
                <c:pt idx="31">
                  <c:v>67.669004998196684</c:v>
                </c:pt>
                <c:pt idx="32">
                  <c:v>70.233286472012026</c:v>
                </c:pt>
                <c:pt idx="33">
                  <c:v>69.728437829294165</c:v>
                </c:pt>
              </c:numCache>
            </c:numRef>
          </c:val>
          <c:smooth val="0"/>
          <c:extLst>
            <c:ext xmlns:c16="http://schemas.microsoft.com/office/drawing/2014/chart" uri="{C3380CC4-5D6E-409C-BE32-E72D297353CC}">
              <c16:uniqueId val="{00000006-F9A8-487C-B2AA-ABB5399F2755}"/>
            </c:ext>
          </c:extLst>
        </c:ser>
        <c:ser>
          <c:idx val="0"/>
          <c:order val="7"/>
          <c:tx>
            <c:strRef>
              <c:f>'NG Transmission Storage'!$A$218</c:f>
              <c:strCache>
                <c:ptCount val="1"/>
                <c:pt idx="0">
                  <c:v>LNG Import Terminals (eq. leaks, compressors, flares)</c:v>
                </c:pt>
              </c:strCache>
            </c:strRef>
          </c:tx>
          <c:spPr>
            <a:ln w="28575" cap="rnd">
              <a:solidFill>
                <a:schemeClr val="accent6">
                  <a:lumMod val="40000"/>
                  <a:lumOff val="60000"/>
                </a:schemeClr>
              </a:solidFill>
              <a:round/>
            </a:ln>
            <a:effectLst/>
          </c:spPr>
          <c:marker>
            <c:symbol val="square"/>
            <c:size val="5"/>
            <c:spPr>
              <a:solidFill>
                <a:schemeClr val="accent6">
                  <a:lumMod val="40000"/>
                  <a:lumOff val="60000"/>
                </a:schemeClr>
              </a:solidFill>
              <a:ln w="9525">
                <a:solidFill>
                  <a:schemeClr val="accent1"/>
                </a:solidFill>
              </a:ln>
              <a:effectLst/>
            </c:spPr>
          </c:marker>
          <c:cat>
            <c:strRef>
              <c:f>'NG Transmission Storage'!$C$175:$AK$175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'NG Transmission Storage'!$C$218:$AJ$218</c:f>
              <c:numCache>
                <c:formatCode>#,##0.0</c:formatCode>
                <c:ptCount val="34"/>
                <c:pt idx="0">
                  <c:v>57.731333333333332</c:v>
                </c:pt>
                <c:pt idx="1">
                  <c:v>66.609230769230777</c:v>
                </c:pt>
                <c:pt idx="2">
                  <c:v>66.609230769230777</c:v>
                </c:pt>
                <c:pt idx="3">
                  <c:v>66.609230769230777</c:v>
                </c:pt>
                <c:pt idx="4">
                  <c:v>66.609230769230777</c:v>
                </c:pt>
                <c:pt idx="5">
                  <c:v>66.609230769230777</c:v>
                </c:pt>
                <c:pt idx="6">
                  <c:v>66.609230769230777</c:v>
                </c:pt>
                <c:pt idx="7">
                  <c:v>66.609230769230777</c:v>
                </c:pt>
                <c:pt idx="8">
                  <c:v>66.609230769230777</c:v>
                </c:pt>
                <c:pt idx="9">
                  <c:v>66.609230769230777</c:v>
                </c:pt>
                <c:pt idx="10">
                  <c:v>66.609230769230777</c:v>
                </c:pt>
                <c:pt idx="11">
                  <c:v>66.609230769230763</c:v>
                </c:pt>
                <c:pt idx="12">
                  <c:v>66.609230769230763</c:v>
                </c:pt>
                <c:pt idx="13">
                  <c:v>66.609230769230777</c:v>
                </c:pt>
                <c:pt idx="14">
                  <c:v>66.609230769230777</c:v>
                </c:pt>
                <c:pt idx="15">
                  <c:v>66.609230769230777</c:v>
                </c:pt>
                <c:pt idx="16">
                  <c:v>66.609230769230777</c:v>
                </c:pt>
                <c:pt idx="17">
                  <c:v>66.609230769230777</c:v>
                </c:pt>
                <c:pt idx="18">
                  <c:v>133.21846153846155</c:v>
                </c:pt>
                <c:pt idx="19">
                  <c:v>133.21846153846155</c:v>
                </c:pt>
                <c:pt idx="20">
                  <c:v>199.82769230769233</c:v>
                </c:pt>
                <c:pt idx="21">
                  <c:v>66.609230769230777</c:v>
                </c:pt>
                <c:pt idx="22">
                  <c:v>66.609230769230777</c:v>
                </c:pt>
                <c:pt idx="23">
                  <c:v>66.609230769230777</c:v>
                </c:pt>
                <c:pt idx="24">
                  <c:v>4.16</c:v>
                </c:pt>
                <c:pt idx="25">
                  <c:v>70.02083076923077</c:v>
                </c:pt>
                <c:pt idx="26">
                  <c:v>82.169230769230779</c:v>
                </c:pt>
                <c:pt idx="27">
                  <c:v>8.36</c:v>
                </c:pt>
                <c:pt idx="28">
                  <c:v>10.58</c:v>
                </c:pt>
                <c:pt idx="29">
                  <c:v>39.605833333333329</c:v>
                </c:pt>
                <c:pt idx="30">
                  <c:v>8.8199999999999985</c:v>
                </c:pt>
                <c:pt idx="31">
                  <c:v>7.34</c:v>
                </c:pt>
                <c:pt idx="32">
                  <c:v>26.646714285714296</c:v>
                </c:pt>
                <c:pt idx="33">
                  <c:v>4.96</c:v>
                </c:pt>
              </c:numCache>
            </c:numRef>
          </c:val>
          <c:smooth val="0"/>
          <c:extLst>
            <c:ext xmlns:c16="http://schemas.microsoft.com/office/drawing/2014/chart" uri="{C3380CC4-5D6E-409C-BE32-E72D297353CC}">
              <c16:uniqueId val="{00000007-F9A8-487C-B2AA-ABB5399F2755}"/>
            </c:ext>
          </c:extLst>
        </c:ser>
        <c:ser>
          <c:idx val="2"/>
          <c:order val="8"/>
          <c:tx>
            <c:strRef>
              <c:f>'NG Transmission Storage'!$A$175</c:f>
              <c:strCache>
                <c:ptCount val="1"/>
                <c:pt idx="0">
                  <c:v>Pipeline and Pipeline Venting</c:v>
                </c:pt>
              </c:strCache>
            </c:strRef>
          </c:tx>
          <c:spPr>
            <a:ln w="28575" cap="rnd">
              <a:solidFill>
                <a:schemeClr val="tx2">
                  <a:lumMod val="75000"/>
                </a:schemeClr>
              </a:solidFill>
              <a:round/>
            </a:ln>
            <a:effectLst/>
          </c:spPr>
          <c:marker>
            <c:symbol val="circle"/>
            <c:size val="5"/>
            <c:spPr>
              <a:solidFill>
                <a:schemeClr val="tx2">
                  <a:lumMod val="75000"/>
                </a:schemeClr>
              </a:solidFill>
              <a:ln w="9525">
                <a:solidFill>
                  <a:schemeClr val="accent3"/>
                </a:solidFill>
              </a:ln>
              <a:effectLst/>
            </c:spPr>
          </c:marker>
          <c:cat>
            <c:strRef>
              <c:f>'NG Transmission Storage'!$C$175:$AK$175</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'NG Transmission Storage'!$C$176:$AJ$176</c:f>
              <c:numCache>
                <c:formatCode>#,##0.0</c:formatCode>
                <c:ptCount val="34"/>
                <c:pt idx="0">
                  <c:v>10.104725790885766</c:v>
                </c:pt>
                <c:pt idx="1">
                  <c:v>10.206319250188725</c:v>
                </c:pt>
                <c:pt idx="2">
                  <c:v>10.211781264129744</c:v>
                </c:pt>
                <c:pt idx="3">
                  <c:v>10.272955820269161</c:v>
                </c:pt>
                <c:pt idx="4">
                  <c:v>10.304635501127073</c:v>
                </c:pt>
                <c:pt idx="5">
                  <c:v>10.315559529009111</c:v>
                </c:pt>
                <c:pt idx="6">
                  <c:v>10.567904573084206</c:v>
                </c:pt>
                <c:pt idx="7">
                  <c:v>10.55807294799037</c:v>
                </c:pt>
                <c:pt idx="8">
                  <c:v>10.650927184987699</c:v>
                </c:pt>
                <c:pt idx="9">
                  <c:v>10.825046540443779</c:v>
                </c:pt>
                <c:pt idx="10">
                  <c:v>10.879666679853971</c:v>
                </c:pt>
                <c:pt idx="11">
                  <c:v>11.360988997320213</c:v>
                </c:pt>
                <c:pt idx="12">
                  <c:v>11.51534551129342</c:v>
                </c:pt>
                <c:pt idx="13">
                  <c:v>11.484255727941138</c:v>
                </c:pt>
                <c:pt idx="14">
                  <c:v>11.972734558714377</c:v>
                </c:pt>
                <c:pt idx="15">
                  <c:v>12.019270917491861</c:v>
                </c:pt>
                <c:pt idx="16">
                  <c:v>11.948046255700969</c:v>
                </c:pt>
                <c:pt idx="17">
                  <c:v>12.130805242167476</c:v>
                </c:pt>
                <c:pt idx="18">
                  <c:v>12.122830701813585</c:v>
                </c:pt>
                <c:pt idx="19">
                  <c:v>12.161392520237186</c:v>
                </c:pt>
                <c:pt idx="20">
                  <c:v>11.70509587560443</c:v>
                </c:pt>
                <c:pt idx="21">
                  <c:v>12.291279211754627</c:v>
                </c:pt>
                <c:pt idx="22">
                  <c:v>12.291388452033443</c:v>
                </c:pt>
                <c:pt idx="23">
                  <c:v>12.336723167743905</c:v>
                </c:pt>
                <c:pt idx="24">
                  <c:v>12.337007192468839</c:v>
                </c:pt>
                <c:pt idx="25">
                  <c:v>12.348411877577686</c:v>
                </c:pt>
                <c:pt idx="26">
                  <c:v>12.399208607229165</c:v>
                </c:pt>
                <c:pt idx="27">
                  <c:v>12.375601782976078</c:v>
                </c:pt>
                <c:pt idx="28">
                  <c:v>12.383248602493506</c:v>
                </c:pt>
                <c:pt idx="29">
                  <c:v>12.320326201892966</c:v>
                </c:pt>
                <c:pt idx="30">
                  <c:v>12.347745511876882</c:v>
                </c:pt>
                <c:pt idx="31">
                  <c:v>12.353426006375544</c:v>
                </c:pt>
                <c:pt idx="32">
                  <c:v>12.324488256516023</c:v>
                </c:pt>
                <c:pt idx="33">
                  <c:v>12.311379423057614</c:v>
                </c:pt>
              </c:numCache>
            </c:numRef>
          </c:val>
          <c:smooth val="0"/>
          <c:extLst>
            <c:ext xmlns:c16="http://schemas.microsoft.com/office/drawing/2014/chart" uri="{C3380CC4-5D6E-409C-BE32-E72D297353CC}">
              <c16:uniqueId val="{00000008-F9A8-487C-B2AA-ABB5399F2755}"/>
            </c:ext>
          </c:extLst>
        </c:ser>
        <c:dLbls>
          <c:showLegendKey val="0"/>
          <c:showVal val="0"/>
          <c:showCatName val="0"/>
          <c:showSerName val="0"/>
          <c:showPercent val="0"/>
          <c:showBubbleSize val="0"/>
        </c:dLbls>
        <c:marker val="1"/>
        <c:smooth val="0"/>
        <c:axId val="523899920"/>
        <c:axId val="523898120"/>
      </c:lineChart>
      <c:catAx>
        <c:axId val="523899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523898120"/>
        <c:crosses val="autoZero"/>
        <c:auto val="1"/>
        <c:lblAlgn val="ctr"/>
        <c:lblOffset val="100"/>
        <c:noMultiLvlLbl val="0"/>
      </c:catAx>
      <c:valAx>
        <c:axId val="523898120"/>
        <c:scaling>
          <c:orientation val="minMax"/>
          <c:max val="45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523899920"/>
        <c:crosses val="autoZero"/>
        <c:crossBetween val="between"/>
      </c:valAx>
      <c:spPr>
        <a:noFill/>
        <a:ln>
          <a:noFill/>
        </a:ln>
        <a:effectLst/>
      </c:spPr>
    </c:plotArea>
    <c:legend>
      <c:legendPos val="r"/>
      <c:layout>
        <c:manualLayout>
          <c:xMode val="edge"/>
          <c:yMode val="edge"/>
          <c:x val="0.64146159767547406"/>
          <c:y val="1.334239182494479E-2"/>
          <c:w val="0.33196032516343643"/>
          <c:h val="0.98665760817505521"/>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solidFill>
                <a:latin typeface="Aptos" panose="020B0004020202020204" pitchFamily="34" charset="0"/>
                <a:ea typeface="+mn-ea"/>
                <a:cs typeface="+mn-cs"/>
              </a:defRPr>
            </a:pPr>
            <a:r>
              <a:rPr lang="en-US" b="0">
                <a:solidFill>
                  <a:schemeClr val="tx1"/>
                </a:solidFill>
              </a:rPr>
              <a:t>Massachusetts GHG Emissions</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0.17103303365745021"/>
          <c:y val="0.17151445086705203"/>
          <c:w val="0.79839017690544067"/>
          <c:h val="0.68766137180829279"/>
        </c:manualLayout>
      </c:layout>
      <c:lineChart>
        <c:grouping val="standard"/>
        <c:varyColors val="0"/>
        <c:ser>
          <c:idx val="8"/>
          <c:order val="0"/>
          <c:tx>
            <c:strRef>
              <c:f>Summary!$A$57</c:f>
              <c:strCache>
                <c:ptCount val="1"/>
                <c:pt idx="0">
                  <c:v>Gross Emissions</c:v>
                </c:pt>
              </c:strCache>
            </c:strRef>
          </c:tx>
          <c:spPr>
            <a:ln w="28575" cap="rnd">
              <a:solidFill>
                <a:schemeClr val="tx1"/>
              </a:solidFill>
              <a:round/>
            </a:ln>
            <a:effectLst/>
          </c:spPr>
          <c:marker>
            <c:symbol val="square"/>
            <c:size val="7"/>
            <c:spPr>
              <a:solidFill>
                <a:schemeClr val="tx1"/>
              </a:solidFill>
              <a:ln w="9525">
                <a:solidFill>
                  <a:schemeClr val="tx1"/>
                </a:solidFill>
              </a:ln>
              <a:effectLst/>
            </c:spPr>
          </c:marker>
          <c:dLbls>
            <c:dLbl>
              <c:idx val="0"/>
              <c:layout>
                <c:manualLayout>
                  <c:x val="-2.5211267605633803E-2"/>
                  <c:y val="-7.1275720164609049E-2"/>
                </c:manualLayout>
              </c:layout>
              <c:tx>
                <c:rich>
                  <a:bodyPr/>
                  <a:lstStyle/>
                  <a:p>
                    <a:r>
                      <a:rPr lang="en-US"/>
                      <a:t>1990</a:t>
                    </a:r>
                    <a:br>
                      <a:rPr lang="en-US"/>
                    </a:br>
                    <a:fld id="{03860B12-201E-477F-8507-1F00810D508D}" type="VALUE">
                      <a:rPr lang="en-US"/>
                      <a:pPr/>
                      <a:t>[VALUE]</a:t>
                    </a:fld>
                    <a:endParaRPr 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8BA2-4AA1-8064-010F9F65628E}"/>
                </c:ext>
              </c:extLst>
            </c:dLbl>
            <c:dLbl>
              <c:idx val="33"/>
              <c:layout>
                <c:manualLayout>
                  <c:x val="-1.7387357830271215E-2"/>
                  <c:y val="-0.1411690726159231"/>
                </c:manualLayout>
              </c:layout>
              <c:tx>
                <c:rich>
                  <a:bodyPr/>
                  <a:lstStyle/>
                  <a:p>
                    <a:r>
                      <a:rPr lang="en-US"/>
                      <a:t>2023</a:t>
                    </a:r>
                    <a:br>
                      <a:rPr lang="en-US"/>
                    </a:br>
                    <a:fld id="{6FA21B55-1538-4A9C-AF74-64964982841E}" type="VALUE">
                      <a:rPr lang="en-US"/>
                      <a:pPr/>
                      <a:t>[VALUE]</a:t>
                    </a:fld>
                    <a:endParaRPr 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8BA2-4AA1-8064-010F9F65628E}"/>
                </c:ext>
              </c:extLst>
            </c:dLbl>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Aptos" panose="020B0004020202020204" pitchFamily="34"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Summary!$B$48:$AI$48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Summary!$B$57:$AI$57</c:f>
              <c:numCache>
                <c:formatCode>0.0</c:formatCode>
                <c:ptCount val="34"/>
                <c:pt idx="0">
                  <c:v>93.005061114385569</c:v>
                </c:pt>
                <c:pt idx="1">
                  <c:v>90.714089358778821</c:v>
                </c:pt>
                <c:pt idx="2">
                  <c:v>92.602546113848888</c:v>
                </c:pt>
                <c:pt idx="3">
                  <c:v>90.420097845114341</c:v>
                </c:pt>
                <c:pt idx="4">
                  <c:v>90.666381568545191</c:v>
                </c:pt>
                <c:pt idx="5">
                  <c:v>88.603886218145689</c:v>
                </c:pt>
                <c:pt idx="6">
                  <c:v>88.881216335157106</c:v>
                </c:pt>
                <c:pt idx="7">
                  <c:v>93.298655933508726</c:v>
                </c:pt>
                <c:pt idx="8">
                  <c:v>91.50975488981544</c:v>
                </c:pt>
                <c:pt idx="9">
                  <c:v>90.442489289254084</c:v>
                </c:pt>
                <c:pt idx="10">
                  <c:v>92.339554357634611</c:v>
                </c:pt>
                <c:pt idx="11">
                  <c:v>91.380645321737447</c:v>
                </c:pt>
                <c:pt idx="12">
                  <c:v>93.485621259719736</c:v>
                </c:pt>
                <c:pt idx="13">
                  <c:v>95.54353177401525</c:v>
                </c:pt>
                <c:pt idx="14">
                  <c:v>93.310164472412225</c:v>
                </c:pt>
                <c:pt idx="15">
                  <c:v>94.969260995679363</c:v>
                </c:pt>
                <c:pt idx="16">
                  <c:v>86.292458478025253</c:v>
                </c:pt>
                <c:pt idx="17">
                  <c:v>89.119520543464205</c:v>
                </c:pt>
                <c:pt idx="18">
                  <c:v>86.358552421357089</c:v>
                </c:pt>
                <c:pt idx="19">
                  <c:v>81.216784267345631</c:v>
                </c:pt>
                <c:pt idx="20">
                  <c:v>82.257391342506338</c:v>
                </c:pt>
                <c:pt idx="21">
                  <c:v>76.809556672178559</c:v>
                </c:pt>
                <c:pt idx="22">
                  <c:v>70.626762991257095</c:v>
                </c:pt>
                <c:pt idx="23">
                  <c:v>75.278993392001837</c:v>
                </c:pt>
                <c:pt idx="24">
                  <c:v>73.832334119273042</c:v>
                </c:pt>
                <c:pt idx="25">
                  <c:v>75.000439601401951</c:v>
                </c:pt>
                <c:pt idx="26">
                  <c:v>71.328185981528421</c:v>
                </c:pt>
                <c:pt idx="27">
                  <c:v>70.47618538790212</c:v>
                </c:pt>
                <c:pt idx="28">
                  <c:v>71.631287152283775</c:v>
                </c:pt>
                <c:pt idx="29">
                  <c:v>70.389528830556515</c:v>
                </c:pt>
                <c:pt idx="30">
                  <c:v>64.151992533382881</c:v>
                </c:pt>
                <c:pt idx="31">
                  <c:v>67.09707815821298</c:v>
                </c:pt>
                <c:pt idx="32">
                  <c:v>68.022327133326556</c:v>
                </c:pt>
                <c:pt idx="33">
                  <c:v>65.139812960804832</c:v>
                </c:pt>
              </c:numCache>
            </c:numRef>
          </c:val>
          <c:smooth val="0"/>
          <c:extLst>
            <c:ext xmlns:c16="http://schemas.microsoft.com/office/drawing/2014/chart" uri="{C3380CC4-5D6E-409C-BE32-E72D297353CC}">
              <c16:uniqueId val="{00000000-8BA2-4AA1-8064-010F9F65628E}"/>
            </c:ext>
          </c:extLst>
        </c:ser>
        <c:dLbls>
          <c:showLegendKey val="0"/>
          <c:showVal val="0"/>
          <c:showCatName val="0"/>
          <c:showSerName val="0"/>
          <c:showPercent val="0"/>
          <c:showBubbleSize val="0"/>
        </c:dLbls>
        <c:marker val="1"/>
        <c:smooth val="0"/>
        <c:axId val="1798550735"/>
        <c:axId val="1798551215"/>
      </c:lineChart>
      <c:catAx>
        <c:axId val="179855073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200" b="0" i="0" u="none" strike="noStrike" kern="1200" baseline="0">
                <a:solidFill>
                  <a:schemeClr val="tx1"/>
                </a:solidFill>
                <a:latin typeface="Aptos" panose="020B0004020202020204" pitchFamily="34" charset="0"/>
                <a:ea typeface="+mn-ea"/>
                <a:cs typeface="+mn-cs"/>
              </a:defRPr>
            </a:pPr>
            <a:endParaRPr lang="en-US"/>
          </a:p>
        </c:txPr>
        <c:crossAx val="1798551215"/>
        <c:crosses val="autoZero"/>
        <c:auto val="1"/>
        <c:lblAlgn val="ctr"/>
        <c:lblOffset val="100"/>
        <c:tickLblSkip val="5"/>
        <c:noMultiLvlLbl val="0"/>
      </c:catAx>
      <c:valAx>
        <c:axId val="1798551215"/>
        <c:scaling>
          <c:orientation val="minMax"/>
          <c:max val="100"/>
          <c:min val="6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Aptos" panose="020B0004020202020204" pitchFamily="34" charset="0"/>
                    <a:ea typeface="+mn-ea"/>
                    <a:cs typeface="+mn-cs"/>
                  </a:defRPr>
                </a:pPr>
                <a:r>
                  <a:rPr lang="en-US">
                    <a:solidFill>
                      <a:schemeClr val="tx1"/>
                    </a:solidFill>
                  </a:rPr>
                  <a:t>Million metric tons of CO2e</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Aptos" panose="020B00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Aptos" panose="020B0004020202020204" pitchFamily="34" charset="0"/>
                <a:ea typeface="+mn-ea"/>
                <a:cs typeface="+mn-cs"/>
              </a:defRPr>
            </a:pPr>
            <a:endParaRPr lang="en-US"/>
          </a:p>
        </c:txPr>
        <c:crossAx val="1798550735"/>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200">
          <a:latin typeface="Aptos" panose="020B0004020202020204" pitchFamily="34" charset="0"/>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latin typeface="Aptos" panose="020B0004020202020204" pitchFamily="34" charset="0"/>
              </a:defRPr>
            </a:pPr>
            <a:r>
              <a:rPr lang="en-US" sz="1600" b="1">
                <a:latin typeface="Aptos" panose="020B0004020202020204" pitchFamily="34" charset="0"/>
              </a:rPr>
              <a:t>CO2 Emissions</a:t>
            </a:r>
          </a:p>
        </c:rich>
      </c:tx>
      <c:layout>
        <c:manualLayout>
          <c:xMode val="edge"/>
          <c:yMode val="edge"/>
          <c:x val="0.78339690871974332"/>
          <c:y val="4.7964820532517868E-2"/>
        </c:manualLayout>
      </c:layout>
      <c:overlay val="0"/>
    </c:title>
    <c:autoTitleDeleted val="0"/>
    <c:plotArea>
      <c:layout>
        <c:manualLayout>
          <c:layoutTarget val="inner"/>
          <c:xMode val="edge"/>
          <c:yMode val="edge"/>
          <c:x val="0.12789322451980253"/>
          <c:y val="7.2134651086062651E-2"/>
          <c:w val="0.6082255321761304"/>
          <c:h val="0.7338709677419355"/>
        </c:manualLayout>
      </c:layout>
      <c:lineChart>
        <c:grouping val="standard"/>
        <c:varyColors val="0"/>
        <c:ser>
          <c:idx val="1"/>
          <c:order val="0"/>
          <c:tx>
            <c:strRef>
              <c:f>'Industrial Process'!$A$44</c:f>
              <c:strCache>
                <c:ptCount val="1"/>
                <c:pt idx="0">
                  <c:v>Lime Production</c:v>
                </c:pt>
              </c:strCache>
            </c:strRef>
          </c:tx>
          <c:spPr>
            <a:ln w="12700">
              <a:solidFill>
                <a:srgbClr val="000080"/>
              </a:solidFill>
              <a:prstDash val="solid"/>
            </a:ln>
          </c:spPr>
          <c:marker>
            <c:symbol val="diamond"/>
            <c:size val="5"/>
            <c:spPr>
              <a:solidFill>
                <a:srgbClr val="FF00FF"/>
              </a:solidFill>
              <a:ln>
                <a:solidFill>
                  <a:srgbClr val="FF00FF"/>
                </a:solidFill>
                <a:prstDash val="solid"/>
              </a:ln>
            </c:spPr>
          </c:marker>
          <c:cat>
            <c:strRef>
              <c:extLst>
                <c:ext xmlns:c15="http://schemas.microsoft.com/office/drawing/2012/chart" uri="{02D57815-91ED-43cb-92C2-25804820EDAC}">
                  <c15:fullRef>
                    <c15:sqref>'Industrial Process'!$B$39:$AI$39</c15:sqref>
                  </c15:fullRef>
                </c:ext>
              </c:extLst>
              <c:f>'Industrial Process'!$C$39:$AI$39</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'Industrial Process'!$B$44:$AI$44</c15:sqref>
                  </c15:fullRef>
                </c:ext>
              </c:extLst>
              <c:f>'Industrial Process'!$C$44:$AI$44</c:f>
              <c:numCache>
                <c:formatCode>_(* #,##0_);_(* \(#,##0\);_(* "-"??_);_(@_)</c:formatCode>
                <c:ptCount val="33"/>
                <c:pt idx="0">
                  <c:v>201265.7109353847</c:v>
                </c:pt>
                <c:pt idx="1">
                  <c:v>207783.06297122411</c:v>
                </c:pt>
                <c:pt idx="2">
                  <c:v>215335.23141504772</c:v>
                </c:pt>
                <c:pt idx="3">
                  <c:v>229403.2217941948</c:v>
                </c:pt>
                <c:pt idx="4">
                  <c:v>248061.46215153241</c:v>
                </c:pt>
                <c:pt idx="5">
                  <c:v>259171.42637931951</c:v>
                </c:pt>
                <c:pt idx="6">
                  <c:v>268517.07138673856</c:v>
                </c:pt>
                <c:pt idx="7">
                  <c:v>413664.03877111763</c:v>
                </c:pt>
                <c:pt idx="8">
                  <c:v>399378.89695209323</c:v>
                </c:pt>
                <c:pt idx="9">
                  <c:v>399201.89652564045</c:v>
                </c:pt>
                <c:pt idx="10">
                  <c:v>398643.6663706628</c:v>
                </c:pt>
                <c:pt idx="11">
                  <c:v>398210.28059220989</c:v>
                </c:pt>
                <c:pt idx="12">
                  <c:v>433559.833345333</c:v>
                </c:pt>
                <c:pt idx="13">
                  <c:v>314488.78511348699</c:v>
                </c:pt>
                <c:pt idx="14">
                  <c:v>302724.04805068596</c:v>
                </c:pt>
                <c:pt idx="15">
                  <c:v>327819.62800600938</c:v>
                </c:pt>
                <c:pt idx="16">
                  <c:v>324175.82119400363</c:v>
                </c:pt>
                <c:pt idx="17">
                  <c:v>315909.75783888745</c:v>
                </c:pt>
                <c:pt idx="18">
                  <c:v>274693.92435560969</c:v>
                </c:pt>
                <c:pt idx="19">
                  <c:v>81665.019282391702</c:v>
                </c:pt>
                <c:pt idx="20">
                  <c:v>78016.875865913782</c:v>
                </c:pt>
                <c:pt idx="21">
                  <c:v>61966.894863477515</c:v>
                </c:pt>
                <c:pt idx="22">
                  <c:v>55204.848699865164</c:v>
                </c:pt>
                <c:pt idx="23">
                  <c:v>47044.960682315512</c:v>
                </c:pt>
                <c:pt idx="24">
                  <c:v>54228.147840074918</c:v>
                </c:pt>
                <c:pt idx="25">
                  <c:v>61649.458373916867</c:v>
                </c:pt>
                <c:pt idx="26">
                  <c:v>68204.885388972325</c:v>
                </c:pt>
                <c:pt idx="27">
                  <c:v>82641.052379849833</c:v>
                </c:pt>
                <c:pt idx="28">
                  <c:v>57568.929793527874</c:v>
                </c:pt>
                <c:pt idx="29">
                  <c:v>62808.413285814408</c:v>
                </c:pt>
                <c:pt idx="30">
                  <c:v>56876.741058249914</c:v>
                </c:pt>
                <c:pt idx="31">
                  <c:v>63283.479530858138</c:v>
                </c:pt>
                <c:pt idx="32">
                  <c:v>30871.429582393102</c:v>
                </c:pt>
              </c:numCache>
            </c:numRef>
          </c:val>
          <c:smooth val="0"/>
          <c:extLst>
            <c:ext xmlns:c16="http://schemas.microsoft.com/office/drawing/2014/chart" uri="{C3380CC4-5D6E-409C-BE32-E72D297353CC}">
              <c16:uniqueId val="{00000000-3552-4514-AFD4-23950A2E0904}"/>
            </c:ext>
          </c:extLst>
        </c:ser>
        <c:ser>
          <c:idx val="4"/>
          <c:order val="1"/>
          <c:tx>
            <c:strRef>
              <c:f>'Industrial Process'!$A$42</c:f>
              <c:strCache>
                <c:ptCount val="1"/>
                <c:pt idx="0">
                  <c:v>Urea Consumption for Non-Agricultural Uses</c:v>
                </c:pt>
              </c:strCache>
            </c:strRef>
          </c:tx>
          <c:cat>
            <c:strRef>
              <c:extLst>
                <c:ext xmlns:c15="http://schemas.microsoft.com/office/drawing/2012/chart" uri="{02D57815-91ED-43cb-92C2-25804820EDAC}">
                  <c15:fullRef>
                    <c15:sqref>'Industrial Process'!$B$39:$AI$39</c15:sqref>
                  </c15:fullRef>
                </c:ext>
              </c:extLst>
              <c:f>'Industrial Process'!$C$39:$AI$39</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'Industrial Process'!$B$42:$AI$42</c15:sqref>
                  </c15:fullRef>
                </c:ext>
              </c:extLst>
              <c:f>'Industrial Process'!$C$42:$AI$42</c:f>
              <c:numCache>
                <c:formatCode>_(* #,##0_);_(* \(#,##0\);_(* "-"??_);_(@_)</c:formatCode>
                <c:ptCount val="33"/>
                <c:pt idx="0">
                  <c:v>82029.996387827705</c:v>
                </c:pt>
                <c:pt idx="1">
                  <c:v>89417.847648190465</c:v>
                </c:pt>
                <c:pt idx="2">
                  <c:v>104927.70098789291</c:v>
                </c:pt>
                <c:pt idx="3">
                  <c:v>97395.431973576531</c:v>
                </c:pt>
                <c:pt idx="4">
                  <c:v>96668.209825003927</c:v>
                </c:pt>
                <c:pt idx="5">
                  <c:v>87216.860044058601</c:v>
                </c:pt>
                <c:pt idx="6">
                  <c:v>88443.609254839321</c:v>
                </c:pt>
                <c:pt idx="7">
                  <c:v>108507.7820598075</c:v>
                </c:pt>
                <c:pt idx="8">
                  <c:v>103726.9476377497</c:v>
                </c:pt>
                <c:pt idx="9">
                  <c:v>93976.426987167477</c:v>
                </c:pt>
                <c:pt idx="10">
                  <c:v>90082.998232882019</c:v>
                </c:pt>
                <c:pt idx="11">
                  <c:v>81357.754381845385</c:v>
                </c:pt>
                <c:pt idx="12">
                  <c:v>77632.958728220299</c:v>
                </c:pt>
                <c:pt idx="13">
                  <c:v>79294.930934626711</c:v>
                </c:pt>
                <c:pt idx="14">
                  <c:v>78039.531137201877</c:v>
                </c:pt>
                <c:pt idx="15">
                  <c:v>74552.444239043863</c:v>
                </c:pt>
                <c:pt idx="16">
                  <c:v>104108.2888646176</c:v>
                </c:pt>
                <c:pt idx="17">
                  <c:v>85306.807443044876</c:v>
                </c:pt>
                <c:pt idx="18">
                  <c:v>71844.130828364709</c:v>
                </c:pt>
                <c:pt idx="19">
                  <c:v>99095.070645107364</c:v>
                </c:pt>
                <c:pt idx="20">
                  <c:v>106725.92436883111</c:v>
                </c:pt>
                <c:pt idx="21">
                  <c:v>101039.30875422299</c:v>
                </c:pt>
                <c:pt idx="22">
                  <c:v>95605.603697462677</c:v>
                </c:pt>
                <c:pt idx="23">
                  <c:v>37965.401284465683</c:v>
                </c:pt>
                <c:pt idx="24">
                  <c:v>96887.185225966081</c:v>
                </c:pt>
                <c:pt idx="25">
                  <c:v>110523.1597368934</c:v>
                </c:pt>
                <c:pt idx="26">
                  <c:v>108857.8237977621</c:v>
                </c:pt>
                <c:pt idx="27">
                  <c:v>128476.36836580539</c:v>
                </c:pt>
                <c:pt idx="28">
                  <c:v>129512.71234612791</c:v>
                </c:pt>
                <c:pt idx="29">
                  <c:v>123290.5694968148</c:v>
                </c:pt>
                <c:pt idx="30">
                  <c:v>140060.8192231064</c:v>
                </c:pt>
                <c:pt idx="31">
                  <c:v>113253.97221699941</c:v>
                </c:pt>
                <c:pt idx="32">
                  <c:v>112188.87658848161</c:v>
                </c:pt>
              </c:numCache>
            </c:numRef>
          </c:val>
          <c:smooth val="0"/>
          <c:extLst>
            <c:ext xmlns:c16="http://schemas.microsoft.com/office/drawing/2014/chart" uri="{C3380CC4-5D6E-409C-BE32-E72D297353CC}">
              <c16:uniqueId val="{00000001-3552-4514-AFD4-23950A2E0904}"/>
            </c:ext>
          </c:extLst>
        </c:ser>
        <c:ser>
          <c:idx val="5"/>
          <c:order val="2"/>
          <c:tx>
            <c:strRef>
              <c:f>'Industrial Process'!$A$46</c:f>
              <c:strCache>
                <c:ptCount val="1"/>
                <c:pt idx="0">
                  <c:v>Non-EOR Carbon Dioxide Utilization**</c:v>
                </c:pt>
              </c:strCache>
            </c:strRef>
          </c:tx>
          <c:cat>
            <c:strRef>
              <c:extLst>
                <c:ext xmlns:c15="http://schemas.microsoft.com/office/drawing/2012/chart" uri="{02D57815-91ED-43cb-92C2-25804820EDAC}">
                  <c15:fullRef>
                    <c15:sqref>'Industrial Process'!$B$39:$AI$39</c15:sqref>
                  </c15:fullRef>
                </c:ext>
              </c:extLst>
              <c:f>'Industrial Process'!$C$39:$AI$39</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'Industrial Process'!$B$46:$AI$46</c15:sqref>
                  </c15:fullRef>
                </c:ext>
              </c:extLst>
              <c:f>'Industrial Process'!$C$46:$AI$46</c:f>
              <c:numCache>
                <c:formatCode>_(* #,##0_);_(* \(#,##0\);_(* "-"??_);_(@_)</c:formatCode>
                <c:ptCount val="33"/>
                <c:pt idx="0">
                  <c:v>34426.581013864379</c:v>
                </c:pt>
                <c:pt idx="1">
                  <c:v>33861.779984933644</c:v>
                </c:pt>
                <c:pt idx="2">
                  <c:v>33760.579161435802</c:v>
                </c:pt>
                <c:pt idx="3">
                  <c:v>33691.062908028325</c:v>
                </c:pt>
                <c:pt idx="4">
                  <c:v>33568.131059311134</c:v>
                </c:pt>
                <c:pt idx="5">
                  <c:v>33579.279241929326</c:v>
                </c:pt>
                <c:pt idx="6">
                  <c:v>33389.927363087474</c:v>
                </c:pt>
                <c:pt idx="7">
                  <c:v>33180.955865859665</c:v>
                </c:pt>
                <c:pt idx="8">
                  <c:v>32995.084543155259</c:v>
                </c:pt>
                <c:pt idx="9">
                  <c:v>32829.071020142401</c:v>
                </c:pt>
                <c:pt idx="10">
                  <c:v>19767.586486521028</c:v>
                </c:pt>
                <c:pt idx="11">
                  <c:v>23027.281621299549</c:v>
                </c:pt>
                <c:pt idx="12">
                  <c:v>29779.87184394733</c:v>
                </c:pt>
                <c:pt idx="13">
                  <c:v>27187.50112822017</c:v>
                </c:pt>
                <c:pt idx="14">
                  <c:v>29370.83025174704</c:v>
                </c:pt>
                <c:pt idx="15">
                  <c:v>37245.946305409583</c:v>
                </c:pt>
                <c:pt idx="16">
                  <c:v>40470.413421571699</c:v>
                </c:pt>
                <c:pt idx="17">
                  <c:v>38480.612012607467</c:v>
                </c:pt>
                <c:pt idx="18">
                  <c:v>37625.509518173101</c:v>
                </c:pt>
                <c:pt idx="19">
                  <c:v>105167.0108843982</c:v>
                </c:pt>
                <c:pt idx="20">
                  <c:v>57143.129184227953</c:v>
                </c:pt>
                <c:pt idx="21">
                  <c:v>56573.632164428564</c:v>
                </c:pt>
                <c:pt idx="22">
                  <c:v>84304.501404813665</c:v>
                </c:pt>
                <c:pt idx="23">
                  <c:v>126632.81845437421</c:v>
                </c:pt>
                <c:pt idx="24">
                  <c:v>108306.45369978089</c:v>
                </c:pt>
                <c:pt idx="25">
                  <c:v>73270.160884060417</c:v>
                </c:pt>
                <c:pt idx="26">
                  <c:v>83379.328361711465</c:v>
                </c:pt>
                <c:pt idx="27">
                  <c:v>77588.45401998458</c:v>
                </c:pt>
                <c:pt idx="28">
                  <c:v>60965.851317112734</c:v>
                </c:pt>
                <c:pt idx="29">
                  <c:v>70215.384502929621</c:v>
                </c:pt>
                <c:pt idx="30">
                  <c:v>69423.710188973564</c:v>
                </c:pt>
                <c:pt idx="31">
                  <c:v>70789.708821074862</c:v>
                </c:pt>
                <c:pt idx="32">
                  <c:v>63144.821681312591</c:v>
                </c:pt>
              </c:numCache>
            </c:numRef>
          </c:val>
          <c:smooth val="0"/>
          <c:extLst>
            <c:ext xmlns:c16="http://schemas.microsoft.com/office/drawing/2014/chart" uri="{C3380CC4-5D6E-409C-BE32-E72D297353CC}">
              <c16:uniqueId val="{00000002-3552-4514-AFD4-23950A2E0904}"/>
            </c:ext>
          </c:extLst>
        </c:ser>
        <c:ser>
          <c:idx val="0"/>
          <c:order val="3"/>
          <c:tx>
            <c:strRef>
              <c:f>'Industrial Process'!$A$45</c:f>
              <c:strCache>
                <c:ptCount val="1"/>
                <c:pt idx="0">
                  <c:v>Other Process Uses of Carbonates*</c:v>
                </c:pt>
              </c:strCache>
            </c:strRef>
          </c:tx>
          <c:marker>
            <c:symbol val="diamond"/>
            <c:size val="5"/>
            <c:spPr>
              <a:solidFill>
                <a:srgbClr val="000080"/>
              </a:solidFill>
              <a:ln>
                <a:solidFill>
                  <a:srgbClr val="000080"/>
                </a:solidFill>
                <a:prstDash val="solid"/>
              </a:ln>
            </c:spPr>
          </c:marker>
          <c:cat>
            <c:strRef>
              <c:extLst>
                <c:ext xmlns:c15="http://schemas.microsoft.com/office/drawing/2012/chart" uri="{02D57815-91ED-43cb-92C2-25804820EDAC}">
                  <c15:fullRef>
                    <c15:sqref>'Industrial Process'!$B$39:$AI$39</c15:sqref>
                  </c15:fullRef>
                </c:ext>
              </c:extLst>
              <c:f>'Industrial Process'!$C$39:$AI$39</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'Industrial Process'!$B$45:$AI$45</c15:sqref>
                  </c15:fullRef>
                </c:ext>
              </c:extLst>
              <c:f>'Industrial Process'!$C$45:$AI$45</c:f>
              <c:numCache>
                <c:formatCode>_(* #,##0_);_(* \(#,##0\);_(* "-"??_);_(@_)</c:formatCode>
                <c:ptCount val="33"/>
                <c:pt idx="0">
                  <c:v>35190.970930034731</c:v>
                </c:pt>
                <c:pt idx="1">
                  <c:v>33822.684807318954</c:v>
                </c:pt>
                <c:pt idx="2">
                  <c:v>30890.151003768267</c:v>
                </c:pt>
                <c:pt idx="3">
                  <c:v>36574.112063358101</c:v>
                </c:pt>
                <c:pt idx="4">
                  <c:v>34374.438612063204</c:v>
                </c:pt>
                <c:pt idx="5">
                  <c:v>43721.270799699749</c:v>
                </c:pt>
                <c:pt idx="6">
                  <c:v>43501.078054792997</c:v>
                </c:pt>
                <c:pt idx="7">
                  <c:v>44644.075202834909</c:v>
                </c:pt>
                <c:pt idx="8">
                  <c:v>39287.562162090275</c:v>
                </c:pt>
                <c:pt idx="9">
                  <c:v>26370.796163621486</c:v>
                </c:pt>
                <c:pt idx="10">
                  <c:v>27258.30789375192</c:v>
                </c:pt>
                <c:pt idx="11">
                  <c:v>28587.19170473982</c:v>
                </c:pt>
                <c:pt idx="12">
                  <c:v>22305.264018725713</c:v>
                </c:pt>
                <c:pt idx="13">
                  <c:v>30304.831908386557</c:v>
                </c:pt>
                <c:pt idx="14">
                  <c:v>34412.845268842757</c:v>
                </c:pt>
                <c:pt idx="15">
                  <c:v>43294.867021606886</c:v>
                </c:pt>
                <c:pt idx="16">
                  <c:v>38589.916013323586</c:v>
                </c:pt>
                <c:pt idx="17">
                  <c:v>32943.704940824944</c:v>
                </c:pt>
                <c:pt idx="18">
                  <c:v>41377.725583198328</c:v>
                </c:pt>
                <c:pt idx="19">
                  <c:v>46710.298398217361</c:v>
                </c:pt>
                <c:pt idx="20">
                  <c:v>42163.806201000545</c:v>
                </c:pt>
                <c:pt idx="21">
                  <c:v>38386.162570611879</c:v>
                </c:pt>
                <c:pt idx="22">
                  <c:v>46165.031633330873</c:v>
                </c:pt>
                <c:pt idx="23">
                  <c:v>52197.52144615673</c:v>
                </c:pt>
                <c:pt idx="24">
                  <c:v>50016.005310309127</c:v>
                </c:pt>
                <c:pt idx="25">
                  <c:v>45772.158604759003</c:v>
                </c:pt>
                <c:pt idx="26">
                  <c:v>41941.140545530834</c:v>
                </c:pt>
                <c:pt idx="27">
                  <c:v>31714.012889089106</c:v>
                </c:pt>
                <c:pt idx="28">
                  <c:v>36212.842678230569</c:v>
                </c:pt>
                <c:pt idx="29">
                  <c:v>36433.228350446341</c:v>
                </c:pt>
                <c:pt idx="30">
                  <c:v>34943.476896822314</c:v>
                </c:pt>
                <c:pt idx="31">
                  <c:v>42437.296121922125</c:v>
                </c:pt>
                <c:pt idx="32">
                  <c:v>28944.547716213921</c:v>
                </c:pt>
              </c:numCache>
            </c:numRef>
          </c:val>
          <c:smooth val="0"/>
          <c:extLst>
            <c:ext xmlns:c16="http://schemas.microsoft.com/office/drawing/2014/chart" uri="{C3380CC4-5D6E-409C-BE32-E72D297353CC}">
              <c16:uniqueId val="{00000003-3552-4514-AFD4-23950A2E0904}"/>
            </c:ext>
          </c:extLst>
        </c:ser>
        <c:ser>
          <c:idx val="2"/>
          <c:order val="4"/>
          <c:tx>
            <c:strRef>
              <c:f>'Industrial Process'!$A$43</c:f>
              <c:strCache>
                <c:ptCount val="1"/>
                <c:pt idx="0">
                  <c:v>Glass Production</c:v>
                </c:pt>
              </c:strCache>
            </c:strRef>
          </c:tx>
          <c:cat>
            <c:strRef>
              <c:extLst>
                <c:ext xmlns:c15="http://schemas.microsoft.com/office/drawing/2012/chart" uri="{02D57815-91ED-43cb-92C2-25804820EDAC}">
                  <c15:fullRef>
                    <c15:sqref>'Industrial Process'!$B$39:$AI$39</c15:sqref>
                  </c15:fullRef>
                </c:ext>
              </c:extLst>
              <c:f>'Industrial Process'!$C$39:$AI$39</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'Industrial Process'!$B$43:$AI$43</c15:sqref>
                  </c15:fullRef>
                </c:ext>
              </c:extLst>
              <c:f>'Industrial Process'!$C$43:$AI$43</c:f>
              <c:numCache>
                <c:formatCode>_(* #,##0_);_(* \(#,##0\);_(* "-"??_);_(@_)</c:formatCode>
                <c:ptCount val="33"/>
                <c:pt idx="0">
                  <c:v>34655.123694240101</c:v>
                </c:pt>
                <c:pt idx="1">
                  <c:v>35031.003456805345</c:v>
                </c:pt>
                <c:pt idx="2">
                  <c:v>34976.39686729914</c:v>
                </c:pt>
                <c:pt idx="3">
                  <c:v>36067.490027120577</c:v>
                </c:pt>
                <c:pt idx="4">
                  <c:v>34312.818345198124</c:v>
                </c:pt>
                <c:pt idx="5">
                  <c:v>33808.455415071723</c:v>
                </c:pt>
                <c:pt idx="6">
                  <c:v>35257.300579057752</c:v>
                </c:pt>
                <c:pt idx="7">
                  <c:v>34638.234010570115</c:v>
                </c:pt>
                <c:pt idx="8">
                  <c:v>33361.133419561156</c:v>
                </c:pt>
                <c:pt idx="9">
                  <c:v>29577.415320948203</c:v>
                </c:pt>
                <c:pt idx="10">
                  <c:v>27819.408006333739</c:v>
                </c:pt>
                <c:pt idx="11">
                  <c:v>27013.45158652851</c:v>
                </c:pt>
                <c:pt idx="12">
                  <c:v>25936.671407292939</c:v>
                </c:pt>
                <c:pt idx="13">
                  <c:v>25491.865973263863</c:v>
                </c:pt>
                <c:pt idx="14">
                  <c:v>24512.10508803773</c:v>
                </c:pt>
                <c:pt idx="15">
                  <c:v>23982.435457875959</c:v>
                </c:pt>
                <c:pt idx="16">
                  <c:v>23032.193003167231</c:v>
                </c:pt>
                <c:pt idx="17">
                  <c:v>21408.086708382958</c:v>
                </c:pt>
                <c:pt idx="18">
                  <c:v>18417.29849320283</c:v>
                </c:pt>
                <c:pt idx="19">
                  <c:v>5175.6152998625303</c:v>
                </c:pt>
                <c:pt idx="20">
                  <c:v>5762.9727980647122</c:v>
                </c:pt>
                <c:pt idx="21">
                  <c:v>6975.2151031248413</c:v>
                </c:pt>
                <c:pt idx="22">
                  <c:v>4564.4316781233802</c:v>
                </c:pt>
                <c:pt idx="23">
                  <c:v>4622.665698771576</c:v>
                </c:pt>
                <c:pt idx="24">
                  <c:v>2724.79816973993</c:v>
                </c:pt>
                <c:pt idx="25">
                  <c:v>3188.1918583732004</c:v>
                </c:pt>
                <c:pt idx="26">
                  <c:v>2659.4483483199174</c:v>
                </c:pt>
                <c:pt idx="27">
                  <c:v>591.65224507270807</c:v>
                </c:pt>
                <c:pt idx="28">
                  <c:v>0</c:v>
                </c:pt>
                <c:pt idx="29">
                  <c:v>0</c:v>
                </c:pt>
                <c:pt idx="30">
                  <c:v>0</c:v>
                </c:pt>
                <c:pt idx="31">
                  <c:v>0</c:v>
                </c:pt>
                <c:pt idx="32">
                  <c:v>0</c:v>
                </c:pt>
              </c:numCache>
            </c:numRef>
          </c:val>
          <c:smooth val="0"/>
          <c:extLst>
            <c:ext xmlns:c16="http://schemas.microsoft.com/office/drawing/2014/chart" uri="{C3380CC4-5D6E-409C-BE32-E72D297353CC}">
              <c16:uniqueId val="{00000004-3552-4514-AFD4-23950A2E0904}"/>
            </c:ext>
          </c:extLst>
        </c:ser>
        <c:ser>
          <c:idx val="3"/>
          <c:order val="5"/>
          <c:tx>
            <c:strRef>
              <c:f>'Industrial Process'!$A$41</c:f>
              <c:strCache>
                <c:ptCount val="1"/>
                <c:pt idx="0">
                  <c:v>Carbide Production and Consumption</c:v>
                </c:pt>
              </c:strCache>
            </c:strRef>
          </c:tx>
          <c:cat>
            <c:strRef>
              <c:extLst>
                <c:ext xmlns:c15="http://schemas.microsoft.com/office/drawing/2012/chart" uri="{02D57815-91ED-43cb-92C2-25804820EDAC}">
                  <c15:fullRef>
                    <c15:sqref>'Industrial Process'!$B$39:$AI$39</c15:sqref>
                  </c15:fullRef>
                </c:ext>
              </c:extLst>
              <c:f>'Industrial Process'!$C$39:$AI$39</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'Industrial Process'!$C$41:$AI$41</c15:sqref>
                  </c15:fullRef>
                </c:ext>
              </c:extLst>
              <c:f>'Industrial Process'!$D$41:$AI$41</c:f>
              <c:numCache>
                <c:formatCode>_(* #,##0_);_(* \(#,##0\);_(* "-"??_);_(@_)</c:formatCode>
                <c:ptCount val="32"/>
                <c:pt idx="0">
                  <c:v>315.38560162600601</c:v>
                </c:pt>
                <c:pt idx="1">
                  <c:v>345.90433610386788</c:v>
                </c:pt>
                <c:pt idx="2">
                  <c:v>356.51220656793231</c:v>
                </c:pt>
                <c:pt idx="3">
                  <c:v>475.595399070913</c:v>
                </c:pt>
                <c:pt idx="4">
                  <c:v>526.67188364603157</c:v>
                </c:pt>
                <c:pt idx="5">
                  <c:v>650.44417276583806</c:v>
                </c:pt>
                <c:pt idx="6">
                  <c:v>735.20995145005884</c:v>
                </c:pt>
                <c:pt idx="7">
                  <c:v>476.01249899751787</c:v>
                </c:pt>
                <c:pt idx="8">
                  <c:v>520.08998095475692</c:v>
                </c:pt>
                <c:pt idx="9">
                  <c:v>377.93819425839473</c:v>
                </c:pt>
                <c:pt idx="10">
                  <c:v>442.45515590537661</c:v>
                </c:pt>
                <c:pt idx="11">
                  <c:v>465.84976489802187</c:v>
                </c:pt>
                <c:pt idx="12">
                  <c:v>558.63333913705162</c:v>
                </c:pt>
                <c:pt idx="13">
                  <c:v>532.64658392411013</c:v>
                </c:pt>
                <c:pt idx="14">
                  <c:v>480.9402893643786</c:v>
                </c:pt>
                <c:pt idx="15">
                  <c:v>429.45634156407698</c:v>
                </c:pt>
                <c:pt idx="16">
                  <c:v>343.97909549457557</c:v>
                </c:pt>
                <c:pt idx="17">
                  <c:v>216.99765603324448</c:v>
                </c:pt>
                <c:pt idx="18">
                  <c:v>359.9330244974268</c:v>
                </c:pt>
                <c:pt idx="19">
                  <c:v>315.23670969949455</c:v>
                </c:pt>
                <c:pt idx="20">
                  <c:v>262.47688817560561</c:v>
                </c:pt>
                <c:pt idx="21">
                  <c:v>305.97682678464923</c:v>
                </c:pt>
                <c:pt idx="22">
                  <c:v>319.59791681451179</c:v>
                </c:pt>
                <c:pt idx="23">
                  <c:v>345.51837615724571</c:v>
                </c:pt>
                <c:pt idx="24">
                  <c:v>318.47709928279073</c:v>
                </c:pt>
                <c:pt idx="25">
                  <c:v>365.14330077132809</c:v>
                </c:pt>
                <c:pt idx="26">
                  <c:v>375.8065030771769</c:v>
                </c:pt>
                <c:pt idx="27">
                  <c:v>339.77049186541092</c:v>
                </c:pt>
                <c:pt idx="28">
                  <c:v>254.60450929473353</c:v>
                </c:pt>
                <c:pt idx="29">
                  <c:v>330.3981273866076</c:v>
                </c:pt>
                <c:pt idx="30">
                  <c:v>433.3890918087871</c:v>
                </c:pt>
                <c:pt idx="31">
                  <c:v>323.19215000957888</c:v>
                </c:pt>
              </c:numCache>
            </c:numRef>
          </c:val>
          <c:smooth val="0"/>
          <c:extLst>
            <c:ext xmlns:c16="http://schemas.microsoft.com/office/drawing/2014/chart" uri="{C3380CC4-5D6E-409C-BE32-E72D297353CC}">
              <c16:uniqueId val="{00000005-3552-4514-AFD4-23950A2E0904}"/>
            </c:ext>
          </c:extLst>
        </c:ser>
        <c:ser>
          <c:idx val="6"/>
          <c:order val="6"/>
          <c:tx>
            <c:strRef>
              <c:f>'Industrial Process'!$A$47</c:f>
              <c:strCache>
                <c:ptCount val="1"/>
                <c:pt idx="0">
                  <c:v>Substitution of Ozone Depleting Substances</c:v>
                </c:pt>
              </c:strCache>
            </c:strRef>
          </c:tx>
          <c:cat>
            <c:strRef>
              <c:extLst>
                <c:ext xmlns:c15="http://schemas.microsoft.com/office/drawing/2012/chart" uri="{02D57815-91ED-43cb-92C2-25804820EDAC}">
                  <c15:fullRef>
                    <c15:sqref>'Industrial Process'!$B$39:$AI$39</c15:sqref>
                  </c15:fullRef>
                </c:ext>
              </c:extLst>
              <c:f>'Industrial Process'!$C$39:$AI$39</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'Industrial Process'!$B$47:$AI$47</c15:sqref>
                  </c15:fullRef>
                </c:ext>
              </c:extLst>
              <c:f>'Industrial Process'!$C$47:$AI$47</c:f>
              <c:numCache>
                <c:formatCode>_(* #,##0_);_(* \(#,##0\);_(* "-"??_);_(@_)</c:formatCode>
                <c:ptCount val="33"/>
                <c:pt idx="0">
                  <c:v>0.51803863066828093</c:v>
                </c:pt>
                <c:pt idx="1">
                  <c:v>0.71158510904340921</c:v>
                </c:pt>
                <c:pt idx="2">
                  <c:v>0.91228058173099758</c:v>
                </c:pt>
                <c:pt idx="3">
                  <c:v>1.118823393427151</c:v>
                </c:pt>
                <c:pt idx="4">
                  <c:v>2.7924261721667163</c:v>
                </c:pt>
                <c:pt idx="5">
                  <c:v>5.3355040268250411</c:v>
                </c:pt>
                <c:pt idx="6">
                  <c:v>7.9612044720175055</c:v>
                </c:pt>
                <c:pt idx="7">
                  <c:v>10.672879323025185</c:v>
                </c:pt>
                <c:pt idx="8">
                  <c:v>13.83795594611902</c:v>
                </c:pt>
                <c:pt idx="9">
                  <c:v>15.054855001445755</c:v>
                </c:pt>
                <c:pt idx="10">
                  <c:v>15.768434607936294</c:v>
                </c:pt>
                <c:pt idx="11">
                  <c:v>20.392851650807557</c:v>
                </c:pt>
                <c:pt idx="12">
                  <c:v>25.643422152837012</c:v>
                </c:pt>
                <c:pt idx="13">
                  <c:v>26.969683918118172</c:v>
                </c:pt>
                <c:pt idx="14">
                  <c:v>28.297496953668738</c:v>
                </c:pt>
                <c:pt idx="15">
                  <c:v>29.721646993464208</c:v>
                </c:pt>
                <c:pt idx="16">
                  <c:v>31.252348532002351</c:v>
                </c:pt>
                <c:pt idx="17">
                  <c:v>32.912158047584199</c:v>
                </c:pt>
                <c:pt idx="18">
                  <c:v>36.171205373197488</c:v>
                </c:pt>
                <c:pt idx="19">
                  <c:v>40.082013200550939</c:v>
                </c:pt>
                <c:pt idx="20">
                  <c:v>42.715923821992803</c:v>
                </c:pt>
                <c:pt idx="21">
                  <c:v>44.77529180340639</c:v>
                </c:pt>
                <c:pt idx="22">
                  <c:v>47.263162199709598</c:v>
                </c:pt>
                <c:pt idx="23">
                  <c:v>50.055100783399133</c:v>
                </c:pt>
                <c:pt idx="24">
                  <c:v>52.756960761997597</c:v>
                </c:pt>
                <c:pt idx="25">
                  <c:v>56.419068264401588</c:v>
                </c:pt>
                <c:pt idx="26">
                  <c:v>60.099389388821528</c:v>
                </c:pt>
                <c:pt idx="27">
                  <c:v>64.460668807133089</c:v>
                </c:pt>
                <c:pt idx="28">
                  <c:v>68.629153094809979</c:v>
                </c:pt>
                <c:pt idx="29">
                  <c:v>73.431489078418878</c:v>
                </c:pt>
                <c:pt idx="30">
                  <c:v>77.809125475849527</c:v>
                </c:pt>
                <c:pt idx="31">
                  <c:v>82.331291393967859</c:v>
                </c:pt>
                <c:pt idx="32">
                  <c:v>87.356681549948902</c:v>
                </c:pt>
              </c:numCache>
            </c:numRef>
          </c:val>
          <c:smooth val="0"/>
          <c:extLst>
            <c:ext xmlns:c16="http://schemas.microsoft.com/office/drawing/2014/chart" uri="{C3380CC4-5D6E-409C-BE32-E72D297353CC}">
              <c16:uniqueId val="{00000006-3552-4514-AFD4-23950A2E0904}"/>
            </c:ext>
          </c:extLst>
        </c:ser>
        <c:dLbls>
          <c:showLegendKey val="0"/>
          <c:showVal val="0"/>
          <c:showCatName val="0"/>
          <c:showSerName val="0"/>
          <c:showPercent val="0"/>
          <c:showBubbleSize val="0"/>
        </c:dLbls>
        <c:marker val="1"/>
        <c:smooth val="0"/>
        <c:axId val="80211968"/>
        <c:axId val="80213504"/>
      </c:lineChart>
      <c:catAx>
        <c:axId val="80211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200">
                <a:latin typeface="Aptos" panose="020B0004020202020204" pitchFamily="34" charset="0"/>
              </a:defRPr>
            </a:pPr>
            <a:endParaRPr lang="en-US"/>
          </a:p>
        </c:txPr>
        <c:crossAx val="80213504"/>
        <c:crosses val="autoZero"/>
        <c:auto val="1"/>
        <c:lblAlgn val="ctr"/>
        <c:lblOffset val="100"/>
        <c:tickLblSkip val="1"/>
        <c:tickMarkSkip val="1"/>
        <c:noMultiLvlLbl val="0"/>
      </c:catAx>
      <c:valAx>
        <c:axId val="80213504"/>
        <c:scaling>
          <c:orientation val="minMax"/>
          <c:max val="450000"/>
        </c:scaling>
        <c:delete val="0"/>
        <c:axPos val="l"/>
        <c:majorGridlines>
          <c:spPr>
            <a:ln w="3175">
              <a:solidFill>
                <a:srgbClr val="000000"/>
              </a:solidFill>
              <a:prstDash val="solid"/>
            </a:ln>
          </c:spPr>
        </c:majorGridlines>
        <c:title>
          <c:tx>
            <c:rich>
              <a:bodyPr rot="-5400000" vert="horz"/>
              <a:lstStyle/>
              <a:p>
                <a:pPr>
                  <a:defRPr sz="1200">
                    <a:latin typeface="Aptos" panose="020B0004020202020204" pitchFamily="34" charset="0"/>
                  </a:defRPr>
                </a:pPr>
                <a:r>
                  <a:rPr lang="en-US" sz="1200">
                    <a:latin typeface="Aptos" panose="020B0004020202020204" pitchFamily="34" charset="0"/>
                  </a:rPr>
                  <a:t>MTCO2</a:t>
                </a:r>
              </a:p>
            </c:rich>
          </c:tx>
          <c:overlay val="0"/>
        </c:title>
        <c:numFmt formatCode="#,##0" sourceLinked="0"/>
        <c:majorTickMark val="out"/>
        <c:minorTickMark val="none"/>
        <c:tickLblPos val="nextTo"/>
        <c:spPr>
          <a:ln w="3175">
            <a:solidFill>
              <a:srgbClr val="000000"/>
            </a:solidFill>
            <a:prstDash val="solid"/>
          </a:ln>
        </c:spPr>
        <c:txPr>
          <a:bodyPr rot="0" vert="horz"/>
          <a:lstStyle/>
          <a:p>
            <a:pPr>
              <a:defRPr sz="1200">
                <a:latin typeface="Aptos" panose="020B0004020202020204" pitchFamily="34" charset="0"/>
              </a:defRPr>
            </a:pPr>
            <a:endParaRPr lang="en-US"/>
          </a:p>
        </c:txPr>
        <c:crossAx val="80211968"/>
        <c:crosses val="autoZero"/>
        <c:crossBetween val="midCat"/>
      </c:valAx>
      <c:spPr>
        <a:solidFill>
          <a:schemeClr val="bg1"/>
        </a:solidFill>
        <a:ln w="12700">
          <a:solidFill>
            <a:srgbClr val="808080"/>
          </a:solidFill>
          <a:prstDash val="solid"/>
        </a:ln>
      </c:spPr>
    </c:plotArea>
    <c:legend>
      <c:legendPos val="r"/>
      <c:layout>
        <c:manualLayout>
          <c:xMode val="edge"/>
          <c:yMode val="edge"/>
          <c:x val="0.74795075377663645"/>
          <c:y val="0.15400629330339335"/>
          <c:w val="0.22856530733541275"/>
          <c:h val="0.73108361454818149"/>
        </c:manualLayout>
      </c:layout>
      <c:overlay val="0"/>
      <c:spPr>
        <a:solidFill>
          <a:srgbClr val="FFFFFF"/>
        </a:solidFill>
        <a:ln w="3175">
          <a:solidFill>
            <a:srgbClr val="000000"/>
          </a:solidFill>
          <a:prstDash val="solid"/>
        </a:ln>
      </c:spPr>
      <c:txPr>
        <a:bodyPr/>
        <a:lstStyle/>
        <a:p>
          <a:pPr>
            <a:defRPr>
              <a:latin typeface="Aptos" panose="020B0004020202020204" pitchFamily="34" charset="0"/>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latin typeface="Aptos" panose="020B0004020202020204" pitchFamily="34" charset="0"/>
              </a:defRPr>
            </a:pPr>
            <a:r>
              <a:rPr lang="en-US" sz="1600" b="1">
                <a:latin typeface="Aptos" panose="020B0004020202020204" pitchFamily="34" charset="0"/>
              </a:rPr>
              <a:t>N2O Emissions</a:t>
            </a:r>
          </a:p>
        </c:rich>
      </c:tx>
      <c:layout>
        <c:manualLayout>
          <c:xMode val="edge"/>
          <c:yMode val="edge"/>
          <c:x val="0.75706027956216648"/>
          <c:y val="6.5471062992125989E-2"/>
        </c:manualLayout>
      </c:layout>
      <c:overlay val="0"/>
    </c:title>
    <c:autoTitleDeleted val="0"/>
    <c:plotArea>
      <c:layout>
        <c:manualLayout>
          <c:layoutTarget val="inner"/>
          <c:xMode val="edge"/>
          <c:yMode val="edge"/>
          <c:x val="0.13893929855670512"/>
          <c:y val="0.11963937007874016"/>
          <c:w val="0.53733535924166864"/>
          <c:h val="0.7338709677419355"/>
        </c:manualLayout>
      </c:layout>
      <c:lineChart>
        <c:grouping val="standard"/>
        <c:varyColors val="0"/>
        <c:ser>
          <c:idx val="2"/>
          <c:order val="0"/>
          <c:tx>
            <c:strRef>
              <c:f>'Industrial Process'!$A$51</c:f>
              <c:strCache>
                <c:ptCount val="1"/>
                <c:pt idx="0">
                  <c:v>N2O from Product Uses</c:v>
                </c:pt>
              </c:strCache>
            </c:strRef>
          </c:tx>
          <c:marker>
            <c:spPr>
              <a:solidFill>
                <a:schemeClr val="bg1"/>
              </a:solidFill>
            </c:spPr>
          </c:marker>
          <c:cat>
            <c:strRef>
              <c:extLst>
                <c:ext xmlns:c15="http://schemas.microsoft.com/office/drawing/2012/chart" uri="{02D57815-91ED-43cb-92C2-25804820EDAC}">
                  <c15:fullRef>
                    <c15:sqref>'Industrial Process'!$B$39:$AI$39</c15:sqref>
                  </c15:fullRef>
                </c:ext>
              </c:extLst>
              <c:f>'Industrial Process'!$C$39:$AI$39</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'Industrial Process'!$B$51:$AI$51</c15:sqref>
                  </c15:fullRef>
                </c:ext>
              </c:extLst>
              <c:f>'Industrial Process'!$C$51:$AI$51</c:f>
              <c:numCache>
                <c:formatCode>_(* #,##0_);_(* \(#,##0\);_(* "-"??_);_(@_)</c:formatCode>
                <c:ptCount val="33"/>
                <c:pt idx="0">
                  <c:v>85757.540209403713</c:v>
                </c:pt>
                <c:pt idx="1">
                  <c:v>79885.470076758007</c:v>
                </c:pt>
                <c:pt idx="2">
                  <c:v>90070.241220528391</c:v>
                </c:pt>
                <c:pt idx="3">
                  <c:v>89487.377318487299</c:v>
                </c:pt>
                <c:pt idx="4">
                  <c:v>89102.923115582642</c:v>
                </c:pt>
                <c:pt idx="5">
                  <c:v>88625.76453716126</c:v>
                </c:pt>
                <c:pt idx="6">
                  <c:v>93844.121719570961</c:v>
                </c:pt>
                <c:pt idx="7">
                  <c:v>93438.108154401838</c:v>
                </c:pt>
                <c:pt idx="8">
                  <c:v>93043.904184054176</c:v>
                </c:pt>
                <c:pt idx="9">
                  <c:v>92655.93175891212</c:v>
                </c:pt>
                <c:pt idx="10">
                  <c:v>92280.751895496345</c:v>
                </c:pt>
                <c:pt idx="11">
                  <c:v>82464.184729791872</c:v>
                </c:pt>
                <c:pt idx="12">
                  <c:v>81836.150041149172</c:v>
                </c:pt>
                <c:pt idx="13">
                  <c:v>80962.843785124074</c:v>
                </c:pt>
                <c:pt idx="14">
                  <c:v>80119.397814452968</c:v>
                </c:pt>
                <c:pt idx="15">
                  <c:v>79449.979826202602</c:v>
                </c:pt>
                <c:pt idx="16">
                  <c:v>78978.276176174171</c:v>
                </c:pt>
                <c:pt idx="17">
                  <c:v>78706.147812027077</c:v>
                </c:pt>
                <c:pt idx="18">
                  <c:v>78620.922943023528</c:v>
                </c:pt>
                <c:pt idx="19">
                  <c:v>78569.543176550535</c:v>
                </c:pt>
                <c:pt idx="20">
                  <c:v>78586.598564259213</c:v>
                </c:pt>
                <c:pt idx="21">
                  <c:v>78620.889137761405</c:v>
                </c:pt>
                <c:pt idx="22">
                  <c:v>78691.364542474941</c:v>
                </c:pt>
                <c:pt idx="23">
                  <c:v>78716.086842050965</c:v>
                </c:pt>
                <c:pt idx="24">
                  <c:v>78537.540337582206</c:v>
                </c:pt>
                <c:pt idx="25">
                  <c:v>78335.077757968116</c:v>
                </c:pt>
                <c:pt idx="26">
                  <c:v>78280.007607766718</c:v>
                </c:pt>
                <c:pt idx="27">
                  <c:v>78156.472290151694</c:v>
                </c:pt>
                <c:pt idx="28">
                  <c:v>77908.957065457304</c:v>
                </c:pt>
                <c:pt idx="29">
                  <c:v>78296.253911055799</c:v>
                </c:pt>
                <c:pt idx="30">
                  <c:v>78114.825960094749</c:v>
                </c:pt>
                <c:pt idx="31">
                  <c:v>77738.981084643601</c:v>
                </c:pt>
                <c:pt idx="32">
                  <c:v>77571.865208615927</c:v>
                </c:pt>
              </c:numCache>
            </c:numRef>
          </c:val>
          <c:smooth val="0"/>
          <c:extLst>
            <c:ext xmlns:c16="http://schemas.microsoft.com/office/drawing/2014/chart" uri="{C3380CC4-5D6E-409C-BE32-E72D297353CC}">
              <c16:uniqueId val="{00000000-03E2-4360-A494-6F2294A91D2A}"/>
            </c:ext>
          </c:extLst>
        </c:ser>
        <c:ser>
          <c:idx val="1"/>
          <c:order val="1"/>
          <c:tx>
            <c:strRef>
              <c:f>'Industrial Process'!$A$50</c:f>
              <c:strCache>
                <c:ptCount val="1"/>
                <c:pt idx="0">
                  <c:v>Semiconductor Manufacture</c:v>
                </c:pt>
              </c:strCache>
            </c:strRef>
          </c:tx>
          <c:cat>
            <c:strRef>
              <c:extLst>
                <c:ext xmlns:c15="http://schemas.microsoft.com/office/drawing/2012/chart" uri="{02D57815-91ED-43cb-92C2-25804820EDAC}">
                  <c15:fullRef>
                    <c15:sqref>'Industrial Process'!$B$39:$AI$39</c15:sqref>
                  </c15:fullRef>
                </c:ext>
              </c:extLst>
              <c:f>'Industrial Process'!$C$39:$AI$39</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'Industrial Process'!$B$50:$AI$50</c15:sqref>
                  </c15:fullRef>
                </c:ext>
              </c:extLst>
              <c:f>'Industrial Process'!$C$50:$AI$50</c:f>
              <c:numCache>
                <c:formatCode>_(* #,##0_);_(* \(#,##0\);_(* "-"??_);_(@_)</c:formatCode>
                <c:ptCount val="33"/>
                <c:pt idx="0">
                  <c:v>754.52597487585138</c:v>
                </c:pt>
                <c:pt idx="1">
                  <c:v>754.52597487585138</c:v>
                </c:pt>
                <c:pt idx="2">
                  <c:v>943.15746859481419</c:v>
                </c:pt>
                <c:pt idx="3">
                  <c:v>1037.473215454296</c:v>
                </c:pt>
                <c:pt idx="4">
                  <c:v>1267.197855289277</c:v>
                </c:pt>
                <c:pt idx="5">
                  <c:v>1356.8806149484171</c:v>
                </c:pt>
                <c:pt idx="6">
                  <c:v>1668.948891560955</c:v>
                </c:pt>
                <c:pt idx="7">
                  <c:v>1506.167183505612</c:v>
                </c:pt>
                <c:pt idx="8">
                  <c:v>1746.1505312338711</c:v>
                </c:pt>
                <c:pt idx="9">
                  <c:v>2060.2176303225392</c:v>
                </c:pt>
                <c:pt idx="10">
                  <c:v>1485.5642613995151</c:v>
                </c:pt>
                <c:pt idx="11">
                  <c:v>1480.5395736751179</c:v>
                </c:pt>
                <c:pt idx="12">
                  <c:v>1869.0436036673891</c:v>
                </c:pt>
                <c:pt idx="13">
                  <c:v>2190.8298713328668</c:v>
                </c:pt>
                <c:pt idx="14">
                  <c:v>2572.9560952134971</c:v>
                </c:pt>
                <c:pt idx="15">
                  <c:v>3290.401677500176</c:v>
                </c:pt>
                <c:pt idx="16">
                  <c:v>4105.5287194570656</c:v>
                </c:pt>
                <c:pt idx="17">
                  <c:v>3704.1575332817329</c:v>
                </c:pt>
                <c:pt idx="18">
                  <c:v>2754.0004010620128</c:v>
                </c:pt>
                <c:pt idx="19">
                  <c:v>3088.5228978949181</c:v>
                </c:pt>
                <c:pt idx="20">
                  <c:v>5488.6582972078804</c:v>
                </c:pt>
                <c:pt idx="21">
                  <c:v>3730.0317920799962</c:v>
                </c:pt>
                <c:pt idx="22">
                  <c:v>3050.9162272433368</c:v>
                </c:pt>
                <c:pt idx="23">
                  <c:v>4314.5734901261058</c:v>
                </c:pt>
                <c:pt idx="24">
                  <c:v>2769.6889793065438</c:v>
                </c:pt>
                <c:pt idx="25">
                  <c:v>2233.1259849858438</c:v>
                </c:pt>
                <c:pt idx="26">
                  <c:v>2208.2670220378764</c:v>
                </c:pt>
                <c:pt idx="27">
                  <c:v>2028.5907589273179</c:v>
                </c:pt>
                <c:pt idx="28">
                  <c:v>1831.6374388115441</c:v>
                </c:pt>
                <c:pt idx="29">
                  <c:v>1430.805454977618</c:v>
                </c:pt>
                <c:pt idx="30">
                  <c:v>1989.1083892636841</c:v>
                </c:pt>
                <c:pt idx="31">
                  <c:v>2544.7853430257969</c:v>
                </c:pt>
                <c:pt idx="32">
                  <c:v>2502.6193473154262</c:v>
                </c:pt>
              </c:numCache>
            </c:numRef>
          </c:val>
          <c:smooth val="0"/>
          <c:extLst>
            <c:ext xmlns:c16="http://schemas.microsoft.com/office/drawing/2014/chart" uri="{C3380CC4-5D6E-409C-BE32-E72D297353CC}">
              <c16:uniqueId val="{00000001-03E2-4360-A494-6F2294A91D2A}"/>
            </c:ext>
          </c:extLst>
        </c:ser>
        <c:ser>
          <c:idx val="0"/>
          <c:order val="2"/>
          <c:tx>
            <c:strRef>
              <c:f>'Industrial Process'!$A$49</c:f>
              <c:strCache>
                <c:ptCount val="1"/>
                <c:pt idx="0">
                  <c:v>Photovoltaics</c:v>
                </c:pt>
              </c:strCache>
            </c:strRef>
          </c:tx>
          <c:cat>
            <c:strRef>
              <c:extLst>
                <c:ext xmlns:c15="http://schemas.microsoft.com/office/drawing/2012/chart" uri="{02D57815-91ED-43cb-92C2-25804820EDAC}">
                  <c15:fullRef>
                    <c15:sqref>'Industrial Process'!$B$39:$AI$39</c15:sqref>
                  </c15:fullRef>
                </c:ext>
              </c:extLst>
              <c:f>'Industrial Process'!$C$39:$AI$39</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'Industrial Process'!$B$49:$AI$49</c15:sqref>
                  </c15:fullRef>
                </c:ext>
              </c:extLst>
              <c:f>'Industrial Process'!$C$49:$AI$49</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13.6942725</c:v>
                </c:pt>
                <c:pt idx="16">
                  <c:v>38.800438750000005</c:v>
                </c:pt>
                <c:pt idx="17">
                  <c:v>112.97774812500001</c:v>
                </c:pt>
                <c:pt idx="18">
                  <c:v>330.94491875</c:v>
                </c:pt>
                <c:pt idx="19">
                  <c:v>319.54297867967733</c:v>
                </c:pt>
                <c:pt idx="20">
                  <c:v>296.59477018371132</c:v>
                </c:pt>
                <c:pt idx="21">
                  <c:v>285.1928301133886</c:v>
                </c:pt>
                <c:pt idx="22">
                  <c:v>296.73909853903183</c:v>
                </c:pt>
                <c:pt idx="23">
                  <c:v>262.67031569872967</c:v>
                </c:pt>
                <c:pt idx="24">
                  <c:v>213.6189028698353</c:v>
                </c:pt>
                <c:pt idx="25">
                  <c:v>213.6189028698353</c:v>
                </c:pt>
                <c:pt idx="26">
                  <c:v>296.73909853903183</c:v>
                </c:pt>
                <c:pt idx="27">
                  <c:v>296.73909853903183</c:v>
                </c:pt>
                <c:pt idx="28">
                  <c:v>296.73909853903183</c:v>
                </c:pt>
                <c:pt idx="29">
                  <c:v>57.731342128216305</c:v>
                </c:pt>
                <c:pt idx="30">
                  <c:v>57.731342128216305</c:v>
                </c:pt>
                <c:pt idx="31">
                  <c:v>57.731342128216305</c:v>
                </c:pt>
                <c:pt idx="32">
                  <c:v>57.731342128216305</c:v>
                </c:pt>
              </c:numCache>
            </c:numRef>
          </c:val>
          <c:smooth val="0"/>
          <c:extLst>
            <c:ext xmlns:c16="http://schemas.microsoft.com/office/drawing/2014/chart" uri="{C3380CC4-5D6E-409C-BE32-E72D297353CC}">
              <c16:uniqueId val="{00000002-03E2-4360-A494-6F2294A91D2A}"/>
            </c:ext>
          </c:extLst>
        </c:ser>
        <c:dLbls>
          <c:showLegendKey val="0"/>
          <c:showVal val="0"/>
          <c:showCatName val="0"/>
          <c:showSerName val="0"/>
          <c:showPercent val="0"/>
          <c:showBubbleSize val="0"/>
        </c:dLbls>
        <c:marker val="1"/>
        <c:smooth val="0"/>
        <c:axId val="80211968"/>
        <c:axId val="80213504"/>
      </c:lineChart>
      <c:catAx>
        <c:axId val="80211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200">
                <a:latin typeface="Aptos" panose="020B0004020202020204" pitchFamily="34" charset="0"/>
              </a:defRPr>
            </a:pPr>
            <a:endParaRPr lang="en-US"/>
          </a:p>
        </c:txPr>
        <c:crossAx val="80213504"/>
        <c:crosses val="autoZero"/>
        <c:auto val="1"/>
        <c:lblAlgn val="ctr"/>
        <c:lblOffset val="100"/>
        <c:tickLblSkip val="1"/>
        <c:tickMarkSkip val="1"/>
        <c:noMultiLvlLbl val="0"/>
      </c:catAx>
      <c:valAx>
        <c:axId val="80213504"/>
        <c:scaling>
          <c:orientation val="minMax"/>
          <c:max val="100000"/>
        </c:scaling>
        <c:delete val="0"/>
        <c:axPos val="l"/>
        <c:majorGridlines>
          <c:spPr>
            <a:ln w="3175">
              <a:solidFill>
                <a:srgbClr val="000000"/>
              </a:solidFill>
              <a:prstDash val="solid"/>
            </a:ln>
          </c:spPr>
        </c:majorGridlines>
        <c:title>
          <c:tx>
            <c:rich>
              <a:bodyPr rot="-5400000" vert="horz"/>
              <a:lstStyle/>
              <a:p>
                <a:pPr>
                  <a:defRPr sz="1200">
                    <a:latin typeface="Aptos" panose="020B0004020202020204" pitchFamily="34" charset="0"/>
                  </a:defRPr>
                </a:pPr>
                <a:r>
                  <a:rPr lang="en-US" sz="1200">
                    <a:latin typeface="Aptos" panose="020B0004020202020204" pitchFamily="34" charset="0"/>
                  </a:rPr>
                  <a:t>MTCO2E</a:t>
                </a:r>
              </a:p>
            </c:rich>
          </c:tx>
          <c:overlay val="0"/>
        </c:title>
        <c:numFmt formatCode="#,##0" sourceLinked="0"/>
        <c:majorTickMark val="out"/>
        <c:minorTickMark val="none"/>
        <c:tickLblPos val="nextTo"/>
        <c:spPr>
          <a:ln w="3175">
            <a:solidFill>
              <a:srgbClr val="000000"/>
            </a:solidFill>
            <a:prstDash val="solid"/>
          </a:ln>
        </c:spPr>
        <c:txPr>
          <a:bodyPr rot="0" vert="horz"/>
          <a:lstStyle/>
          <a:p>
            <a:pPr>
              <a:defRPr sz="1200">
                <a:latin typeface="Aptos" panose="020B0004020202020204" pitchFamily="34" charset="0"/>
              </a:defRPr>
            </a:pPr>
            <a:endParaRPr lang="en-US"/>
          </a:p>
        </c:txPr>
        <c:crossAx val="80211968"/>
        <c:crosses val="autoZero"/>
        <c:crossBetween val="midCat"/>
      </c:valAx>
      <c:spPr>
        <a:solidFill>
          <a:schemeClr val="bg1"/>
        </a:solidFill>
        <a:ln w="12700">
          <a:solidFill>
            <a:srgbClr val="808080"/>
          </a:solidFill>
          <a:prstDash val="solid"/>
        </a:ln>
      </c:spPr>
    </c:plotArea>
    <c:legend>
      <c:legendPos val="r"/>
      <c:layout>
        <c:manualLayout>
          <c:xMode val="edge"/>
          <c:yMode val="edge"/>
          <c:x val="0.70445869025685315"/>
          <c:y val="0.15140748031496062"/>
          <c:w val="0.28062016525874828"/>
          <c:h val="0.32116730846600378"/>
        </c:manualLayout>
      </c:layout>
      <c:overlay val="0"/>
      <c:spPr>
        <a:solidFill>
          <a:srgbClr val="FFFFFF"/>
        </a:solidFill>
        <a:ln w="3175">
          <a:solidFill>
            <a:srgbClr val="000000"/>
          </a:solidFill>
          <a:prstDash val="solid"/>
        </a:ln>
      </c:spPr>
      <c:txPr>
        <a:bodyPr/>
        <a:lstStyle/>
        <a:p>
          <a:pPr>
            <a:defRPr sz="1200">
              <a:latin typeface="Aptos" panose="020B0004020202020204" pitchFamily="34" charset="0"/>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latin typeface="Aptos" panose="020B0004020202020204" pitchFamily="34" charset="0"/>
              </a:defRPr>
            </a:pPr>
            <a:r>
              <a:rPr lang="en-US" sz="1600" b="1">
                <a:latin typeface="Aptos" panose="020B0004020202020204" pitchFamily="34" charset="0"/>
              </a:rPr>
              <a:t>HFC,</a:t>
            </a:r>
            <a:r>
              <a:rPr lang="en-US" sz="1600" b="1" baseline="0">
                <a:latin typeface="Aptos" panose="020B0004020202020204" pitchFamily="34" charset="0"/>
              </a:rPr>
              <a:t> PFC, N3 </a:t>
            </a:r>
          </a:p>
          <a:p>
            <a:pPr>
              <a:defRPr sz="1600" b="1">
                <a:latin typeface="Aptos" panose="020B0004020202020204" pitchFamily="34" charset="0"/>
              </a:defRPr>
            </a:pPr>
            <a:r>
              <a:rPr lang="en-US" sz="1600" b="1" baseline="0">
                <a:latin typeface="Aptos" panose="020B0004020202020204" pitchFamily="34" charset="0"/>
              </a:rPr>
              <a:t>and SF6 </a:t>
            </a:r>
            <a:r>
              <a:rPr lang="en-US" sz="1600" b="1">
                <a:latin typeface="Aptos" panose="020B0004020202020204" pitchFamily="34" charset="0"/>
              </a:rPr>
              <a:t>Emissions</a:t>
            </a:r>
          </a:p>
        </c:rich>
      </c:tx>
      <c:layout>
        <c:manualLayout>
          <c:xMode val="edge"/>
          <c:yMode val="edge"/>
          <c:x val="0.74152969894222942"/>
          <c:y val="9.5783258601995269E-2"/>
        </c:manualLayout>
      </c:layout>
      <c:overlay val="0"/>
    </c:title>
    <c:autoTitleDeleted val="0"/>
    <c:plotArea>
      <c:layout>
        <c:manualLayout>
          <c:layoutTarget val="inner"/>
          <c:xMode val="edge"/>
          <c:yMode val="edge"/>
          <c:x val="0.14656103884450342"/>
          <c:y val="0.13467373801539348"/>
          <c:w val="0.57906107890359859"/>
          <c:h val="0.7338709677419355"/>
        </c:manualLayout>
      </c:layout>
      <c:lineChart>
        <c:grouping val="standard"/>
        <c:varyColors val="0"/>
        <c:ser>
          <c:idx val="5"/>
          <c:order val="0"/>
          <c:tx>
            <c:strRef>
              <c:f>'Industrial Process'!$A$58</c:f>
              <c:strCache>
                <c:ptCount val="1"/>
                <c:pt idx="0">
                  <c:v>Substitution of Ozone Depleting Substances</c:v>
                </c:pt>
              </c:strCache>
            </c:strRef>
          </c:tx>
          <c:cat>
            <c:strRef>
              <c:extLst>
                <c:ext xmlns:c15="http://schemas.microsoft.com/office/drawing/2012/chart" uri="{02D57815-91ED-43cb-92C2-25804820EDAC}">
                  <c15:fullRef>
                    <c15:sqref>'Industrial Process'!$B$39:$AI$39</c15:sqref>
                  </c15:fullRef>
                </c:ext>
              </c:extLst>
              <c:f>'Industrial Process'!$C$39:$AI$39</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'Industrial Process'!$B$58:$AI$58</c15:sqref>
                  </c15:fullRef>
                </c:ext>
              </c:extLst>
              <c:f>'Industrial Process'!$C$58:$AI$58</c:f>
              <c:numCache>
                <c:formatCode>_(* #,##0_);_(* \(#,##0\);_(* "-"??_);_(@_)</c:formatCode>
                <c:ptCount val="33"/>
                <c:pt idx="0">
                  <c:v>12456.725928918428</c:v>
                </c:pt>
                <c:pt idx="1">
                  <c:v>30509.953018260268</c:v>
                </c:pt>
                <c:pt idx="2">
                  <c:v>95349.548969635798</c:v>
                </c:pt>
                <c:pt idx="3">
                  <c:v>228640.3279370146</c:v>
                </c:pt>
                <c:pt idx="4">
                  <c:v>503244.44906125561</c:v>
                </c:pt>
                <c:pt idx="5">
                  <c:v>713290.43101121555</c:v>
                </c:pt>
                <c:pt idx="6">
                  <c:v>909813.76063792477</c:v>
                </c:pt>
                <c:pt idx="7">
                  <c:v>1051431.2798421779</c:v>
                </c:pt>
                <c:pt idx="8">
                  <c:v>1195075.4627345945</c:v>
                </c:pt>
                <c:pt idx="9">
                  <c:v>1314636.1249262181</c:v>
                </c:pt>
                <c:pt idx="10">
                  <c:v>1430327.4014756053</c:v>
                </c:pt>
                <c:pt idx="11">
                  <c:v>1515364.9915778933</c:v>
                </c:pt>
                <c:pt idx="12">
                  <c:v>1591709.9985965057</c:v>
                </c:pt>
                <c:pt idx="13">
                  <c:v>1650930.3100036387</c:v>
                </c:pt>
                <c:pt idx="14">
                  <c:v>1723173.1184963863</c:v>
                </c:pt>
                <c:pt idx="15">
                  <c:v>1830807.6928199013</c:v>
                </c:pt>
                <c:pt idx="16">
                  <c:v>1957001.7674197021</c:v>
                </c:pt>
                <c:pt idx="17">
                  <c:v>2109486.2459690827</c:v>
                </c:pt>
                <c:pt idx="18">
                  <c:v>2659009.5271709338</c:v>
                </c:pt>
                <c:pt idx="19">
                  <c:v>2259798.8369627763</c:v>
                </c:pt>
                <c:pt idx="20">
                  <c:v>2270842.857469196</c:v>
                </c:pt>
                <c:pt idx="21">
                  <c:v>2603191.1555602658</c:v>
                </c:pt>
                <c:pt idx="22">
                  <c:v>3274253.7401804705</c:v>
                </c:pt>
                <c:pt idx="23">
                  <c:v>3694211.4882698166</c:v>
                </c:pt>
                <c:pt idx="24">
                  <c:v>3210410.4472265025</c:v>
                </c:pt>
                <c:pt idx="25">
                  <c:v>3275633.0705315862</c:v>
                </c:pt>
                <c:pt idx="26">
                  <c:v>2781107.8029878628</c:v>
                </c:pt>
                <c:pt idx="27">
                  <c:v>3264582.5900803083</c:v>
                </c:pt>
                <c:pt idx="28">
                  <c:v>3152795.1508113639</c:v>
                </c:pt>
                <c:pt idx="29">
                  <c:v>3553206.468307883</c:v>
                </c:pt>
                <c:pt idx="30">
                  <c:v>3482619.2950711334</c:v>
                </c:pt>
                <c:pt idx="31">
                  <c:v>2937075.0188921164</c:v>
                </c:pt>
                <c:pt idx="32">
                  <c:v>3164009.7878594762</c:v>
                </c:pt>
              </c:numCache>
            </c:numRef>
          </c:val>
          <c:smooth val="0"/>
          <c:extLst>
            <c:ext xmlns:c16="http://schemas.microsoft.com/office/drawing/2014/chart" uri="{C3380CC4-5D6E-409C-BE32-E72D297353CC}">
              <c16:uniqueId val="{00000000-8F7D-4BBF-B403-0DEE35D67407}"/>
            </c:ext>
          </c:extLst>
        </c:ser>
        <c:ser>
          <c:idx val="3"/>
          <c:order val="1"/>
          <c:tx>
            <c:strRef>
              <c:f>'Industrial Process'!$A$56</c:f>
              <c:strCache>
                <c:ptCount val="1"/>
                <c:pt idx="0">
                  <c:v>Electrical Equipment</c:v>
                </c:pt>
              </c:strCache>
            </c:strRef>
          </c:tx>
          <c:cat>
            <c:strRef>
              <c:extLst>
                <c:ext xmlns:c15="http://schemas.microsoft.com/office/drawing/2012/chart" uri="{02D57815-91ED-43cb-92C2-25804820EDAC}">
                  <c15:fullRef>
                    <c15:sqref>'Industrial Process'!$B$39:$AI$39</c15:sqref>
                  </c15:fullRef>
                </c:ext>
              </c:extLst>
              <c:f>'Industrial Process'!$C$39:$AI$39</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'Industrial Process'!$B$56:$AI$56</c15:sqref>
                  </c15:fullRef>
                </c:ext>
              </c:extLst>
              <c:f>'Industrial Process'!$C$56:$AI$56</c:f>
              <c:numCache>
                <c:formatCode>_(* #,##0_);_(* \(#,##0\);_(* "-"??_);_(@_)</c:formatCode>
                <c:ptCount val="33"/>
                <c:pt idx="0">
                  <c:v>150400</c:v>
                </c:pt>
                <c:pt idx="1">
                  <c:v>148990</c:v>
                </c:pt>
                <c:pt idx="2">
                  <c:v>144290</c:v>
                </c:pt>
                <c:pt idx="3">
                  <c:v>135830</c:v>
                </c:pt>
                <c:pt idx="4">
                  <c:v>124550</c:v>
                </c:pt>
                <c:pt idx="5">
                  <c:v>114210</c:v>
                </c:pt>
                <c:pt idx="6">
                  <c:v>105045</c:v>
                </c:pt>
                <c:pt idx="7">
                  <c:v>88830</c:v>
                </c:pt>
                <c:pt idx="8">
                  <c:v>89300</c:v>
                </c:pt>
                <c:pt idx="9">
                  <c:v>85775</c:v>
                </c:pt>
                <c:pt idx="10">
                  <c:v>84600</c:v>
                </c:pt>
                <c:pt idx="11">
                  <c:v>78490</c:v>
                </c:pt>
                <c:pt idx="12">
                  <c:v>76610</c:v>
                </c:pt>
                <c:pt idx="13">
                  <c:v>74730</c:v>
                </c:pt>
                <c:pt idx="14">
                  <c:v>71910</c:v>
                </c:pt>
                <c:pt idx="15">
                  <c:v>66270</c:v>
                </c:pt>
                <c:pt idx="16">
                  <c:v>62509.999999999993</c:v>
                </c:pt>
                <c:pt idx="17">
                  <c:v>59925</c:v>
                </c:pt>
                <c:pt idx="18">
                  <c:v>55225</c:v>
                </c:pt>
                <c:pt idx="19">
                  <c:v>46530</c:v>
                </c:pt>
                <c:pt idx="20">
                  <c:v>44180</c:v>
                </c:pt>
                <c:pt idx="21">
                  <c:v>38540</c:v>
                </c:pt>
                <c:pt idx="22">
                  <c:v>35720</c:v>
                </c:pt>
                <c:pt idx="23">
                  <c:v>36190</c:v>
                </c:pt>
                <c:pt idx="24">
                  <c:v>32430</c:v>
                </c:pt>
                <c:pt idx="25">
                  <c:v>31725.000000000004</c:v>
                </c:pt>
                <c:pt idx="26">
                  <c:v>31725.000000000004</c:v>
                </c:pt>
                <c:pt idx="27">
                  <c:v>32430</c:v>
                </c:pt>
                <c:pt idx="28">
                  <c:v>34545</c:v>
                </c:pt>
                <c:pt idx="29">
                  <c:v>33605</c:v>
                </c:pt>
                <c:pt idx="30">
                  <c:v>35485</c:v>
                </c:pt>
                <c:pt idx="31">
                  <c:v>34075</c:v>
                </c:pt>
                <c:pt idx="32">
                  <c:v>33840</c:v>
                </c:pt>
              </c:numCache>
            </c:numRef>
          </c:val>
          <c:smooth val="0"/>
          <c:extLst>
            <c:ext xmlns:c16="http://schemas.microsoft.com/office/drawing/2014/chart" uri="{C3380CC4-5D6E-409C-BE32-E72D297353CC}">
              <c16:uniqueId val="{00000001-8F7D-4BBF-B403-0DEE35D67407}"/>
            </c:ext>
          </c:extLst>
        </c:ser>
        <c:ser>
          <c:idx val="2"/>
          <c:order val="2"/>
          <c:tx>
            <c:strRef>
              <c:f>'Industrial Process'!$A$55</c:f>
              <c:strCache>
                <c:ptCount val="1"/>
                <c:pt idx="0">
                  <c:v>Semiconductor Manufacture</c:v>
                </c:pt>
              </c:strCache>
            </c:strRef>
          </c:tx>
          <c:cat>
            <c:strRef>
              <c:extLst>
                <c:ext xmlns:c15="http://schemas.microsoft.com/office/drawing/2012/chart" uri="{02D57815-91ED-43cb-92C2-25804820EDAC}">
                  <c15:fullRef>
                    <c15:sqref>'Industrial Process'!$B$39:$AI$39</c15:sqref>
                  </c15:fullRef>
                </c:ext>
              </c:extLst>
              <c:f>'Industrial Process'!$C$39:$AI$39</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'Industrial Process'!$B$55:$AI$55</c15:sqref>
                  </c15:fullRef>
                </c:ext>
              </c:extLst>
              <c:f>'Industrial Process'!$C$55:$AI$55</c:f>
              <c:numCache>
                <c:formatCode>_(* #,##0_);_(* \(#,##0\);_(* "-"??_);_(@_)</c:formatCode>
                <c:ptCount val="33"/>
                <c:pt idx="0">
                  <c:v>68687.37567258114</c:v>
                </c:pt>
                <c:pt idx="1">
                  <c:v>68687.37567258114</c:v>
                </c:pt>
                <c:pt idx="2">
                  <c:v>85859.21959072641</c:v>
                </c:pt>
                <c:pt idx="3">
                  <c:v>94445.141549799038</c:v>
                </c:pt>
                <c:pt idx="4">
                  <c:v>118685.50870854424</c:v>
                </c:pt>
                <c:pt idx="5">
                  <c:v>131795.8492288781</c:v>
                </c:pt>
                <c:pt idx="6">
                  <c:v>139281.86075055355</c:v>
                </c:pt>
                <c:pt idx="7">
                  <c:v>170784.07838269841</c:v>
                </c:pt>
                <c:pt idx="8">
                  <c:v>173304.76234678944</c:v>
                </c:pt>
                <c:pt idx="9">
                  <c:v>146089.70036657434</c:v>
                </c:pt>
                <c:pt idx="10">
                  <c:v>103803.02786908729</c:v>
                </c:pt>
                <c:pt idx="11">
                  <c:v>106784.66505575596</c:v>
                </c:pt>
                <c:pt idx="12">
                  <c:v>102372.03470196258</c:v>
                </c:pt>
                <c:pt idx="13">
                  <c:v>96836.086763931104</c:v>
                </c:pt>
                <c:pt idx="14">
                  <c:v>91604.04537327931</c:v>
                </c:pt>
                <c:pt idx="15">
                  <c:v>100060.23805140753</c:v>
                </c:pt>
                <c:pt idx="16">
                  <c:v>91343.210095773757</c:v>
                </c:pt>
                <c:pt idx="17">
                  <c:v>84723.448373459905</c:v>
                </c:pt>
                <c:pt idx="18">
                  <c:v>60982.813009592617</c:v>
                </c:pt>
                <c:pt idx="19">
                  <c:v>79237.951781557364</c:v>
                </c:pt>
                <c:pt idx="20">
                  <c:v>107328.24258206997</c:v>
                </c:pt>
                <c:pt idx="21">
                  <c:v>99448.690769326422</c:v>
                </c:pt>
                <c:pt idx="22">
                  <c:v>84397.57133226018</c:v>
                </c:pt>
                <c:pt idx="23">
                  <c:v>82231.850991114101</c:v>
                </c:pt>
                <c:pt idx="24">
                  <c:v>75731.365477471423</c:v>
                </c:pt>
                <c:pt idx="25">
                  <c:v>74323.33077626153</c:v>
                </c:pt>
                <c:pt idx="26">
                  <c:v>78446.746126000726</c:v>
                </c:pt>
                <c:pt idx="27">
                  <c:v>72250.736409737583</c:v>
                </c:pt>
                <c:pt idx="28">
                  <c:v>61995.193872062002</c:v>
                </c:pt>
                <c:pt idx="29">
                  <c:v>42663.984536608972</c:v>
                </c:pt>
                <c:pt idx="30">
                  <c:v>54598.892611646428</c:v>
                </c:pt>
                <c:pt idx="31">
                  <c:v>56432.113461140456</c:v>
                </c:pt>
                <c:pt idx="32">
                  <c:v>43496.332942007219</c:v>
                </c:pt>
              </c:numCache>
            </c:numRef>
          </c:val>
          <c:smooth val="0"/>
          <c:extLst>
            <c:ext xmlns:c16="http://schemas.microsoft.com/office/drawing/2014/chart" uri="{C3380CC4-5D6E-409C-BE32-E72D297353CC}">
              <c16:uniqueId val="{00000002-8F7D-4BBF-B403-0DEE35D67407}"/>
            </c:ext>
          </c:extLst>
        </c:ser>
        <c:ser>
          <c:idx val="0"/>
          <c:order val="3"/>
          <c:tx>
            <c:strRef>
              <c:f>'Industrial Process'!$A$53</c:f>
              <c:strCache>
                <c:ptCount val="1"/>
                <c:pt idx="0">
                  <c:v>Micro-Electro-Mechanical Devices</c:v>
                </c:pt>
              </c:strCache>
            </c:strRef>
          </c:tx>
          <c:cat>
            <c:strRef>
              <c:extLst>
                <c:ext xmlns:c15="http://schemas.microsoft.com/office/drawing/2012/chart" uri="{02D57815-91ED-43cb-92C2-25804820EDAC}">
                  <c15:fullRef>
                    <c15:sqref>'Industrial Process'!$B$39:$AI$39</c15:sqref>
                  </c15:fullRef>
                </c:ext>
              </c:extLst>
              <c:f>'Industrial Process'!$C$39:$AI$39</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'Industrial Process'!$B$53:$AI$53</c15:sqref>
                  </c15:fullRef>
                </c:ext>
              </c:extLst>
              <c:f>'Industrial Process'!$C$53:$AI$53</c:f>
              <c:numCache>
                <c:formatCode>_(* #,##0_);_(* \(#,##0\);_(* "-"??_);_(@_)</c:formatCode>
                <c:ptCount val="33"/>
                <c:pt idx="0">
                  <c:v>163.6413571428572</c:v>
                </c:pt>
                <c:pt idx="1">
                  <c:v>327.28271428571429</c:v>
                </c:pt>
                <c:pt idx="2">
                  <c:v>490.92407142857138</c:v>
                </c:pt>
                <c:pt idx="3">
                  <c:v>654.56542857142858</c:v>
                </c:pt>
                <c:pt idx="4">
                  <c:v>818.20678571428573</c:v>
                </c:pt>
                <c:pt idx="5">
                  <c:v>981.84814285714276</c:v>
                </c:pt>
                <c:pt idx="6">
                  <c:v>1145.4895000000001</c:v>
                </c:pt>
                <c:pt idx="7">
                  <c:v>1309.1308571428572</c:v>
                </c:pt>
                <c:pt idx="8">
                  <c:v>1472.7722142857144</c:v>
                </c:pt>
                <c:pt idx="9">
                  <c:v>1636.4135714285719</c:v>
                </c:pt>
                <c:pt idx="10">
                  <c:v>1800.054928571428</c:v>
                </c:pt>
                <c:pt idx="11">
                  <c:v>1963.6962857142855</c:v>
                </c:pt>
                <c:pt idx="12">
                  <c:v>2127.3376428571423</c:v>
                </c:pt>
                <c:pt idx="13">
                  <c:v>2290.9789999999998</c:v>
                </c:pt>
                <c:pt idx="14">
                  <c:v>2454.6203571428573</c:v>
                </c:pt>
                <c:pt idx="15">
                  <c:v>2618.2617142857148</c:v>
                </c:pt>
                <c:pt idx="16">
                  <c:v>2781.9030714285709</c:v>
                </c:pt>
                <c:pt idx="17">
                  <c:v>2945.5444285714289</c:v>
                </c:pt>
                <c:pt idx="18">
                  <c:v>3109.1857857142854</c:v>
                </c:pt>
                <c:pt idx="19">
                  <c:v>3272.8271428571429</c:v>
                </c:pt>
                <c:pt idx="20">
                  <c:v>3436.4684999999999</c:v>
                </c:pt>
                <c:pt idx="21">
                  <c:v>6531.3817999999992</c:v>
                </c:pt>
                <c:pt idx="22">
                  <c:v>3222.027</c:v>
                </c:pt>
                <c:pt idx="23">
                  <c:v>2876.4900000000002</c:v>
                </c:pt>
                <c:pt idx="24">
                  <c:v>2994.9580000000001</c:v>
                </c:pt>
                <c:pt idx="25">
                  <c:v>3340.5940000000001</c:v>
                </c:pt>
                <c:pt idx="26">
                  <c:v>3400.4080000000004</c:v>
                </c:pt>
                <c:pt idx="27">
                  <c:v>5828.6260000000002</c:v>
                </c:pt>
                <c:pt idx="28">
                  <c:v>8535.2089999999989</c:v>
                </c:pt>
                <c:pt idx="29">
                  <c:v>8992.380000000001</c:v>
                </c:pt>
                <c:pt idx="30">
                  <c:v>10436.013000000001</c:v>
                </c:pt>
                <c:pt idx="31">
                  <c:v>9990.1940000000013</c:v>
                </c:pt>
                <c:pt idx="32">
                  <c:v>8564.2169999999987</c:v>
                </c:pt>
              </c:numCache>
            </c:numRef>
          </c:val>
          <c:smooth val="0"/>
          <c:extLst>
            <c:ext xmlns:c16="http://schemas.microsoft.com/office/drawing/2014/chart" uri="{C3380CC4-5D6E-409C-BE32-E72D297353CC}">
              <c16:uniqueId val="{00000003-8F7D-4BBF-B403-0DEE35D67407}"/>
            </c:ext>
          </c:extLst>
        </c:ser>
        <c:ser>
          <c:idx val="1"/>
          <c:order val="4"/>
          <c:tx>
            <c:strRef>
              <c:f>'Industrial Process'!$A$54</c:f>
              <c:strCache>
                <c:ptCount val="1"/>
                <c:pt idx="0">
                  <c:v>Photovoltaics</c:v>
                </c:pt>
              </c:strCache>
            </c:strRef>
          </c:tx>
          <c:cat>
            <c:strRef>
              <c:extLst>
                <c:ext xmlns:c15="http://schemas.microsoft.com/office/drawing/2012/chart" uri="{02D57815-91ED-43cb-92C2-25804820EDAC}">
                  <c15:fullRef>
                    <c15:sqref>'Industrial Process'!$B$39:$AI$39</c15:sqref>
                  </c15:fullRef>
                </c:ext>
              </c:extLst>
              <c:f>'Industrial Process'!$C$39:$AI$39</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'Industrial Process'!$B$54:$AI$54</c15:sqref>
                  </c15:fullRef>
                </c:ext>
              </c:extLst>
              <c:f>'Industrial Process'!$C$54:$AI$54</c:f>
              <c:numCache>
                <c:formatCode>_(* #,##0_);_(* \(#,##0\);_(* "-"??_);_(@_)</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232.76671049999999</c:v>
                </c:pt>
                <c:pt idx="16">
                  <c:v>659.50567975000013</c:v>
                </c:pt>
                <c:pt idx="17">
                  <c:v>1920.3253616250004</c:v>
                </c:pt>
                <c:pt idx="18">
                  <c:v>5625.1955037500002</c:v>
                </c:pt>
                <c:pt idx="19">
                  <c:v>5431.3924314446158</c:v>
                </c:pt>
                <c:pt idx="20">
                  <c:v>5041.3330833869386</c:v>
                </c:pt>
                <c:pt idx="21">
                  <c:v>4847.5300110815542</c:v>
                </c:pt>
                <c:pt idx="22">
                  <c:v>5043.7862868338434</c:v>
                </c:pt>
                <c:pt idx="23">
                  <c:v>5159.6055500068915</c:v>
                </c:pt>
                <c:pt idx="24">
                  <c:v>3630.9609964041956</c:v>
                </c:pt>
                <c:pt idx="25">
                  <c:v>3630.9609964041952</c:v>
                </c:pt>
                <c:pt idx="26">
                  <c:v>5043.7862868338425</c:v>
                </c:pt>
                <c:pt idx="27">
                  <c:v>5043.7862868338425</c:v>
                </c:pt>
                <c:pt idx="28">
                  <c:v>5043.7862868338425</c:v>
                </c:pt>
                <c:pt idx="29">
                  <c:v>981.28137876144785</c:v>
                </c:pt>
                <c:pt idx="30">
                  <c:v>981.28137876144785</c:v>
                </c:pt>
                <c:pt idx="31">
                  <c:v>981.28137876144785</c:v>
                </c:pt>
                <c:pt idx="32">
                  <c:v>981.28137876144785</c:v>
                </c:pt>
              </c:numCache>
            </c:numRef>
          </c:val>
          <c:smooth val="0"/>
          <c:extLst>
            <c:ext xmlns:c16="http://schemas.microsoft.com/office/drawing/2014/chart" uri="{C3380CC4-5D6E-409C-BE32-E72D297353CC}">
              <c16:uniqueId val="{00000004-8F7D-4BBF-B403-0DEE35D67407}"/>
            </c:ext>
          </c:extLst>
        </c:ser>
        <c:ser>
          <c:idx val="4"/>
          <c:order val="5"/>
          <c:tx>
            <c:strRef>
              <c:f>'Industrial Process'!$A$57</c:f>
              <c:strCache>
                <c:ptCount val="1"/>
                <c:pt idx="0">
                  <c:v>SF6 and PFCs from other product use</c:v>
                </c:pt>
              </c:strCache>
            </c:strRef>
          </c:tx>
          <c:cat>
            <c:strRef>
              <c:extLst>
                <c:ext xmlns:c15="http://schemas.microsoft.com/office/drawing/2012/chart" uri="{02D57815-91ED-43cb-92C2-25804820EDAC}">
                  <c15:fullRef>
                    <c15:sqref>'Industrial Process'!$B$39:$AI$39</c15:sqref>
                  </c15:fullRef>
                </c:ext>
              </c:extLst>
              <c:f>'Industrial Process'!$C$39:$AI$39</c:f>
              <c:strCache>
                <c:ptCount val="33"/>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pt idx="29">
                  <c:v>2020</c:v>
                </c:pt>
                <c:pt idx="30">
                  <c:v>2021</c:v>
                </c:pt>
                <c:pt idx="31">
                  <c:v>2022</c:v>
                </c:pt>
                <c:pt idx="32">
                  <c:v>2023</c:v>
                </c:pt>
              </c:strCache>
            </c:strRef>
          </c:cat>
          <c:val>
            <c:numRef>
              <c:extLst>
                <c:ext xmlns:c15="http://schemas.microsoft.com/office/drawing/2012/chart" uri="{02D57815-91ED-43cb-92C2-25804820EDAC}">
                  <c15:fullRef>
                    <c15:sqref>'Industrial Process'!$B$57:$AI$57</c15:sqref>
                  </c15:fullRef>
                </c:ext>
              </c:extLst>
              <c:f>'Industrial Process'!$C$57:$AI$57</c:f>
              <c:numCache>
                <c:formatCode>_(* #,##0_);_(* \(#,##0\);_(* "-"??_);_(@_)</c:formatCode>
                <c:ptCount val="33"/>
                <c:pt idx="0">
                  <c:v>9103.9363622645342</c:v>
                </c:pt>
                <c:pt idx="1">
                  <c:v>9103.9363622645342</c:v>
                </c:pt>
                <c:pt idx="2">
                  <c:v>9103.9363622645342</c:v>
                </c:pt>
                <c:pt idx="3">
                  <c:v>9103.9363622645342</c:v>
                </c:pt>
                <c:pt idx="4">
                  <c:v>9103.9363622645342</c:v>
                </c:pt>
                <c:pt idx="5">
                  <c:v>9103.9363622645342</c:v>
                </c:pt>
                <c:pt idx="6">
                  <c:v>9103.9363622645342</c:v>
                </c:pt>
                <c:pt idx="7">
                  <c:v>9103.9363622645342</c:v>
                </c:pt>
                <c:pt idx="8">
                  <c:v>9103.9363622645342</c:v>
                </c:pt>
                <c:pt idx="9">
                  <c:v>9103.9363622645342</c:v>
                </c:pt>
                <c:pt idx="10">
                  <c:v>9103.9363622645342</c:v>
                </c:pt>
                <c:pt idx="11">
                  <c:v>9103.9363622645342</c:v>
                </c:pt>
                <c:pt idx="12">
                  <c:v>9103.9363622645342</c:v>
                </c:pt>
                <c:pt idx="13">
                  <c:v>9103.9363622645342</c:v>
                </c:pt>
                <c:pt idx="14">
                  <c:v>49732.930686197993</c:v>
                </c:pt>
                <c:pt idx="15">
                  <c:v>49732.930686197993</c:v>
                </c:pt>
                <c:pt idx="16">
                  <c:v>50080.730686197989</c:v>
                </c:pt>
                <c:pt idx="17">
                  <c:v>91505.850951920031</c:v>
                </c:pt>
                <c:pt idx="18">
                  <c:v>65866.948715557432</c:v>
                </c:pt>
                <c:pt idx="19">
                  <c:v>41195.757080329589</c:v>
                </c:pt>
                <c:pt idx="20">
                  <c:v>30597.54011503841</c:v>
                </c:pt>
                <c:pt idx="21">
                  <c:v>25765.658268994041</c:v>
                </c:pt>
                <c:pt idx="22">
                  <c:v>34929.934991987771</c:v>
                </c:pt>
                <c:pt idx="23">
                  <c:v>32695.292722439775</c:v>
                </c:pt>
                <c:pt idx="24">
                  <c:v>34762.987764429679</c:v>
                </c:pt>
                <c:pt idx="25">
                  <c:v>40587.736950441977</c:v>
                </c:pt>
                <c:pt idx="26">
                  <c:v>22966.660626530414</c:v>
                </c:pt>
                <c:pt idx="27">
                  <c:v>31500.224436429762</c:v>
                </c:pt>
                <c:pt idx="28">
                  <c:v>18436.830248303359</c:v>
                </c:pt>
                <c:pt idx="29">
                  <c:v>19886.038546188091</c:v>
                </c:pt>
                <c:pt idx="30">
                  <c:v>31815.033815247571</c:v>
                </c:pt>
                <c:pt idx="31">
                  <c:v>25651.493256536149</c:v>
                </c:pt>
                <c:pt idx="32">
                  <c:v>15539.194825619397</c:v>
                </c:pt>
              </c:numCache>
            </c:numRef>
          </c:val>
          <c:smooth val="0"/>
          <c:extLst>
            <c:ext xmlns:c16="http://schemas.microsoft.com/office/drawing/2014/chart" uri="{C3380CC4-5D6E-409C-BE32-E72D297353CC}">
              <c16:uniqueId val="{00000005-8F7D-4BBF-B403-0DEE35D67407}"/>
            </c:ext>
          </c:extLst>
        </c:ser>
        <c:dLbls>
          <c:showLegendKey val="0"/>
          <c:showVal val="0"/>
          <c:showCatName val="0"/>
          <c:showSerName val="0"/>
          <c:showPercent val="0"/>
          <c:showBubbleSize val="0"/>
        </c:dLbls>
        <c:marker val="1"/>
        <c:smooth val="0"/>
        <c:axId val="80211968"/>
        <c:axId val="80213504"/>
      </c:lineChart>
      <c:catAx>
        <c:axId val="80211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200">
                <a:latin typeface="Aptos" panose="020B0004020202020204" pitchFamily="34" charset="0"/>
              </a:defRPr>
            </a:pPr>
            <a:endParaRPr lang="en-US"/>
          </a:p>
        </c:txPr>
        <c:crossAx val="80213504"/>
        <c:crosses val="autoZero"/>
        <c:auto val="1"/>
        <c:lblAlgn val="ctr"/>
        <c:lblOffset val="100"/>
        <c:tickLblSkip val="1"/>
        <c:tickMarkSkip val="1"/>
        <c:noMultiLvlLbl val="0"/>
      </c:catAx>
      <c:valAx>
        <c:axId val="80213504"/>
        <c:scaling>
          <c:orientation val="minMax"/>
          <c:max val="4000000"/>
        </c:scaling>
        <c:delete val="0"/>
        <c:axPos val="l"/>
        <c:majorGridlines>
          <c:spPr>
            <a:ln w="3175">
              <a:solidFill>
                <a:srgbClr val="000000"/>
              </a:solidFill>
              <a:prstDash val="solid"/>
            </a:ln>
          </c:spPr>
        </c:majorGridlines>
        <c:title>
          <c:tx>
            <c:rich>
              <a:bodyPr rot="-5400000" vert="horz"/>
              <a:lstStyle/>
              <a:p>
                <a:pPr>
                  <a:defRPr sz="1200">
                    <a:latin typeface="Aptos" panose="020B0004020202020204" pitchFamily="34" charset="0"/>
                  </a:defRPr>
                </a:pPr>
                <a:r>
                  <a:rPr lang="en-US" sz="1200">
                    <a:latin typeface="Aptos" panose="020B0004020202020204" pitchFamily="34" charset="0"/>
                  </a:rPr>
                  <a:t>MTCO2E</a:t>
                </a:r>
              </a:p>
            </c:rich>
          </c:tx>
          <c:overlay val="0"/>
        </c:title>
        <c:numFmt formatCode="#,##0" sourceLinked="0"/>
        <c:majorTickMark val="out"/>
        <c:minorTickMark val="none"/>
        <c:tickLblPos val="nextTo"/>
        <c:spPr>
          <a:ln w="3175">
            <a:solidFill>
              <a:srgbClr val="000000"/>
            </a:solidFill>
            <a:prstDash val="solid"/>
          </a:ln>
        </c:spPr>
        <c:txPr>
          <a:bodyPr rot="0" vert="horz"/>
          <a:lstStyle/>
          <a:p>
            <a:pPr>
              <a:defRPr sz="1200">
                <a:latin typeface="Aptos" panose="020B0004020202020204" pitchFamily="34" charset="0"/>
              </a:defRPr>
            </a:pPr>
            <a:endParaRPr lang="en-US"/>
          </a:p>
        </c:txPr>
        <c:crossAx val="80211968"/>
        <c:crosses val="autoZero"/>
        <c:crossBetween val="midCat"/>
      </c:valAx>
      <c:spPr>
        <a:solidFill>
          <a:schemeClr val="bg1"/>
        </a:solidFill>
        <a:ln w="12700">
          <a:solidFill>
            <a:srgbClr val="808080"/>
          </a:solidFill>
          <a:prstDash val="solid"/>
        </a:ln>
      </c:spPr>
    </c:plotArea>
    <c:legend>
      <c:legendPos val="r"/>
      <c:layout>
        <c:manualLayout>
          <c:xMode val="edge"/>
          <c:yMode val="edge"/>
          <c:x val="0.74605071801922196"/>
          <c:y val="0.24147808916005575"/>
          <c:w val="0.24027830731684854"/>
          <c:h val="0.56591317389674112"/>
        </c:manualLayout>
      </c:layout>
      <c:overlay val="0"/>
      <c:spPr>
        <a:solidFill>
          <a:srgbClr val="FFFFFF"/>
        </a:solidFill>
        <a:ln w="3175">
          <a:solidFill>
            <a:srgbClr val="000000"/>
          </a:solidFill>
          <a:prstDash val="solid"/>
        </a:ln>
      </c:spPr>
      <c:txPr>
        <a:bodyPr/>
        <a:lstStyle/>
        <a:p>
          <a:pPr>
            <a:defRPr sz="1200">
              <a:latin typeface="Aptos" panose="020B0004020202020204" pitchFamily="34" charset="0"/>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ptos" panose="020B0004020202020204" pitchFamily="34" charset="0"/>
                <a:ea typeface="Calibri"/>
                <a:cs typeface="Calibri"/>
              </a:defRPr>
            </a:pPr>
            <a:r>
              <a:rPr lang="en-US" sz="1800" b="1" i="0" u="none" strike="noStrike" baseline="0">
                <a:effectLst/>
                <a:latin typeface="Aptos" panose="020B0004020202020204" pitchFamily="34" charset="0"/>
              </a:rPr>
              <a:t>Massachusetts Biogenic</a:t>
            </a:r>
            <a:r>
              <a:rPr lang="en-US" sz="1800" b="1" i="0" u="none" strike="noStrike" baseline="-25000">
                <a:effectLst/>
                <a:latin typeface="Aptos" panose="020B0004020202020204" pitchFamily="34" charset="0"/>
              </a:rPr>
              <a:t> </a:t>
            </a:r>
            <a:r>
              <a:rPr lang="en-US" sz="1800" b="1" i="0" u="none" strike="noStrike" baseline="0">
                <a:effectLst/>
                <a:latin typeface="Aptos" panose="020B0004020202020204" pitchFamily="34" charset="0"/>
              </a:rPr>
              <a:t>CO</a:t>
            </a:r>
            <a:r>
              <a:rPr lang="en-US" sz="1800" b="1" i="0" u="none" strike="noStrike" baseline="-25000">
                <a:effectLst/>
                <a:latin typeface="Aptos" panose="020B0004020202020204" pitchFamily="34" charset="0"/>
              </a:rPr>
              <a:t>2 </a:t>
            </a:r>
            <a:r>
              <a:rPr lang="en-US" sz="1800" b="1" i="0" u="none" strike="noStrike" baseline="0">
                <a:effectLst/>
                <a:latin typeface="Aptos" panose="020B0004020202020204" pitchFamily="34" charset="0"/>
              </a:rPr>
              <a:t>Emissions from Combustion </a:t>
            </a:r>
            <a:r>
              <a:rPr lang="en-US">
                <a:latin typeface="Aptos" panose="020B0004020202020204" pitchFamily="34" charset="0"/>
              </a:rPr>
              <a:t>by</a:t>
            </a:r>
            <a:r>
              <a:rPr lang="en-US" baseline="0">
                <a:latin typeface="Aptos" panose="020B0004020202020204" pitchFamily="34" charset="0"/>
              </a:rPr>
              <a:t> </a:t>
            </a:r>
            <a:r>
              <a:rPr lang="en-US">
                <a:latin typeface="Aptos" panose="020B0004020202020204" pitchFamily="34" charset="0"/>
              </a:rPr>
              <a:t>Sector</a:t>
            </a:r>
          </a:p>
        </c:rich>
      </c:tx>
      <c:layout>
        <c:manualLayout>
          <c:xMode val="edge"/>
          <c:yMode val="edge"/>
          <c:x val="5.3623067279565402E-2"/>
          <c:y val="1.3143483023001095E-2"/>
        </c:manualLayout>
      </c:layout>
      <c:overlay val="0"/>
    </c:title>
    <c:autoTitleDeleted val="0"/>
    <c:plotArea>
      <c:layout>
        <c:manualLayout>
          <c:layoutTarget val="inner"/>
          <c:xMode val="edge"/>
          <c:yMode val="edge"/>
          <c:x val="7.4573912813231252E-2"/>
          <c:y val="0.13433985045407112"/>
          <c:w val="0.69862158481708625"/>
          <c:h val="0.75600106941725387"/>
        </c:manualLayout>
      </c:layout>
      <c:lineChart>
        <c:grouping val="standard"/>
        <c:varyColors val="0"/>
        <c:ser>
          <c:idx val="4"/>
          <c:order val="0"/>
          <c:tx>
            <c:strRef>
              <c:f>'Biogenic Summary'!$A$74</c:f>
              <c:strCache>
                <c:ptCount val="1"/>
                <c:pt idx="0">
                  <c:v>    Electric (Wood, MSW, LFGTE and Imports)</c:v>
                </c:pt>
              </c:strCache>
            </c:strRef>
          </c:tx>
          <c:spPr>
            <a:ln>
              <a:solidFill>
                <a:srgbClr val="FF33CC"/>
              </a:solidFill>
            </a:ln>
          </c:spPr>
          <c:marker>
            <c:symbol val="square"/>
            <c:size val="5"/>
            <c:spPr>
              <a:solidFill>
                <a:srgbClr val="FF99FF"/>
              </a:solidFill>
              <a:ln>
                <a:solidFill>
                  <a:srgbClr val="FF99FF"/>
                </a:solidFill>
              </a:ln>
            </c:spPr>
          </c:marker>
          <c:cat>
            <c:strRef>
              <c:f>'Biogenic Summary'!$B$58:$AH$58</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'Biogenic Summary'!$B$74:$AI$74</c:f>
              <c:numCache>
                <c:formatCode>#,##0.0</c:formatCode>
                <c:ptCount val="34"/>
                <c:pt idx="0">
                  <c:v>1.4598545940000001</c:v>
                </c:pt>
                <c:pt idx="1">
                  <c:v>1.5266397250000001</c:v>
                </c:pt>
                <c:pt idx="2">
                  <c:v>1.646216248</c:v>
                </c:pt>
                <c:pt idx="3">
                  <c:v>1.7485106620000002</c:v>
                </c:pt>
                <c:pt idx="4">
                  <c:v>1.910060334</c:v>
                </c:pt>
                <c:pt idx="5">
                  <c:v>1.830508829</c:v>
                </c:pt>
                <c:pt idx="6">
                  <c:v>1.89171134225</c:v>
                </c:pt>
                <c:pt idx="7">
                  <c:v>1.9365334247999999</c:v>
                </c:pt>
                <c:pt idx="8">
                  <c:v>1.9236398668599997</c:v>
                </c:pt>
                <c:pt idx="9">
                  <c:v>1.8926339732949997</c:v>
                </c:pt>
                <c:pt idx="10">
                  <c:v>1.8661558132949998</c:v>
                </c:pt>
                <c:pt idx="11">
                  <c:v>2.4160944058295222</c:v>
                </c:pt>
                <c:pt idx="12">
                  <c:v>2.5594017663342474</c:v>
                </c:pt>
                <c:pt idx="13">
                  <c:v>2.1898975667270975</c:v>
                </c:pt>
                <c:pt idx="14">
                  <c:v>2.1342491156242485</c:v>
                </c:pt>
                <c:pt idx="15">
                  <c:v>2.7961652352009967</c:v>
                </c:pt>
                <c:pt idx="16">
                  <c:v>2.4240198388235594</c:v>
                </c:pt>
                <c:pt idx="17">
                  <c:v>3.0844169355471314</c:v>
                </c:pt>
                <c:pt idx="18">
                  <c:v>3.2657280891448561</c:v>
                </c:pt>
                <c:pt idx="19">
                  <c:v>3.1127777982653111</c:v>
                </c:pt>
                <c:pt idx="20">
                  <c:v>3.3256453469697895</c:v>
                </c:pt>
                <c:pt idx="21">
                  <c:v>3.0452483606855165</c:v>
                </c:pt>
                <c:pt idx="22">
                  <c:v>2.9641930025587442</c:v>
                </c:pt>
                <c:pt idx="23">
                  <c:v>3.0398850769147376</c:v>
                </c:pt>
                <c:pt idx="24">
                  <c:v>2.9895505353429255</c:v>
                </c:pt>
                <c:pt idx="25">
                  <c:v>3.2079502160504116</c:v>
                </c:pt>
                <c:pt idx="26">
                  <c:v>2.8992057147162047</c:v>
                </c:pt>
                <c:pt idx="27">
                  <c:v>1.9722075297188426</c:v>
                </c:pt>
                <c:pt idx="28">
                  <c:v>2.1299674967706905</c:v>
                </c:pt>
                <c:pt idx="29">
                  <c:v>2.02613831769062</c:v>
                </c:pt>
                <c:pt idx="30">
                  <c:v>2.0517079667553473</c:v>
                </c:pt>
                <c:pt idx="31">
                  <c:v>1.8870578390119175</c:v>
                </c:pt>
                <c:pt idx="32">
                  <c:v>1.9105986135582551</c:v>
                </c:pt>
                <c:pt idx="33">
                  <c:v>1.9844392405460916</c:v>
                </c:pt>
              </c:numCache>
            </c:numRef>
          </c:val>
          <c:smooth val="0"/>
          <c:extLst>
            <c:ext xmlns:c16="http://schemas.microsoft.com/office/drawing/2014/chart" uri="{C3380CC4-5D6E-409C-BE32-E72D297353CC}">
              <c16:uniqueId val="{00000000-9191-45BC-9202-AC03F4AC808D}"/>
            </c:ext>
          </c:extLst>
        </c:ser>
        <c:ser>
          <c:idx val="3"/>
          <c:order val="1"/>
          <c:tx>
            <c:strRef>
              <c:f>'Biogenic Summary'!$A$71</c:f>
              <c:strCache>
                <c:ptCount val="1"/>
                <c:pt idx="0">
                  <c:v>     Transportation (Ethanol and Biodiesel)</c:v>
                </c:pt>
              </c:strCache>
            </c:strRef>
          </c:tx>
          <c:marker>
            <c:symbol val="square"/>
            <c:size val="5"/>
            <c:spPr>
              <a:solidFill>
                <a:schemeClr val="accent4">
                  <a:lumMod val="20000"/>
                  <a:lumOff val="80000"/>
                </a:schemeClr>
              </a:solidFill>
            </c:spPr>
          </c:marker>
          <c:cat>
            <c:strRef>
              <c:f>'Biogenic Summary'!$B$58:$AH$58</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'Biogenic Summary'!$B$71:$AI$71</c:f>
              <c:numCache>
                <c:formatCode>#,##0.0_);\(#,##0.0\)</c:formatCode>
                <c:ptCount val="34"/>
                <c:pt idx="0" formatCode="#,##0.0">
                  <c:v>0</c:v>
                </c:pt>
                <c:pt idx="1">
                  <c:v>0</c:v>
                </c:pt>
                <c:pt idx="2">
                  <c:v>0</c:v>
                </c:pt>
                <c:pt idx="3">
                  <c:v>0</c:v>
                </c:pt>
                <c:pt idx="4">
                  <c:v>0</c:v>
                </c:pt>
                <c:pt idx="5">
                  <c:v>0</c:v>
                </c:pt>
                <c:pt idx="6">
                  <c:v>0</c:v>
                </c:pt>
                <c:pt idx="7">
                  <c:v>0</c:v>
                </c:pt>
                <c:pt idx="8">
                  <c:v>0</c:v>
                </c:pt>
                <c:pt idx="9">
                  <c:v>0</c:v>
                </c:pt>
                <c:pt idx="10">
                  <c:v>0</c:v>
                </c:pt>
                <c:pt idx="11">
                  <c:v>5.1687999999999994E-4</c:v>
                </c:pt>
                <c:pt idx="12">
                  <c:v>5.7399199999999991E-3</c:v>
                </c:pt>
                <c:pt idx="13">
                  <c:v>5.5922399999999992E-3</c:v>
                </c:pt>
                <c:pt idx="14">
                  <c:v>4.8142079999999997E-2</c:v>
                </c:pt>
                <c:pt idx="15">
                  <c:v>0.41633923999999994</c:v>
                </c:pt>
                <c:pt idx="16">
                  <c:v>1.1260932000000001</c:v>
                </c:pt>
                <c:pt idx="17">
                  <c:v>1.4485750799999999</c:v>
                </c:pt>
                <c:pt idx="18">
                  <c:v>1.2084777599999998</c:v>
                </c:pt>
                <c:pt idx="19">
                  <c:v>1.3382363599999998</c:v>
                </c:pt>
                <c:pt idx="20">
                  <c:v>1.6657056799999996</c:v>
                </c:pt>
                <c:pt idx="21">
                  <c:v>1.6355745599999998</c:v>
                </c:pt>
                <c:pt idx="22">
                  <c:v>1.5910489999999999</c:v>
                </c:pt>
                <c:pt idx="23">
                  <c:v>1.6668017599999998</c:v>
                </c:pt>
                <c:pt idx="24">
                  <c:v>1.6304496399999997</c:v>
                </c:pt>
                <c:pt idx="25">
                  <c:v>1.6568304399999996</c:v>
                </c:pt>
                <c:pt idx="26">
                  <c:v>1.6997741599999996</c:v>
                </c:pt>
                <c:pt idx="27">
                  <c:v>1.6654035599999999</c:v>
                </c:pt>
                <c:pt idx="28">
                  <c:v>1.6577468</c:v>
                </c:pt>
                <c:pt idx="29">
                  <c:v>1.6435361199999998</c:v>
                </c:pt>
                <c:pt idx="30">
                  <c:v>1.3300959999999997</c:v>
                </c:pt>
                <c:pt idx="31">
                  <c:v>1.4812364799999997</c:v>
                </c:pt>
                <c:pt idx="32">
                  <c:v>1.4798507199999997</c:v>
                </c:pt>
                <c:pt idx="33">
                  <c:v>1.5148038800000001</c:v>
                </c:pt>
              </c:numCache>
            </c:numRef>
          </c:val>
          <c:smooth val="0"/>
          <c:extLst>
            <c:ext xmlns:c16="http://schemas.microsoft.com/office/drawing/2014/chart" uri="{C3380CC4-5D6E-409C-BE32-E72D297353CC}">
              <c16:uniqueId val="{00000001-9191-45BC-9202-AC03F4AC808D}"/>
            </c:ext>
          </c:extLst>
        </c:ser>
        <c:ser>
          <c:idx val="0"/>
          <c:order val="2"/>
          <c:tx>
            <c:strRef>
              <c:f>'Biogenic Summary'!$A$60</c:f>
              <c:strCache>
                <c:ptCount val="1"/>
                <c:pt idx="0">
                  <c:v>     Residential (Wood and Biodiesel)</c:v>
                </c:pt>
              </c:strCache>
            </c:strRef>
          </c:tx>
          <c:spPr>
            <a:ln>
              <a:solidFill>
                <a:schemeClr val="accent5">
                  <a:lumMod val="75000"/>
                </a:schemeClr>
              </a:solidFill>
            </a:ln>
          </c:spPr>
          <c:marker>
            <c:symbol val="circle"/>
            <c:size val="5"/>
            <c:spPr>
              <a:solidFill>
                <a:srgbClr val="0070C0"/>
              </a:solidFill>
              <a:ln>
                <a:solidFill>
                  <a:schemeClr val="accent5">
                    <a:lumMod val="75000"/>
                  </a:schemeClr>
                </a:solidFill>
              </a:ln>
            </c:spPr>
          </c:marker>
          <c:cat>
            <c:strRef>
              <c:f>'Biogenic Summary'!$B$58:$AH$58</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'Biogenic Summary'!$B$60:$AI$60</c:f>
              <c:numCache>
                <c:formatCode>#,##0.0</c:formatCode>
                <c:ptCount val="34"/>
                <c:pt idx="0">
                  <c:v>1.6956225999999999</c:v>
                </c:pt>
                <c:pt idx="1">
                  <c:v>1.7776038000000001</c:v>
                </c:pt>
                <c:pt idx="2">
                  <c:v>1.8650253999999999</c:v>
                </c:pt>
                <c:pt idx="3">
                  <c:v>1.9297473999999999</c:v>
                </c:pt>
                <c:pt idx="4">
                  <c:v>1.8317264</c:v>
                </c:pt>
                <c:pt idx="5">
                  <c:v>1.8317264</c:v>
                </c:pt>
                <c:pt idx="6">
                  <c:v>1.9021702</c:v>
                </c:pt>
                <c:pt idx="7">
                  <c:v>1.3628201999999998</c:v>
                </c:pt>
                <c:pt idx="8">
                  <c:v>1.2110517999999999</c:v>
                </c:pt>
                <c:pt idx="9">
                  <c:v>1.2429437999999999</c:v>
                </c:pt>
                <c:pt idx="10">
                  <c:v>1.3385259999999999</c:v>
                </c:pt>
                <c:pt idx="11">
                  <c:v>1.0788416799999998</c:v>
                </c:pt>
                <c:pt idx="12">
                  <c:v>1.0954582399999999</c:v>
                </c:pt>
                <c:pt idx="13">
                  <c:v>1.1529037599999998</c:v>
                </c:pt>
                <c:pt idx="14">
                  <c:v>1.1823649200000002</c:v>
                </c:pt>
                <c:pt idx="15">
                  <c:v>0.34008371999999998</c:v>
                </c:pt>
                <c:pt idx="16">
                  <c:v>0.31047555999999993</c:v>
                </c:pt>
                <c:pt idx="17">
                  <c:v>0.34638283999999997</c:v>
                </c:pt>
                <c:pt idx="18">
                  <c:v>0.38302379999999997</c:v>
                </c:pt>
                <c:pt idx="19">
                  <c:v>0.97297387999999996</c:v>
                </c:pt>
                <c:pt idx="20">
                  <c:v>1.03935844</c:v>
                </c:pt>
                <c:pt idx="21">
                  <c:v>1.0391418399999999</c:v>
                </c:pt>
                <c:pt idx="22">
                  <c:v>0.87398403999999985</c:v>
                </c:pt>
                <c:pt idx="23">
                  <c:v>1.1795117999999998</c:v>
                </c:pt>
                <c:pt idx="24">
                  <c:v>1.1638631599999998</c:v>
                </c:pt>
                <c:pt idx="25">
                  <c:v>1.0547287599999999</c:v>
                </c:pt>
                <c:pt idx="26">
                  <c:v>0.89065439999999996</c:v>
                </c:pt>
                <c:pt idx="27">
                  <c:v>0.86714708000000007</c:v>
                </c:pt>
                <c:pt idx="28">
                  <c:v>0.85706191999999992</c:v>
                </c:pt>
                <c:pt idx="29">
                  <c:v>1.0207363599999999</c:v>
                </c:pt>
                <c:pt idx="30">
                  <c:v>0.95573976000000005</c:v>
                </c:pt>
                <c:pt idx="31">
                  <c:v>0.9706554799999999</c:v>
                </c:pt>
                <c:pt idx="32">
                  <c:v>1.2052124799999999</c:v>
                </c:pt>
                <c:pt idx="33">
                  <c:v>1.05022532</c:v>
                </c:pt>
              </c:numCache>
            </c:numRef>
          </c:val>
          <c:smooth val="0"/>
          <c:extLst>
            <c:ext xmlns:c16="http://schemas.microsoft.com/office/drawing/2014/chart" uri="{C3380CC4-5D6E-409C-BE32-E72D297353CC}">
              <c16:uniqueId val="{00000002-9191-45BC-9202-AC03F4AC808D}"/>
            </c:ext>
          </c:extLst>
        </c:ser>
        <c:ser>
          <c:idx val="2"/>
          <c:order val="3"/>
          <c:tx>
            <c:strRef>
              <c:f>'Biogenic Summary'!$A$67</c:f>
              <c:strCache>
                <c:ptCount val="1"/>
                <c:pt idx="0">
                  <c:v>     Industrial (Wood and Ethanol, MSW)</c:v>
                </c:pt>
              </c:strCache>
            </c:strRef>
          </c:tx>
          <c:spPr>
            <a:ln>
              <a:solidFill>
                <a:schemeClr val="accent2">
                  <a:lumMod val="75000"/>
                </a:schemeClr>
              </a:solidFill>
            </a:ln>
          </c:spPr>
          <c:marker>
            <c:symbol val="triangle"/>
            <c:size val="6"/>
            <c:spPr>
              <a:solidFill>
                <a:srgbClr val="C00000"/>
              </a:solidFill>
              <a:ln>
                <a:solidFill>
                  <a:schemeClr val="accent2">
                    <a:lumMod val="75000"/>
                  </a:schemeClr>
                </a:solidFill>
              </a:ln>
            </c:spPr>
          </c:marker>
          <c:dPt>
            <c:idx val="24"/>
            <c:bubble3D val="0"/>
            <c:spPr>
              <a:ln>
                <a:solidFill>
                  <a:srgbClr val="C00000"/>
                </a:solidFill>
              </a:ln>
            </c:spPr>
            <c:extLst>
              <c:ext xmlns:c16="http://schemas.microsoft.com/office/drawing/2014/chart" uri="{C3380CC4-5D6E-409C-BE32-E72D297353CC}">
                <c16:uniqueId val="{00000004-9191-45BC-9202-AC03F4AC808D}"/>
              </c:ext>
            </c:extLst>
          </c:dPt>
          <c:cat>
            <c:strRef>
              <c:f>'Biogenic Summary'!$B$58:$AH$58</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'Biogenic Summary'!$B$67:$AI$67</c:f>
              <c:numCache>
                <c:formatCode>#,##0.0</c:formatCode>
                <c:ptCount val="34"/>
                <c:pt idx="0">
                  <c:v>0.68227650103199999</c:v>
                </c:pt>
                <c:pt idx="1">
                  <c:v>0.69405338691999996</c:v>
                </c:pt>
                <c:pt idx="2">
                  <c:v>0.69158107199999996</c:v>
                </c:pt>
                <c:pt idx="3">
                  <c:v>0.66793132639999997</c:v>
                </c:pt>
                <c:pt idx="4">
                  <c:v>0.72294081523999998</c:v>
                </c:pt>
                <c:pt idx="5">
                  <c:v>0.81555899549600008</c:v>
                </c:pt>
                <c:pt idx="6">
                  <c:v>0.81953060299999991</c:v>
                </c:pt>
                <c:pt idx="7">
                  <c:v>0.87065974999999995</c:v>
                </c:pt>
                <c:pt idx="8">
                  <c:v>0.65099919800000006</c:v>
                </c:pt>
                <c:pt idx="9">
                  <c:v>0.63904305999999989</c:v>
                </c:pt>
                <c:pt idx="10">
                  <c:v>0.61064637599999994</c:v>
                </c:pt>
                <c:pt idx="11">
                  <c:v>0.46465139999999999</c:v>
                </c:pt>
                <c:pt idx="12">
                  <c:v>0.30349843999999998</c:v>
                </c:pt>
                <c:pt idx="13">
                  <c:v>0.30868223999999994</c:v>
                </c:pt>
                <c:pt idx="14">
                  <c:v>0.32675119999999996</c:v>
                </c:pt>
                <c:pt idx="15">
                  <c:v>0.33605028000000003</c:v>
                </c:pt>
                <c:pt idx="16">
                  <c:v>0.39946616000000001</c:v>
                </c:pt>
                <c:pt idx="17">
                  <c:v>0.42032837999999995</c:v>
                </c:pt>
                <c:pt idx="18">
                  <c:v>0.40263215999999996</c:v>
                </c:pt>
                <c:pt idx="19">
                  <c:v>0.37123425999999993</c:v>
                </c:pt>
                <c:pt idx="20">
                  <c:v>0.54393298000000001</c:v>
                </c:pt>
                <c:pt idx="21">
                  <c:v>0.72034959999999981</c:v>
                </c:pt>
                <c:pt idx="22">
                  <c:v>0.71491311999999985</c:v>
                </c:pt>
                <c:pt idx="23">
                  <c:v>0.71637317999999983</c:v>
                </c:pt>
                <c:pt idx="24">
                  <c:v>0.68942389999999998</c:v>
                </c:pt>
                <c:pt idx="25">
                  <c:v>0.69121518000000004</c:v>
                </c:pt>
                <c:pt idx="26">
                  <c:v>0.68929881999999998</c:v>
                </c:pt>
                <c:pt idx="27">
                  <c:v>0.32029995999999994</c:v>
                </c:pt>
                <c:pt idx="28">
                  <c:v>0.30491501999999998</c:v>
                </c:pt>
                <c:pt idx="29">
                  <c:v>0.32161964000000004</c:v>
                </c:pt>
                <c:pt idx="30">
                  <c:v>0.31596079999999999</c:v>
                </c:pt>
                <c:pt idx="31">
                  <c:v>0.30179099999999998</c:v>
                </c:pt>
                <c:pt idx="32">
                  <c:v>0.32842458000000002</c:v>
                </c:pt>
                <c:pt idx="33">
                  <c:v>0.32023308</c:v>
                </c:pt>
              </c:numCache>
            </c:numRef>
          </c:val>
          <c:smooth val="0"/>
          <c:extLst>
            <c:ext xmlns:c16="http://schemas.microsoft.com/office/drawing/2014/chart" uri="{C3380CC4-5D6E-409C-BE32-E72D297353CC}">
              <c16:uniqueId val="{00000005-9191-45BC-9202-AC03F4AC808D}"/>
            </c:ext>
          </c:extLst>
        </c:ser>
        <c:ser>
          <c:idx val="1"/>
          <c:order val="4"/>
          <c:tx>
            <c:strRef>
              <c:f>'Biogenic Summary'!$A$63</c:f>
              <c:strCache>
                <c:ptCount val="1"/>
                <c:pt idx="0">
                  <c:v>     Commercial (Wood, Ethanol and Biogas)</c:v>
                </c:pt>
              </c:strCache>
            </c:strRef>
          </c:tx>
          <c:spPr>
            <a:ln>
              <a:solidFill>
                <a:schemeClr val="accent1">
                  <a:lumMod val="50000"/>
                </a:schemeClr>
              </a:solidFill>
            </a:ln>
          </c:spPr>
          <c:marker>
            <c:symbol val="square"/>
            <c:size val="5"/>
            <c:spPr>
              <a:solidFill>
                <a:schemeClr val="accent1">
                  <a:lumMod val="20000"/>
                  <a:lumOff val="80000"/>
                </a:schemeClr>
              </a:solidFill>
              <a:ln>
                <a:solidFill>
                  <a:schemeClr val="accent1">
                    <a:lumMod val="50000"/>
                  </a:schemeClr>
                </a:solidFill>
              </a:ln>
            </c:spPr>
          </c:marker>
          <c:dPt>
            <c:idx val="24"/>
            <c:marker>
              <c:spPr>
                <a:solidFill>
                  <a:schemeClr val="tx2">
                    <a:lumMod val="20000"/>
                    <a:lumOff val="80000"/>
                  </a:schemeClr>
                </a:solidFill>
                <a:ln>
                  <a:solidFill>
                    <a:schemeClr val="accent1">
                      <a:lumMod val="50000"/>
                    </a:schemeClr>
                  </a:solidFill>
                </a:ln>
              </c:spPr>
            </c:marker>
            <c:bubble3D val="0"/>
            <c:extLst>
              <c:ext xmlns:c16="http://schemas.microsoft.com/office/drawing/2014/chart" uri="{C3380CC4-5D6E-409C-BE32-E72D297353CC}">
                <c16:uniqueId val="{00000006-9191-45BC-9202-AC03F4AC808D}"/>
              </c:ext>
            </c:extLst>
          </c:dPt>
          <c:trendline>
            <c:trendlineType val="linear"/>
            <c:dispRSqr val="0"/>
            <c:dispEq val="0"/>
          </c:trendline>
          <c:cat>
            <c:strRef>
              <c:f>'Biogenic Summary'!$B$58:$AH$58</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'Biogenic Summary'!$B$63:$AI$63</c:f>
              <c:numCache>
                <c:formatCode>#,##0.0</c:formatCode>
                <c:ptCount val="34"/>
                <c:pt idx="0">
                  <c:v>0.18534880000000001</c:v>
                </c:pt>
                <c:pt idx="1">
                  <c:v>0.1935094</c:v>
                </c:pt>
                <c:pt idx="2">
                  <c:v>0.204015</c:v>
                </c:pt>
                <c:pt idx="3">
                  <c:v>0.25973219999999997</c:v>
                </c:pt>
                <c:pt idx="4">
                  <c:v>0.2487576</c:v>
                </c:pt>
                <c:pt idx="5">
                  <c:v>0.25110259999999995</c:v>
                </c:pt>
                <c:pt idx="6">
                  <c:v>0.260764</c:v>
                </c:pt>
                <c:pt idx="7">
                  <c:v>0.22765259999999998</c:v>
                </c:pt>
                <c:pt idx="8">
                  <c:v>0.19885599999999998</c:v>
                </c:pt>
                <c:pt idx="9">
                  <c:v>0.20917399999999997</c:v>
                </c:pt>
                <c:pt idx="10">
                  <c:v>0.26186996999999995</c:v>
                </c:pt>
                <c:pt idx="11">
                  <c:v>0.22391532</c:v>
                </c:pt>
                <c:pt idx="12">
                  <c:v>0.23949828999999997</c:v>
                </c:pt>
                <c:pt idx="13">
                  <c:v>0.24163945000000001</c:v>
                </c:pt>
                <c:pt idx="14">
                  <c:v>0.28818201999999998</c:v>
                </c:pt>
                <c:pt idx="15">
                  <c:v>0.10227489800035884</c:v>
                </c:pt>
                <c:pt idx="16">
                  <c:v>0.10254864257308312</c:v>
                </c:pt>
                <c:pt idx="17">
                  <c:v>0.10390854789095262</c:v>
                </c:pt>
                <c:pt idx="18">
                  <c:v>0.10713128972068067</c:v>
                </c:pt>
                <c:pt idx="19">
                  <c:v>0.18842451671705163</c:v>
                </c:pt>
                <c:pt idx="20">
                  <c:v>0.18316232256902812</c:v>
                </c:pt>
                <c:pt idx="21">
                  <c:v>0.18420758152010158</c:v>
                </c:pt>
                <c:pt idx="22">
                  <c:v>0.16404201454015915</c:v>
                </c:pt>
                <c:pt idx="23">
                  <c:v>0.18451015529503584</c:v>
                </c:pt>
                <c:pt idx="24">
                  <c:v>0.18492002610651809</c:v>
                </c:pt>
                <c:pt idx="25">
                  <c:v>0.21887774576294372</c:v>
                </c:pt>
                <c:pt idx="26">
                  <c:v>0.20936973854566643</c:v>
                </c:pt>
                <c:pt idx="27">
                  <c:v>0.21398812569229841</c:v>
                </c:pt>
                <c:pt idx="28">
                  <c:v>0.19128214880687142</c:v>
                </c:pt>
                <c:pt idx="29">
                  <c:v>0.2104823806354893</c:v>
                </c:pt>
                <c:pt idx="30">
                  <c:v>0.26173269245814385</c:v>
                </c:pt>
                <c:pt idx="31">
                  <c:v>0.26218548540447728</c:v>
                </c:pt>
                <c:pt idx="32">
                  <c:v>0.26423797179619885</c:v>
                </c:pt>
                <c:pt idx="33">
                  <c:v>0.26467733507141133</c:v>
                </c:pt>
              </c:numCache>
            </c:numRef>
          </c:val>
          <c:smooth val="0"/>
          <c:extLst>
            <c:ext xmlns:c16="http://schemas.microsoft.com/office/drawing/2014/chart" uri="{C3380CC4-5D6E-409C-BE32-E72D297353CC}">
              <c16:uniqueId val="{00000008-9191-45BC-9202-AC03F4AC808D}"/>
            </c:ext>
          </c:extLst>
        </c:ser>
        <c:ser>
          <c:idx val="5"/>
          <c:order val="5"/>
          <c:tx>
            <c:strRef>
              <c:f>'Biogenic Summary'!$A$79</c:f>
              <c:strCache>
                <c:ptCount val="1"/>
                <c:pt idx="0">
                  <c:v>    Waste (LFG and Digester Gas)</c:v>
                </c:pt>
              </c:strCache>
            </c:strRef>
          </c:tx>
          <c:spPr>
            <a:ln>
              <a:solidFill>
                <a:schemeClr val="bg2">
                  <a:lumMod val="25000"/>
                </a:schemeClr>
              </a:solidFill>
            </a:ln>
          </c:spPr>
          <c:marker>
            <c:symbol val="circle"/>
            <c:size val="5"/>
            <c:spPr>
              <a:solidFill>
                <a:schemeClr val="bg2">
                  <a:lumMod val="75000"/>
                </a:schemeClr>
              </a:solidFill>
              <a:ln>
                <a:solidFill>
                  <a:srgbClr val="EEECE1">
                    <a:lumMod val="25000"/>
                  </a:srgbClr>
                </a:solidFill>
              </a:ln>
            </c:spPr>
          </c:marker>
          <c:cat>
            <c:strRef>
              <c:f>'Biogenic Summary'!$B$58:$AH$58</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'Biogenic Summary'!$B$79:$AI$79</c:f>
              <c:numCache>
                <c:formatCode>#,##0.0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4.0229403223204334E-3</c:v>
                </c:pt>
                <c:pt idx="16">
                  <c:v>2.1040346346893218E-3</c:v>
                </c:pt>
                <c:pt idx="17">
                  <c:v>1.2048346088596121E-3</c:v>
                </c:pt>
                <c:pt idx="18">
                  <c:v>9.0003656428651346E-4</c:v>
                </c:pt>
                <c:pt idx="19">
                  <c:v>8.3103758178955595E-4</c:v>
                </c:pt>
                <c:pt idx="20">
                  <c:v>0.12703851581974127</c:v>
                </c:pt>
                <c:pt idx="21">
                  <c:v>0.11573090386183542</c:v>
                </c:pt>
                <c:pt idx="22">
                  <c:v>0.10589201631218839</c:v>
                </c:pt>
                <c:pt idx="23">
                  <c:v>0.11311639572537842</c:v>
                </c:pt>
                <c:pt idx="24">
                  <c:v>9.0843582483410942E-2</c:v>
                </c:pt>
                <c:pt idx="25">
                  <c:v>2.5207599175241079E-2</c:v>
                </c:pt>
                <c:pt idx="26">
                  <c:v>3.2276667541599829E-2</c:v>
                </c:pt>
                <c:pt idx="27">
                  <c:v>3.0460383440444098E-2</c:v>
                </c:pt>
                <c:pt idx="28">
                  <c:v>2.9175669389713256E-2</c:v>
                </c:pt>
                <c:pt idx="29">
                  <c:v>2.7752398721167956E-2</c:v>
                </c:pt>
                <c:pt idx="30">
                  <c:v>2.8990015868637017E-2</c:v>
                </c:pt>
                <c:pt idx="31">
                  <c:v>2.9181942233760409E-2</c:v>
                </c:pt>
                <c:pt idx="32">
                  <c:v>2.7232482256013157E-2</c:v>
                </c:pt>
                <c:pt idx="33">
                  <c:v>1.8775632707999999E-2</c:v>
                </c:pt>
              </c:numCache>
            </c:numRef>
          </c:val>
          <c:smooth val="0"/>
          <c:extLst>
            <c:ext xmlns:c16="http://schemas.microsoft.com/office/drawing/2014/chart" uri="{C3380CC4-5D6E-409C-BE32-E72D297353CC}">
              <c16:uniqueId val="{00000009-9191-45BC-9202-AC03F4AC808D}"/>
            </c:ext>
          </c:extLst>
        </c:ser>
        <c:dLbls>
          <c:showLegendKey val="0"/>
          <c:showVal val="0"/>
          <c:showCatName val="0"/>
          <c:showSerName val="0"/>
          <c:showPercent val="0"/>
          <c:showBubbleSize val="0"/>
        </c:dLbls>
        <c:marker val="1"/>
        <c:smooth val="0"/>
        <c:axId val="79599488"/>
        <c:axId val="79601024"/>
      </c:lineChart>
      <c:catAx>
        <c:axId val="79599488"/>
        <c:scaling>
          <c:orientation val="minMax"/>
        </c:scaling>
        <c:delete val="0"/>
        <c:axPos val="b"/>
        <c:numFmt formatCode="General" sourceLinked="1"/>
        <c:majorTickMark val="out"/>
        <c:minorTickMark val="none"/>
        <c:tickLblPos val="nextTo"/>
        <c:txPr>
          <a:bodyPr rot="-5400000" vert="horz"/>
          <a:lstStyle/>
          <a:p>
            <a:pPr>
              <a:defRPr sz="1200" b="1" i="0" u="none" strike="noStrike" baseline="0">
                <a:solidFill>
                  <a:srgbClr val="000000"/>
                </a:solidFill>
                <a:latin typeface="Aptos" panose="020B0004020202020204" pitchFamily="34" charset="0"/>
                <a:ea typeface="Calibri"/>
                <a:cs typeface="Calibri"/>
              </a:defRPr>
            </a:pPr>
            <a:endParaRPr lang="en-US"/>
          </a:p>
        </c:txPr>
        <c:crossAx val="79601024"/>
        <c:crossesAt val="0"/>
        <c:auto val="1"/>
        <c:lblAlgn val="ctr"/>
        <c:lblOffset val="100"/>
        <c:noMultiLvlLbl val="0"/>
      </c:catAx>
      <c:valAx>
        <c:axId val="79601024"/>
        <c:scaling>
          <c:orientation val="minMax"/>
        </c:scaling>
        <c:delete val="0"/>
        <c:axPos val="l"/>
        <c:majorGridlines/>
        <c:title>
          <c:tx>
            <c:rich>
              <a:bodyPr/>
              <a:lstStyle/>
              <a:p>
                <a:pPr>
                  <a:defRPr sz="1200" b="1">
                    <a:latin typeface="Aptos" panose="020B0004020202020204" pitchFamily="34" charset="0"/>
                  </a:defRPr>
                </a:pPr>
                <a:r>
                  <a:rPr lang="en-US" sz="1200" b="1">
                    <a:latin typeface="Aptos" panose="020B0004020202020204" pitchFamily="34" charset="0"/>
                  </a:rPr>
                  <a:t>Million Metric Tons of CO</a:t>
                </a:r>
                <a:r>
                  <a:rPr lang="en-US" sz="1200" b="1" baseline="-25000">
                    <a:latin typeface="Aptos" panose="020B0004020202020204" pitchFamily="34" charset="0"/>
                  </a:rPr>
                  <a:t>2</a:t>
                </a:r>
                <a:endParaRPr lang="en-US" sz="1200" b="1">
                  <a:latin typeface="Aptos" panose="020B0004020202020204" pitchFamily="34" charset="0"/>
                </a:endParaRPr>
              </a:p>
            </c:rich>
          </c:tx>
          <c:layout>
            <c:manualLayout>
              <c:xMode val="edge"/>
              <c:yMode val="edge"/>
              <c:x val="1.8870764926486351E-2"/>
              <c:y val="0.39500737380445194"/>
            </c:manualLayout>
          </c:layout>
          <c:overlay val="0"/>
        </c:title>
        <c:numFmt formatCode="#,##0.0" sourceLinked="1"/>
        <c:majorTickMark val="out"/>
        <c:minorTickMark val="none"/>
        <c:tickLblPos val="nextTo"/>
        <c:txPr>
          <a:bodyPr rot="0" vert="horz"/>
          <a:lstStyle/>
          <a:p>
            <a:pPr>
              <a:defRPr sz="1200" b="1" i="0" u="none" strike="noStrike" baseline="0">
                <a:solidFill>
                  <a:srgbClr val="000000"/>
                </a:solidFill>
                <a:latin typeface="Aptos" panose="020B0004020202020204" pitchFamily="34" charset="0"/>
                <a:ea typeface="Calibri"/>
                <a:cs typeface="Calibri"/>
              </a:defRPr>
            </a:pPr>
            <a:endParaRPr lang="en-US"/>
          </a:p>
        </c:txPr>
        <c:crossAx val="79599488"/>
        <c:crosses val="autoZero"/>
        <c:crossBetween val="midCat"/>
      </c:valAx>
    </c:plotArea>
    <c:legend>
      <c:legendPos val="r"/>
      <c:legendEntry>
        <c:idx val="6"/>
        <c:delete val="1"/>
      </c:legendEntry>
      <c:layout>
        <c:manualLayout>
          <c:xMode val="edge"/>
          <c:yMode val="edge"/>
          <c:x val="0.78453616864770892"/>
          <c:y val="9.6956866240776499E-2"/>
          <c:w val="0.21546383135229108"/>
          <c:h val="0.86953600464080671"/>
        </c:manualLayout>
      </c:layout>
      <c:overlay val="0"/>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i="0" u="none" strike="noStrike" baseline="0">
                <a:solidFill>
                  <a:srgbClr val="000000"/>
                </a:solidFill>
                <a:latin typeface="Aptos" panose="020B0004020202020204" pitchFamily="34" charset="0"/>
                <a:ea typeface="Calibri"/>
                <a:cs typeface="Calibri"/>
              </a:defRPr>
            </a:pPr>
            <a:r>
              <a:rPr lang="en-US" sz="1600" b="1" i="0" u="none" strike="noStrike" baseline="0">
                <a:effectLst/>
                <a:latin typeface="Aptos" panose="020B0004020202020204" pitchFamily="34" charset="0"/>
              </a:rPr>
              <a:t>Biogenic CO</a:t>
            </a:r>
            <a:r>
              <a:rPr lang="en-US" sz="1600" b="1" i="0" u="none" strike="noStrike" baseline="-25000">
                <a:effectLst/>
                <a:latin typeface="Aptos" panose="020B0004020202020204" pitchFamily="34" charset="0"/>
              </a:rPr>
              <a:t>2  </a:t>
            </a:r>
            <a:r>
              <a:rPr lang="en-US" sz="1600" b="1" i="0" u="none" strike="noStrike" baseline="0">
                <a:effectLst/>
                <a:latin typeface="Aptos" panose="020B0004020202020204" pitchFamily="34" charset="0"/>
              </a:rPr>
              <a:t>Emissions from Combustion by Fuel and Sector </a:t>
            </a:r>
            <a:endParaRPr lang="en-US" sz="1600" b="1" i="0" u="none" strike="noStrike" baseline="-25000">
              <a:solidFill>
                <a:srgbClr val="000000"/>
              </a:solidFill>
              <a:latin typeface="Aptos" panose="020B0004020202020204" pitchFamily="34" charset="0"/>
            </a:endParaRPr>
          </a:p>
        </c:rich>
      </c:tx>
      <c:layout>
        <c:manualLayout>
          <c:xMode val="edge"/>
          <c:yMode val="edge"/>
          <c:x val="0.13668514365928491"/>
          <c:y val="2.3048751884737807E-2"/>
        </c:manualLayout>
      </c:layout>
      <c:overlay val="0"/>
    </c:title>
    <c:autoTitleDeleted val="0"/>
    <c:plotArea>
      <c:layout>
        <c:manualLayout>
          <c:layoutTarget val="inner"/>
          <c:xMode val="edge"/>
          <c:yMode val="edge"/>
          <c:x val="0.10161326377468287"/>
          <c:y val="9.1850061743968328E-2"/>
          <c:w val="0.59560892388451447"/>
          <c:h val="0.8390309523330044"/>
        </c:manualLayout>
      </c:layout>
      <c:areaChart>
        <c:grouping val="stacked"/>
        <c:varyColors val="0"/>
        <c:ser>
          <c:idx val="6"/>
          <c:order val="0"/>
          <c:tx>
            <c:strRef>
              <c:f>'Biogenic Summary'!$A$76</c:f>
              <c:strCache>
                <c:ptCount val="1"/>
                <c:pt idx="0">
                  <c:v>     Electric (MSW)</c:v>
                </c:pt>
              </c:strCache>
            </c:strRef>
          </c:tx>
          <c:spPr>
            <a:solidFill>
              <a:srgbClr val="002060"/>
            </a:solidFill>
          </c:spPr>
          <c:cat>
            <c:strRef>
              <c:extLst>
                <c:ext xmlns:c15="http://schemas.microsoft.com/office/drawing/2012/chart" uri="{02D57815-91ED-43cb-92C2-25804820EDAC}">
                  <c15:fullRef>
                    <c15:sqref>'Biogenic Summary'!$B$58:$AJ$58</c15:sqref>
                  </c15:fullRef>
                </c:ext>
              </c:extLst>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'Biogenic Summary'!$B$76:$AI$76</c15:sqref>
                  </c15:fullRef>
                </c:ext>
              </c:extLst>
              <c:f>'Biogenic Summary'!$B$76:$AI$76</c:f>
              <c:numCache>
                <c:formatCode>#,##0.0</c:formatCode>
                <c:ptCount val="34"/>
                <c:pt idx="0">
                  <c:v>1.4598545940000001</c:v>
                </c:pt>
                <c:pt idx="1">
                  <c:v>1.5266397250000001</c:v>
                </c:pt>
                <c:pt idx="2">
                  <c:v>1.529622848</c:v>
                </c:pt>
                <c:pt idx="3">
                  <c:v>1.6165787520000001</c:v>
                </c:pt>
                <c:pt idx="4">
                  <c:v>1.7524573289999998</c:v>
                </c:pt>
                <c:pt idx="5">
                  <c:v>1.653617004</c:v>
                </c:pt>
                <c:pt idx="6">
                  <c:v>1.707225239</c:v>
                </c:pt>
                <c:pt idx="7">
                  <c:v>1.72201206</c:v>
                </c:pt>
                <c:pt idx="8">
                  <c:v>1.6366270799999996</c:v>
                </c:pt>
                <c:pt idx="9">
                  <c:v>1.6891967999999997</c:v>
                </c:pt>
                <c:pt idx="10">
                  <c:v>1.6328902399999998</c:v>
                </c:pt>
                <c:pt idx="11">
                  <c:v>1.6047225359789996</c:v>
                </c:pt>
                <c:pt idx="12">
                  <c:v>1.4925689883439999</c:v>
                </c:pt>
                <c:pt idx="13">
                  <c:v>1.514645534325</c:v>
                </c:pt>
                <c:pt idx="14">
                  <c:v>1.550569019835</c:v>
                </c:pt>
                <c:pt idx="15">
                  <c:v>1.5733601076720001</c:v>
                </c:pt>
                <c:pt idx="16">
                  <c:v>1.5726315182000001</c:v>
                </c:pt>
                <c:pt idx="17">
                  <c:v>1.4950538127999999</c:v>
                </c:pt>
                <c:pt idx="18">
                  <c:v>1.6206373049</c:v>
                </c:pt>
                <c:pt idx="19">
                  <c:v>1.5927308196000001</c:v>
                </c:pt>
                <c:pt idx="20">
                  <c:v>1.7429429999999999</c:v>
                </c:pt>
                <c:pt idx="21">
                  <c:v>1.7277246000000002</c:v>
                </c:pt>
                <c:pt idx="22">
                  <c:v>1.618303</c:v>
                </c:pt>
                <c:pt idx="23">
                  <c:v>1.7030479999999999</c:v>
                </c:pt>
                <c:pt idx="24">
                  <c:v>1.7152989999999999</c:v>
                </c:pt>
                <c:pt idx="25">
                  <c:v>1.6561053999999999</c:v>
                </c:pt>
                <c:pt idx="26">
                  <c:v>1.6287308999999999</c:v>
                </c:pt>
                <c:pt idx="27">
                  <c:v>1.6707406</c:v>
                </c:pt>
                <c:pt idx="28">
                  <c:v>1.6940913999999998</c:v>
                </c:pt>
                <c:pt idx="29">
                  <c:v>1.7387703000000001</c:v>
                </c:pt>
                <c:pt idx="30">
                  <c:v>1.5934241</c:v>
                </c:pt>
                <c:pt idx="31">
                  <c:v>1.6504923</c:v>
                </c:pt>
                <c:pt idx="32">
                  <c:v>1.7101503</c:v>
                </c:pt>
                <c:pt idx="33">
                  <c:v>1.67208</c:v>
                </c:pt>
              </c:numCache>
            </c:numRef>
          </c:val>
          <c:extLst>
            <c:ext xmlns:c16="http://schemas.microsoft.com/office/drawing/2014/chart" uri="{C3380CC4-5D6E-409C-BE32-E72D297353CC}">
              <c16:uniqueId val="{00000000-3782-4BC7-9738-69FF4F6C5241}"/>
            </c:ext>
          </c:extLst>
        </c:ser>
        <c:ser>
          <c:idx val="14"/>
          <c:order val="1"/>
          <c:tx>
            <c:strRef>
              <c:f>'Biogenic Summary'!$A$70</c:f>
              <c:strCache>
                <c:ptCount val="1"/>
                <c:pt idx="0">
                  <c:v>     Industrial (MSW through 2022)</c:v>
                </c:pt>
              </c:strCache>
            </c:strRef>
          </c:tx>
          <c:spPr>
            <a:pattFill prst="pct5">
              <a:fgClr>
                <a:schemeClr val="tx2">
                  <a:lumMod val="75000"/>
                </a:schemeClr>
              </a:fgClr>
              <a:bgClr>
                <a:schemeClr val="bg1"/>
              </a:bgClr>
            </a:pattFill>
            <a:ln w="25400">
              <a:noFill/>
            </a:ln>
          </c:spPr>
          <c:cat>
            <c:strRef>
              <c:extLst>
                <c:ext xmlns:c15="http://schemas.microsoft.com/office/drawing/2012/chart" uri="{02D57815-91ED-43cb-92C2-25804820EDAC}">
                  <c15:fullRef>
                    <c15:sqref>'Biogenic Summary'!$B$58:$AJ$58</c15:sqref>
                  </c15:fullRef>
                </c:ext>
              </c:extLst>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'Biogenic Summary'!$B$70:$AI$70</c15:sqref>
                  </c15:fullRef>
                </c:ext>
              </c:extLst>
              <c:f>'Biogenic Summary'!$B$70:$AI$70</c:f>
              <c:numCache>
                <c:formatCode>#,##0.0</c:formatCode>
                <c:ptCount val="34"/>
                <c:pt idx="0">
                  <c:v>0.17857050103200001</c:v>
                </c:pt>
                <c:pt idx="1">
                  <c:v>0.16380198692000003</c:v>
                </c:pt>
                <c:pt idx="2">
                  <c:v>0.21413907199999999</c:v>
                </c:pt>
                <c:pt idx="3">
                  <c:v>0.16891532639999998</c:v>
                </c:pt>
                <c:pt idx="4">
                  <c:v>0.17974501524</c:v>
                </c:pt>
                <c:pt idx="5">
                  <c:v>0.165993995496</c:v>
                </c:pt>
                <c:pt idx="6">
                  <c:v>0.176437803</c:v>
                </c:pt>
                <c:pt idx="7">
                  <c:v>0.17128695000000002</c:v>
                </c:pt>
                <c:pt idx="8">
                  <c:v>5.9965398000000003E-2</c:v>
                </c:pt>
                <c:pt idx="9">
                  <c:v>2.737326E-2</c:v>
                </c:pt>
                <c:pt idx="10">
                  <c:v>2.0831975999999999E-2</c:v>
                </c:pt>
                <c:pt idx="11">
                  <c:v>3.3921799999999995E-2</c:v>
                </c:pt>
                <c:pt idx="12">
                  <c:v>1.95912E-2</c:v>
                </c:pt>
                <c:pt idx="13">
                  <c:v>1.88656E-2</c:v>
                </c:pt>
                <c:pt idx="14">
                  <c:v>1.8684200000000002E-2</c:v>
                </c:pt>
                <c:pt idx="15">
                  <c:v>1.9772600000000001E-2</c:v>
                </c:pt>
                <c:pt idx="16">
                  <c:v>6.2401599999999995E-2</c:v>
                </c:pt>
                <c:pt idx="17">
                  <c:v>7.0836700000000002E-2</c:v>
                </c:pt>
                <c:pt idx="18">
                  <c:v>6.9838999999999998E-2</c:v>
                </c:pt>
                <c:pt idx="19">
                  <c:v>7.7185699999999996E-2</c:v>
                </c:pt>
                <c:pt idx="20">
                  <c:v>4.3768899999999999E-2</c:v>
                </c:pt>
                <c:pt idx="21">
                  <c:v>4.3293999999999999E-2</c:v>
                </c:pt>
                <c:pt idx="22">
                  <c:v>3.9021E-2</c:v>
                </c:pt>
                <c:pt idx="23">
                  <c:v>3.9180699999999999E-2</c:v>
                </c:pt>
                <c:pt idx="24">
                  <c:v>3.46389E-2</c:v>
                </c:pt>
                <c:pt idx="25">
                  <c:v>3.6635500000000001E-2</c:v>
                </c:pt>
                <c:pt idx="26">
                  <c:v>3.46507E-2</c:v>
                </c:pt>
                <c:pt idx="27">
                  <c:v>3.8190000000000002E-2</c:v>
                </c:pt>
                <c:pt idx="28">
                  <c:v>2.52515E-2</c:v>
                </c:pt>
                <c:pt idx="29">
                  <c:v>4.1408599999999997E-2</c:v>
                </c:pt>
                <c:pt idx="30">
                  <c:v>3.5476000000000001E-2</c:v>
                </c:pt>
                <c:pt idx="31">
                  <c:v>2.1306200000000001E-2</c:v>
                </c:pt>
                <c:pt idx="32">
                  <c:v>8.1915000000000009E-3</c:v>
                </c:pt>
                <c:pt idx="33">
                  <c:v>0</c:v>
                </c:pt>
              </c:numCache>
            </c:numRef>
          </c:val>
          <c:extLst>
            <c:ext xmlns:c16="http://schemas.microsoft.com/office/drawing/2014/chart" uri="{C3380CC4-5D6E-409C-BE32-E72D297353CC}">
              <c16:uniqueId val="{00000001-3782-4BC7-9738-69FF4F6C5241}"/>
            </c:ext>
          </c:extLst>
        </c:ser>
        <c:ser>
          <c:idx val="1"/>
          <c:order val="2"/>
          <c:tx>
            <c:strRef>
              <c:f>'Biogenic Summary'!$A$61</c:f>
              <c:strCache>
                <c:ptCount val="1"/>
                <c:pt idx="0">
                  <c:v>     Residential (Wood)</c:v>
                </c:pt>
              </c:strCache>
            </c:strRef>
          </c:tx>
          <c:spPr>
            <a:solidFill>
              <a:srgbClr val="92D050"/>
            </a:solidFill>
            <a:ln w="25400">
              <a:noFill/>
            </a:ln>
          </c:spPr>
          <c:cat>
            <c:strRef>
              <c:extLst>
                <c:ext xmlns:c15="http://schemas.microsoft.com/office/drawing/2012/chart" uri="{02D57815-91ED-43cb-92C2-25804820EDAC}">
                  <c15:fullRef>
                    <c15:sqref>'Biogenic Summary'!$B$58:$AJ$58</c15:sqref>
                  </c15:fullRef>
                </c:ext>
              </c:extLst>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'Biogenic Summary'!$B$61:$AJ$61</c15:sqref>
                  </c15:fullRef>
                </c:ext>
              </c:extLst>
              <c:f>'Biogenic Summary'!$B$61:$AI$61</c:f>
              <c:numCache>
                <c:formatCode>#,##0.0</c:formatCode>
                <c:ptCount val="34"/>
                <c:pt idx="0">
                  <c:v>1.6956225999999999</c:v>
                </c:pt>
                <c:pt idx="1">
                  <c:v>1.7776038000000001</c:v>
                </c:pt>
                <c:pt idx="2">
                  <c:v>1.8650253999999999</c:v>
                </c:pt>
                <c:pt idx="3">
                  <c:v>1.9297473999999999</c:v>
                </c:pt>
                <c:pt idx="4">
                  <c:v>1.8317264</c:v>
                </c:pt>
                <c:pt idx="5">
                  <c:v>1.8317264</c:v>
                </c:pt>
                <c:pt idx="6">
                  <c:v>1.9021702</c:v>
                </c:pt>
                <c:pt idx="7">
                  <c:v>1.3628201999999998</c:v>
                </c:pt>
                <c:pt idx="8">
                  <c:v>1.2110517999999999</c:v>
                </c:pt>
                <c:pt idx="9">
                  <c:v>1.2429437999999999</c:v>
                </c:pt>
                <c:pt idx="10">
                  <c:v>1.3385259999999999</c:v>
                </c:pt>
                <c:pt idx="11">
                  <c:v>1.0783247999999999</c:v>
                </c:pt>
                <c:pt idx="12">
                  <c:v>1.094646</c:v>
                </c:pt>
                <c:pt idx="13">
                  <c:v>1.1522391999999999</c:v>
                </c:pt>
                <c:pt idx="14">
                  <c:v>1.1810358000000001</c:v>
                </c:pt>
                <c:pt idx="15">
                  <c:v>0.33561639999999998</c:v>
                </c:pt>
                <c:pt idx="16">
                  <c:v>0.29762739999999993</c:v>
                </c:pt>
                <c:pt idx="17">
                  <c:v>0.32895659999999999</c:v>
                </c:pt>
                <c:pt idx="18">
                  <c:v>0.36807119999999999</c:v>
                </c:pt>
                <c:pt idx="19">
                  <c:v>0.95713519999999996</c:v>
                </c:pt>
                <c:pt idx="20">
                  <c:v>1.0265472</c:v>
                </c:pt>
                <c:pt idx="21">
                  <c:v>0.99568699999999988</c:v>
                </c:pt>
                <c:pt idx="22">
                  <c:v>0.83200599999999991</c:v>
                </c:pt>
                <c:pt idx="23">
                  <c:v>1.0857349999999999</c:v>
                </c:pt>
                <c:pt idx="24">
                  <c:v>1.0987731999999999</c:v>
                </c:pt>
                <c:pt idx="25">
                  <c:v>0.98686979999999991</c:v>
                </c:pt>
                <c:pt idx="26">
                  <c:v>0.78820139999999994</c:v>
                </c:pt>
                <c:pt idx="27">
                  <c:v>0.78079120000000002</c:v>
                </c:pt>
                <c:pt idx="28">
                  <c:v>0.78041599999999989</c:v>
                </c:pt>
                <c:pt idx="29">
                  <c:v>0.95638479999999992</c:v>
                </c:pt>
                <c:pt idx="30">
                  <c:v>0.88603480000000001</c:v>
                </c:pt>
                <c:pt idx="31">
                  <c:v>0.91605079999999994</c:v>
                </c:pt>
                <c:pt idx="32">
                  <c:v>1.1541151999999999</c:v>
                </c:pt>
                <c:pt idx="33">
                  <c:v>0.98114799999999991</c:v>
                </c:pt>
              </c:numCache>
            </c:numRef>
          </c:val>
          <c:extLst>
            <c:ext xmlns:c16="http://schemas.microsoft.com/office/drawing/2014/chart" uri="{C3380CC4-5D6E-409C-BE32-E72D297353CC}">
              <c16:uniqueId val="{00000002-3782-4BC7-9738-69FF4F6C5241}"/>
            </c:ext>
          </c:extLst>
        </c:ser>
        <c:ser>
          <c:idx val="13"/>
          <c:order val="3"/>
          <c:tx>
            <c:strRef>
              <c:f>'Biogenic Summary'!$A$69</c:f>
              <c:strCache>
                <c:ptCount val="1"/>
                <c:pt idx="0">
                  <c:v>     Industrial (Wood)</c:v>
                </c:pt>
              </c:strCache>
            </c:strRef>
          </c:tx>
          <c:spPr>
            <a:pattFill prst="ltVert">
              <a:fgClr>
                <a:schemeClr val="tx2">
                  <a:lumMod val="75000"/>
                </a:schemeClr>
              </a:fgClr>
              <a:bgClr>
                <a:schemeClr val="bg1"/>
              </a:bgClr>
            </a:pattFill>
            <a:ln w="25400">
              <a:noFill/>
            </a:ln>
          </c:spPr>
          <c:cat>
            <c:strRef>
              <c:extLst>
                <c:ext xmlns:c15="http://schemas.microsoft.com/office/drawing/2012/chart" uri="{02D57815-91ED-43cb-92C2-25804820EDAC}">
                  <c15:fullRef>
                    <c15:sqref>'Biogenic Summary'!$B$58:$AJ$58</c15:sqref>
                  </c15:fullRef>
                </c:ext>
              </c:extLst>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'Biogenic Summary'!$B$69:$AI$69</c15:sqref>
                  </c15:fullRef>
                </c:ext>
              </c:extLst>
              <c:f>'Biogenic Summary'!$B$69:$AI$69</c:f>
              <c:numCache>
                <c:formatCode>#,##0.0</c:formatCode>
                <c:ptCount val="34"/>
                <c:pt idx="0">
                  <c:v>0.50370599999999999</c:v>
                </c:pt>
                <c:pt idx="1">
                  <c:v>0.53025139999999993</c:v>
                </c:pt>
                <c:pt idx="2">
                  <c:v>0.47744199999999998</c:v>
                </c:pt>
                <c:pt idx="3">
                  <c:v>0.49901599999999996</c:v>
                </c:pt>
                <c:pt idx="4">
                  <c:v>0.54319580000000001</c:v>
                </c:pt>
                <c:pt idx="5">
                  <c:v>0.64956500000000006</c:v>
                </c:pt>
                <c:pt idx="6">
                  <c:v>0.64309279999999991</c:v>
                </c:pt>
                <c:pt idx="7">
                  <c:v>0.69937279999999991</c:v>
                </c:pt>
                <c:pt idx="8">
                  <c:v>0.59103380000000005</c:v>
                </c:pt>
                <c:pt idx="9">
                  <c:v>0.61166979999999993</c:v>
                </c:pt>
                <c:pt idx="10">
                  <c:v>0.58981439999999996</c:v>
                </c:pt>
                <c:pt idx="11">
                  <c:v>0.43072959999999999</c:v>
                </c:pt>
                <c:pt idx="12">
                  <c:v>0.2838388</c:v>
                </c:pt>
                <c:pt idx="13">
                  <c:v>0.28974819999999996</c:v>
                </c:pt>
                <c:pt idx="14">
                  <c:v>0.30738260000000001</c:v>
                </c:pt>
                <c:pt idx="15">
                  <c:v>0.31066559999999999</c:v>
                </c:pt>
                <c:pt idx="16">
                  <c:v>0.32173400000000002</c:v>
                </c:pt>
                <c:pt idx="17">
                  <c:v>0.3332714</c:v>
                </c:pt>
                <c:pt idx="18">
                  <c:v>0.31985799999999998</c:v>
                </c:pt>
                <c:pt idx="19">
                  <c:v>0.28008679999999997</c:v>
                </c:pt>
                <c:pt idx="20">
                  <c:v>0.47744199999999998</c:v>
                </c:pt>
                <c:pt idx="21">
                  <c:v>0.65378599999999987</c:v>
                </c:pt>
                <c:pt idx="22">
                  <c:v>0.65378599999999987</c:v>
                </c:pt>
                <c:pt idx="23">
                  <c:v>0.65378599999999987</c:v>
                </c:pt>
                <c:pt idx="24">
                  <c:v>0.63596399999999997</c:v>
                </c:pt>
                <c:pt idx="25">
                  <c:v>0.63596399999999997</c:v>
                </c:pt>
                <c:pt idx="26">
                  <c:v>0.63596399999999997</c:v>
                </c:pt>
                <c:pt idx="27">
                  <c:v>0.26301519999999995</c:v>
                </c:pt>
                <c:pt idx="28">
                  <c:v>0.260295</c:v>
                </c:pt>
                <c:pt idx="29">
                  <c:v>0.260295</c:v>
                </c:pt>
                <c:pt idx="30">
                  <c:v>0.260295</c:v>
                </c:pt>
                <c:pt idx="31">
                  <c:v>0.260295</c:v>
                </c:pt>
                <c:pt idx="32">
                  <c:v>0.29922199999999999</c:v>
                </c:pt>
                <c:pt idx="33">
                  <c:v>0.29922199999999999</c:v>
                </c:pt>
              </c:numCache>
            </c:numRef>
          </c:val>
          <c:extLst>
            <c:ext xmlns:c16="http://schemas.microsoft.com/office/drawing/2014/chart" uri="{C3380CC4-5D6E-409C-BE32-E72D297353CC}">
              <c16:uniqueId val="{00000003-3782-4BC7-9738-69FF4F6C5241}"/>
            </c:ext>
          </c:extLst>
        </c:ser>
        <c:ser>
          <c:idx val="5"/>
          <c:order val="4"/>
          <c:tx>
            <c:strRef>
              <c:f>'Biogenic Summary'!$A$75</c:f>
              <c:strCache>
                <c:ptCount val="1"/>
                <c:pt idx="0">
                  <c:v>     Electric (Wood)</c:v>
                </c:pt>
              </c:strCache>
            </c:strRef>
          </c:tx>
          <c:spPr>
            <a:solidFill>
              <a:schemeClr val="accent3">
                <a:lumMod val="50000"/>
              </a:schemeClr>
            </a:solidFill>
          </c:spPr>
          <c:cat>
            <c:strRef>
              <c:extLst>
                <c:ext xmlns:c15="http://schemas.microsoft.com/office/drawing/2012/chart" uri="{02D57815-91ED-43cb-92C2-25804820EDAC}">
                  <c15:fullRef>
                    <c15:sqref>'Biogenic Summary'!$B$58:$AJ$58</c15:sqref>
                  </c15:fullRef>
                </c:ext>
              </c:extLst>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'Biogenic Summary'!$B$75:$AI$75</c15:sqref>
                  </c15:fullRef>
                </c:ext>
              </c:extLst>
              <c:f>'Biogenic Summary'!$B$75:$AI$75</c:f>
              <c:numCache>
                <c:formatCode>#,##0.0</c:formatCode>
                <c:ptCount val="34"/>
                <c:pt idx="0">
                  <c:v>0</c:v>
                </c:pt>
                <c:pt idx="1">
                  <c:v>0</c:v>
                </c:pt>
                <c:pt idx="2">
                  <c:v>0.11659339999999999</c:v>
                </c:pt>
                <c:pt idx="3">
                  <c:v>0.12813079999999999</c:v>
                </c:pt>
                <c:pt idx="4">
                  <c:v>0.148673</c:v>
                </c:pt>
                <c:pt idx="5">
                  <c:v>0.16452519999999998</c:v>
                </c:pt>
                <c:pt idx="6">
                  <c:v>0.16930899999999999</c:v>
                </c:pt>
                <c:pt idx="7">
                  <c:v>0.17324859999999997</c:v>
                </c:pt>
                <c:pt idx="8">
                  <c:v>0.23487519999999998</c:v>
                </c:pt>
                <c:pt idx="9">
                  <c:v>0.130382</c:v>
                </c:pt>
                <c:pt idx="10">
                  <c:v>0.1602104</c:v>
                </c:pt>
                <c:pt idx="11">
                  <c:v>0.15880339999999998</c:v>
                </c:pt>
                <c:pt idx="12">
                  <c:v>0.14482719999999999</c:v>
                </c:pt>
                <c:pt idx="13">
                  <c:v>0.17709439999999999</c:v>
                </c:pt>
                <c:pt idx="14">
                  <c:v>0.1664012</c:v>
                </c:pt>
                <c:pt idx="15">
                  <c:v>0.17596880000000001</c:v>
                </c:pt>
                <c:pt idx="16">
                  <c:v>0.17765719999999999</c:v>
                </c:pt>
                <c:pt idx="17">
                  <c:v>0.16733919999999999</c:v>
                </c:pt>
                <c:pt idx="18">
                  <c:v>0.17202919999999999</c:v>
                </c:pt>
                <c:pt idx="19">
                  <c:v>0.15448859999999998</c:v>
                </c:pt>
                <c:pt idx="20">
                  <c:v>0.14121590000000001</c:v>
                </c:pt>
                <c:pt idx="21">
                  <c:v>0.14506169999999999</c:v>
                </c:pt>
                <c:pt idx="22">
                  <c:v>0.14360780000000001</c:v>
                </c:pt>
                <c:pt idx="23">
                  <c:v>0.12520761679999998</c:v>
                </c:pt>
                <c:pt idx="24">
                  <c:v>0.21133852879999998</c:v>
                </c:pt>
                <c:pt idx="25">
                  <c:v>0.18680814039999999</c:v>
                </c:pt>
                <c:pt idx="26">
                  <c:v>0.21047003459999997</c:v>
                </c:pt>
                <c:pt idx="27">
                  <c:v>0.21208283179999998</c:v>
                </c:pt>
                <c:pt idx="28">
                  <c:v>0.18445976359999999</c:v>
                </c:pt>
                <c:pt idx="29">
                  <c:v>0.17060597259999999</c:v>
                </c:pt>
                <c:pt idx="30">
                  <c:v>0.19508101899999999</c:v>
                </c:pt>
                <c:pt idx="31">
                  <c:v>0.13148621359999998</c:v>
                </c:pt>
                <c:pt idx="32">
                  <c:v>8.2290083399999991E-2</c:v>
                </c:pt>
                <c:pt idx="33">
                  <c:v>6.9425132000000001E-2</c:v>
                </c:pt>
              </c:numCache>
            </c:numRef>
          </c:val>
          <c:extLst>
            <c:ext xmlns:c16="http://schemas.microsoft.com/office/drawing/2014/chart" uri="{C3380CC4-5D6E-409C-BE32-E72D297353CC}">
              <c16:uniqueId val="{00000004-3782-4BC7-9738-69FF4F6C5241}"/>
            </c:ext>
          </c:extLst>
        </c:ser>
        <c:ser>
          <c:idx val="11"/>
          <c:order val="5"/>
          <c:tx>
            <c:strRef>
              <c:f>'Biogenic Summary'!$A$65</c:f>
              <c:strCache>
                <c:ptCount val="1"/>
                <c:pt idx="0">
                  <c:v>     Commercial (Wood)</c:v>
                </c:pt>
              </c:strCache>
            </c:strRef>
          </c:tx>
          <c:spPr>
            <a:solidFill>
              <a:schemeClr val="accent3">
                <a:lumMod val="40000"/>
                <a:lumOff val="60000"/>
              </a:schemeClr>
            </a:solidFill>
            <a:ln w="25400">
              <a:noFill/>
            </a:ln>
          </c:spPr>
          <c:cat>
            <c:strRef>
              <c:extLst>
                <c:ext xmlns:c15="http://schemas.microsoft.com/office/drawing/2012/chart" uri="{02D57815-91ED-43cb-92C2-25804820EDAC}">
                  <c15:fullRef>
                    <c15:sqref>'Biogenic Summary'!$B$58:$AJ$58</c15:sqref>
                  </c15:fullRef>
                </c:ext>
              </c:extLst>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'Biogenic Summary'!$B$65:$AJ$65</c15:sqref>
                  </c15:fullRef>
                </c:ext>
              </c:extLst>
              <c:f>'Biogenic Summary'!$B$65:$AI$65</c:f>
              <c:numCache>
                <c:formatCode>#,##0.0</c:formatCode>
                <c:ptCount val="34"/>
                <c:pt idx="0">
                  <c:v>0.18534880000000001</c:v>
                </c:pt>
                <c:pt idx="1">
                  <c:v>0.1935094</c:v>
                </c:pt>
                <c:pt idx="2">
                  <c:v>0.204015</c:v>
                </c:pt>
                <c:pt idx="3">
                  <c:v>0.25973219999999997</c:v>
                </c:pt>
                <c:pt idx="4">
                  <c:v>0.2487576</c:v>
                </c:pt>
                <c:pt idx="5">
                  <c:v>0.25110259999999995</c:v>
                </c:pt>
                <c:pt idx="6">
                  <c:v>0.260764</c:v>
                </c:pt>
                <c:pt idx="7">
                  <c:v>0.22765259999999998</c:v>
                </c:pt>
                <c:pt idx="8">
                  <c:v>0.19885599999999998</c:v>
                </c:pt>
                <c:pt idx="9">
                  <c:v>0.20917399999999997</c:v>
                </c:pt>
                <c:pt idx="10">
                  <c:v>0.22380679999999997</c:v>
                </c:pt>
                <c:pt idx="11">
                  <c:v>0.18975739999999999</c:v>
                </c:pt>
                <c:pt idx="12">
                  <c:v>0.19435359999999999</c:v>
                </c:pt>
                <c:pt idx="13">
                  <c:v>0.2023266</c:v>
                </c:pt>
                <c:pt idx="14">
                  <c:v>0.19782420000000001</c:v>
                </c:pt>
                <c:pt idx="15">
                  <c:v>5.3841199999999999E-2</c:v>
                </c:pt>
                <c:pt idx="16">
                  <c:v>4.9995399999999995E-2</c:v>
                </c:pt>
                <c:pt idx="17">
                  <c:v>5.3090799999999994E-2</c:v>
                </c:pt>
                <c:pt idx="18">
                  <c:v>5.5998599999999996E-2</c:v>
                </c:pt>
                <c:pt idx="19">
                  <c:v>0.1351658</c:v>
                </c:pt>
                <c:pt idx="20">
                  <c:v>0.13347739999999997</c:v>
                </c:pt>
                <c:pt idx="21">
                  <c:v>0.12850600000000001</c:v>
                </c:pt>
                <c:pt idx="22">
                  <c:v>0.11255999999999999</c:v>
                </c:pt>
                <c:pt idx="23">
                  <c:v>0.1304758</c:v>
                </c:pt>
                <c:pt idx="24">
                  <c:v>0.1304758</c:v>
                </c:pt>
                <c:pt idx="25">
                  <c:v>0.13216419999999998</c:v>
                </c:pt>
                <c:pt idx="26">
                  <c:v>0.12165859999999999</c:v>
                </c:pt>
                <c:pt idx="27">
                  <c:v>0.12456639999999998</c:v>
                </c:pt>
                <c:pt idx="28">
                  <c:v>0.101773</c:v>
                </c:pt>
                <c:pt idx="29">
                  <c:v>0.11997019999999999</c:v>
                </c:pt>
                <c:pt idx="30">
                  <c:v>0.17634399999999997</c:v>
                </c:pt>
                <c:pt idx="31">
                  <c:v>0.17634399999999997</c:v>
                </c:pt>
                <c:pt idx="32">
                  <c:v>0.17653159999999998</c:v>
                </c:pt>
                <c:pt idx="33">
                  <c:v>0.17634399999999997</c:v>
                </c:pt>
              </c:numCache>
            </c:numRef>
          </c:val>
          <c:extLst>
            <c:ext xmlns:c16="http://schemas.microsoft.com/office/drawing/2014/chart" uri="{C3380CC4-5D6E-409C-BE32-E72D297353CC}">
              <c16:uniqueId val="{00000005-3782-4BC7-9738-69FF4F6C5241}"/>
            </c:ext>
          </c:extLst>
        </c:ser>
        <c:ser>
          <c:idx val="4"/>
          <c:order val="6"/>
          <c:tx>
            <c:strRef>
              <c:f>'Biogenic Summary'!$A$72</c:f>
              <c:strCache>
                <c:ptCount val="1"/>
                <c:pt idx="0">
                  <c:v>     Transportation (Ethanol)</c:v>
                </c:pt>
              </c:strCache>
            </c:strRef>
          </c:tx>
          <c:spPr>
            <a:solidFill>
              <a:srgbClr val="C40606"/>
            </a:solidFill>
            <a:ln w="25400">
              <a:noFill/>
            </a:ln>
          </c:spPr>
          <c:cat>
            <c:strRef>
              <c:extLst>
                <c:ext xmlns:c15="http://schemas.microsoft.com/office/drawing/2012/chart" uri="{02D57815-91ED-43cb-92C2-25804820EDAC}">
                  <c15:fullRef>
                    <c15:sqref>'Biogenic Summary'!$B$58:$AJ$58</c15:sqref>
                  </c15:fullRef>
                </c:ext>
              </c:extLst>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'Biogenic Summary'!$B$72:$AI$72</c15:sqref>
                  </c15:fullRef>
                </c:ext>
              </c:extLst>
              <c:f>'Biogenic Summary'!$B$72:$AI$72</c:f>
              <c:numCache>
                <c:formatCode>#,##0.0_);\(#,##0.0\)</c:formatCode>
                <c:ptCount val="34"/>
                <c:pt idx="0" formatCode="#,##0.0">
                  <c:v>0</c:v>
                </c:pt>
                <c:pt idx="1">
                  <c:v>0</c:v>
                </c:pt>
                <c:pt idx="2">
                  <c:v>0</c:v>
                </c:pt>
                <c:pt idx="3">
                  <c:v>0</c:v>
                </c:pt>
                <c:pt idx="4">
                  <c:v>0</c:v>
                </c:pt>
                <c:pt idx="5">
                  <c:v>0</c:v>
                </c:pt>
                <c:pt idx="6">
                  <c:v>0</c:v>
                </c:pt>
                <c:pt idx="7">
                  <c:v>0</c:v>
                </c:pt>
                <c:pt idx="8">
                  <c:v>0</c:v>
                </c:pt>
                <c:pt idx="9">
                  <c:v>0</c:v>
                </c:pt>
                <c:pt idx="10">
                  <c:v>0</c:v>
                </c:pt>
                <c:pt idx="11">
                  <c:v>0</c:v>
                </c:pt>
                <c:pt idx="12">
                  <c:v>4.9276799999999994E-3</c:v>
                </c:pt>
                <c:pt idx="13">
                  <c:v>4.9276799999999994E-3</c:v>
                </c:pt>
                <c:pt idx="14">
                  <c:v>4.6812959999999994E-2</c:v>
                </c:pt>
                <c:pt idx="15">
                  <c:v>0.41187191999999995</c:v>
                </c:pt>
                <c:pt idx="16">
                  <c:v>1.11324504</c:v>
                </c:pt>
                <c:pt idx="17">
                  <c:v>1.4311488399999999</c:v>
                </c:pt>
                <c:pt idx="18">
                  <c:v>1.1935251599999999</c:v>
                </c:pt>
                <c:pt idx="19">
                  <c:v>1.3223976799999997</c:v>
                </c:pt>
                <c:pt idx="20">
                  <c:v>1.6528944399999996</c:v>
                </c:pt>
                <c:pt idx="21">
                  <c:v>1.5921197199999997</c:v>
                </c:pt>
                <c:pt idx="22">
                  <c:v>1.5490709599999999</c:v>
                </c:pt>
                <c:pt idx="23">
                  <c:v>1.5730249599999999</c:v>
                </c:pt>
                <c:pt idx="24">
                  <c:v>1.5653596799999998</c:v>
                </c:pt>
                <c:pt idx="25">
                  <c:v>1.5889714799999997</c:v>
                </c:pt>
                <c:pt idx="26">
                  <c:v>1.5973211599999997</c:v>
                </c:pt>
                <c:pt idx="27">
                  <c:v>1.57904768</c:v>
                </c:pt>
                <c:pt idx="28">
                  <c:v>1.5811008799999999</c:v>
                </c:pt>
                <c:pt idx="29">
                  <c:v>1.5791845599999998</c:v>
                </c:pt>
                <c:pt idx="30">
                  <c:v>1.2603910399999998</c:v>
                </c:pt>
                <c:pt idx="31">
                  <c:v>1.4266317999999998</c:v>
                </c:pt>
                <c:pt idx="32">
                  <c:v>1.4287534399999997</c:v>
                </c:pt>
                <c:pt idx="33">
                  <c:v>1.44572656</c:v>
                </c:pt>
              </c:numCache>
            </c:numRef>
          </c:val>
          <c:extLst>
            <c:ext xmlns:c16="http://schemas.microsoft.com/office/drawing/2014/chart" uri="{C3380CC4-5D6E-409C-BE32-E72D297353CC}">
              <c16:uniqueId val="{00000006-3782-4BC7-9738-69FF4F6C5241}"/>
            </c:ext>
          </c:extLst>
        </c:ser>
        <c:ser>
          <c:idx val="12"/>
          <c:order val="7"/>
          <c:tx>
            <c:strRef>
              <c:f>'Biogenic Summary'!$A$66</c:f>
              <c:strCache>
                <c:ptCount val="1"/>
                <c:pt idx="0">
                  <c:v>     Commercial (Ethanol)</c:v>
                </c:pt>
              </c:strCache>
            </c:strRef>
          </c:tx>
          <c:spPr>
            <a:solidFill>
              <a:schemeClr val="accent2">
                <a:lumMod val="20000"/>
                <a:lumOff val="80000"/>
              </a:schemeClr>
            </a:solidFill>
            <a:ln w="25400">
              <a:noFill/>
            </a:ln>
          </c:spPr>
          <c:cat>
            <c:strRef>
              <c:extLst>
                <c:ext xmlns:c15="http://schemas.microsoft.com/office/drawing/2012/chart" uri="{02D57815-91ED-43cb-92C2-25804820EDAC}">
                  <c15:fullRef>
                    <c15:sqref>'Biogenic Summary'!$B$58:$AJ$58</c15:sqref>
                  </c15:fullRef>
                </c:ext>
              </c:extLst>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'Biogenic Summary'!$B$66:$AI$66</c15:sqref>
                  </c15:fullRef>
                </c:ext>
              </c:extLst>
              <c:f>'Biogenic Summary'!$B$66:$AI$66</c:f>
              <c:numCache>
                <c:formatCode>#,##0.0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6.8439999999999988E-5</c:v>
                </c:pt>
                <c:pt idx="15">
                  <c:v>3.4219999999999992E-4</c:v>
                </c:pt>
                <c:pt idx="16">
                  <c:v>1.2319199999999998E-3</c:v>
                </c:pt>
                <c:pt idx="17">
                  <c:v>1.6425599999999997E-3</c:v>
                </c:pt>
                <c:pt idx="18">
                  <c:v>1.43724E-3</c:v>
                </c:pt>
                <c:pt idx="19">
                  <c:v>1.6425599999999997E-3</c:v>
                </c:pt>
                <c:pt idx="20">
                  <c:v>1.2319199999999998E-3</c:v>
                </c:pt>
                <c:pt idx="21">
                  <c:v>3.5588799999999995E-3</c:v>
                </c:pt>
                <c:pt idx="22">
                  <c:v>1.0265999999999999E-3</c:v>
                </c:pt>
                <c:pt idx="23">
                  <c:v>1.1634799999999999E-3</c:v>
                </c:pt>
                <c:pt idx="24">
                  <c:v>1.1634799999999999E-3</c:v>
                </c:pt>
                <c:pt idx="25">
                  <c:v>3.4356879999999999E-2</c:v>
                </c:pt>
                <c:pt idx="26">
                  <c:v>3.4425319999999995E-2</c:v>
                </c:pt>
                <c:pt idx="27">
                  <c:v>3.5041279999999994E-2</c:v>
                </c:pt>
                <c:pt idx="28">
                  <c:v>3.4630639999999997E-2</c:v>
                </c:pt>
                <c:pt idx="29">
                  <c:v>3.5451919999999991E-2</c:v>
                </c:pt>
                <c:pt idx="30">
                  <c:v>3.6067879999999997E-2</c:v>
                </c:pt>
                <c:pt idx="31">
                  <c:v>3.6752279999999998E-2</c:v>
                </c:pt>
                <c:pt idx="32">
                  <c:v>4.0721799999999989E-2</c:v>
                </c:pt>
                <c:pt idx="33">
                  <c:v>3.8737039999999993E-2</c:v>
                </c:pt>
              </c:numCache>
            </c:numRef>
          </c:val>
          <c:extLst>
            <c:ext xmlns:c16="http://schemas.microsoft.com/office/drawing/2014/chart" uri="{C3380CC4-5D6E-409C-BE32-E72D297353CC}">
              <c16:uniqueId val="{00000007-3782-4BC7-9738-69FF4F6C5241}"/>
            </c:ext>
          </c:extLst>
        </c:ser>
        <c:ser>
          <c:idx val="3"/>
          <c:order val="8"/>
          <c:tx>
            <c:strRef>
              <c:f>'Biogenic Summary'!$A$68</c:f>
              <c:strCache>
                <c:ptCount val="1"/>
                <c:pt idx="0">
                  <c:v>     Industrial (Ethanol)</c:v>
                </c:pt>
              </c:strCache>
            </c:strRef>
          </c:tx>
          <c:spPr>
            <a:solidFill>
              <a:srgbClr val="C00000"/>
            </a:solidFill>
            <a:ln w="25400">
              <a:noFill/>
            </a:ln>
          </c:spPr>
          <c:cat>
            <c:strRef>
              <c:extLst>
                <c:ext xmlns:c15="http://schemas.microsoft.com/office/drawing/2012/chart" uri="{02D57815-91ED-43cb-92C2-25804820EDAC}">
                  <c15:fullRef>
                    <c15:sqref>'Biogenic Summary'!$B$58:$AJ$58</c15:sqref>
                  </c15:fullRef>
                </c:ext>
              </c:extLst>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'Biogenic Summary'!$B$68:$AI$68</c15:sqref>
                  </c15:fullRef>
                </c:ext>
              </c:extLst>
              <c:f>'Biogenic Summary'!$B$68:$AI$68</c:f>
              <c:numCache>
                <c:formatCode>#,##0.0</c:formatCode>
                <c:ptCount val="34"/>
                <c:pt idx="0">
                  <c:v>0</c:v>
                </c:pt>
                <c:pt idx="1">
                  <c:v>0</c:v>
                </c:pt>
                <c:pt idx="2">
                  <c:v>0</c:v>
                </c:pt>
                <c:pt idx="3">
                  <c:v>0</c:v>
                </c:pt>
                <c:pt idx="4">
                  <c:v>0</c:v>
                </c:pt>
                <c:pt idx="5">
                  <c:v>0</c:v>
                </c:pt>
                <c:pt idx="6">
                  <c:v>0</c:v>
                </c:pt>
                <c:pt idx="7">
                  <c:v>0</c:v>
                </c:pt>
                <c:pt idx="8">
                  <c:v>0</c:v>
                </c:pt>
                <c:pt idx="9">
                  <c:v>0</c:v>
                </c:pt>
                <c:pt idx="10">
                  <c:v>0</c:v>
                </c:pt>
                <c:pt idx="11">
                  <c:v>0</c:v>
                </c:pt>
                <c:pt idx="12">
                  <c:v>6.8439999999999988E-5</c:v>
                </c:pt>
                <c:pt idx="13">
                  <c:v>6.8439999999999988E-5</c:v>
                </c:pt>
                <c:pt idx="14">
                  <c:v>6.8439999999999983E-4</c:v>
                </c:pt>
                <c:pt idx="15">
                  <c:v>5.6120799999999993E-3</c:v>
                </c:pt>
                <c:pt idx="16">
                  <c:v>1.5330559999999997E-2</c:v>
                </c:pt>
                <c:pt idx="17">
                  <c:v>1.622028E-2</c:v>
                </c:pt>
                <c:pt idx="18">
                  <c:v>1.2935159999999999E-2</c:v>
                </c:pt>
                <c:pt idx="19">
                  <c:v>1.3961759999999998E-2</c:v>
                </c:pt>
                <c:pt idx="20">
                  <c:v>2.2722079999999995E-2</c:v>
                </c:pt>
                <c:pt idx="21">
                  <c:v>2.3269599999999998E-2</c:v>
                </c:pt>
                <c:pt idx="22">
                  <c:v>2.2106119999999996E-2</c:v>
                </c:pt>
                <c:pt idx="23">
                  <c:v>2.3406479999999997E-2</c:v>
                </c:pt>
                <c:pt idx="24">
                  <c:v>1.8820999999999997E-2</c:v>
                </c:pt>
                <c:pt idx="25">
                  <c:v>1.8615679999999999E-2</c:v>
                </c:pt>
                <c:pt idx="26">
                  <c:v>1.8684119999999995E-2</c:v>
                </c:pt>
                <c:pt idx="27">
                  <c:v>1.9094759999999999E-2</c:v>
                </c:pt>
                <c:pt idx="28">
                  <c:v>1.9368519999999997E-2</c:v>
                </c:pt>
                <c:pt idx="29">
                  <c:v>1.9916039999999999E-2</c:v>
                </c:pt>
                <c:pt idx="30">
                  <c:v>2.0189799999999997E-2</c:v>
                </c:pt>
                <c:pt idx="31">
                  <c:v>2.0189799999999997E-2</c:v>
                </c:pt>
                <c:pt idx="32">
                  <c:v>2.1011079999999998E-2</c:v>
                </c:pt>
                <c:pt idx="33">
                  <c:v>2.1011079999999998E-2</c:v>
                </c:pt>
              </c:numCache>
            </c:numRef>
          </c:val>
          <c:extLst>
            <c:ext xmlns:c16="http://schemas.microsoft.com/office/drawing/2014/chart" uri="{C3380CC4-5D6E-409C-BE32-E72D297353CC}">
              <c16:uniqueId val="{00000008-3782-4BC7-9738-69FF4F6C5241}"/>
            </c:ext>
          </c:extLst>
        </c:ser>
        <c:ser>
          <c:idx val="2"/>
          <c:order val="9"/>
          <c:tx>
            <c:strRef>
              <c:f>'Biogenic Summary'!$A$64</c:f>
              <c:strCache>
                <c:ptCount val="1"/>
                <c:pt idx="0">
                  <c:v>     Commercial (Biogas)</c:v>
                </c:pt>
              </c:strCache>
            </c:strRef>
          </c:tx>
          <c:spPr>
            <a:solidFill>
              <a:srgbClr val="FFFFCC"/>
            </a:solidFill>
            <a:ln w="25400">
              <a:noFill/>
            </a:ln>
          </c:spPr>
          <c:cat>
            <c:strRef>
              <c:extLst>
                <c:ext xmlns:c15="http://schemas.microsoft.com/office/drawing/2012/chart" uri="{02D57815-91ED-43cb-92C2-25804820EDAC}">
                  <c15:fullRef>
                    <c15:sqref>'Biogenic Summary'!$B$58:$AJ$58</c15:sqref>
                  </c15:fullRef>
                </c:ext>
              </c:extLst>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'Biogenic Summary'!$B$64:$AJ$64</c15:sqref>
                  </c15:fullRef>
                </c:ext>
              </c:extLst>
              <c:f>'Biogenic Summary'!$B$64:$AI$64</c:f>
              <c:numCache>
                <c:formatCode>#,##0.0</c:formatCode>
                <c:ptCount val="34"/>
                <c:pt idx="0">
                  <c:v>0</c:v>
                </c:pt>
                <c:pt idx="1">
                  <c:v>0</c:v>
                </c:pt>
                <c:pt idx="2">
                  <c:v>0</c:v>
                </c:pt>
                <c:pt idx="3">
                  <c:v>0</c:v>
                </c:pt>
                <c:pt idx="4">
                  <c:v>0</c:v>
                </c:pt>
                <c:pt idx="5">
                  <c:v>0</c:v>
                </c:pt>
                <c:pt idx="6">
                  <c:v>0</c:v>
                </c:pt>
                <c:pt idx="7">
                  <c:v>0</c:v>
                </c:pt>
                <c:pt idx="8">
                  <c:v>0</c:v>
                </c:pt>
                <c:pt idx="9">
                  <c:v>0</c:v>
                </c:pt>
                <c:pt idx="10">
                  <c:v>3.806317E-2</c:v>
                </c:pt>
                <c:pt idx="11">
                  <c:v>3.4157920000000001E-2</c:v>
                </c:pt>
                <c:pt idx="12">
                  <c:v>4.5144689999999994E-2</c:v>
                </c:pt>
                <c:pt idx="13">
                  <c:v>3.9312850000000003E-2</c:v>
                </c:pt>
                <c:pt idx="14">
                  <c:v>9.0289379999999989E-2</c:v>
                </c:pt>
                <c:pt idx="15">
                  <c:v>4.8091498000358848E-2</c:v>
                </c:pt>
                <c:pt idx="16">
                  <c:v>5.1321322573083125E-2</c:v>
                </c:pt>
                <c:pt idx="17">
                  <c:v>4.9175187890952633E-2</c:v>
                </c:pt>
                <c:pt idx="18">
                  <c:v>4.9695449720680664E-2</c:v>
                </c:pt>
                <c:pt idx="19">
                  <c:v>5.1616156717051637E-2</c:v>
                </c:pt>
                <c:pt idx="20">
                  <c:v>4.8453002569028146E-2</c:v>
                </c:pt>
                <c:pt idx="21">
                  <c:v>5.2142701520101586E-2</c:v>
                </c:pt>
                <c:pt idx="22">
                  <c:v>5.0455414540159164E-2</c:v>
                </c:pt>
                <c:pt idx="23">
                  <c:v>5.2870875295035827E-2</c:v>
                </c:pt>
                <c:pt idx="24">
                  <c:v>5.3280746106518076E-2</c:v>
                </c:pt>
                <c:pt idx="25">
                  <c:v>5.235666576294374E-2</c:v>
                </c:pt>
                <c:pt idx="26">
                  <c:v>5.328581854566642E-2</c:v>
                </c:pt>
                <c:pt idx="27">
                  <c:v>5.4380445692298433E-2</c:v>
                </c:pt>
                <c:pt idx="28">
                  <c:v>5.4878508806871416E-2</c:v>
                </c:pt>
                <c:pt idx="29">
                  <c:v>5.5060260635489307E-2</c:v>
                </c:pt>
                <c:pt idx="30">
                  <c:v>4.9320812458143883E-2</c:v>
                </c:pt>
                <c:pt idx="31">
                  <c:v>4.9089205404477324E-2</c:v>
                </c:pt>
                <c:pt idx="32">
                  <c:v>4.6984571796198873E-2</c:v>
                </c:pt>
                <c:pt idx="33">
                  <c:v>4.9596295071411368E-2</c:v>
                </c:pt>
              </c:numCache>
            </c:numRef>
          </c:val>
          <c:extLst>
            <c:ext xmlns:c16="http://schemas.microsoft.com/office/drawing/2014/chart" uri="{C3380CC4-5D6E-409C-BE32-E72D297353CC}">
              <c16:uniqueId val="{00000009-3782-4BC7-9738-69FF4F6C5241}"/>
            </c:ext>
          </c:extLst>
        </c:ser>
        <c:ser>
          <c:idx val="0"/>
          <c:order val="10"/>
          <c:tx>
            <c:strRef>
              <c:f>'Biogenic Summary'!$A$77</c:f>
              <c:strCache>
                <c:ptCount val="1"/>
                <c:pt idx="0">
                  <c:v>     Electric (LFG to Energy)</c:v>
                </c:pt>
              </c:strCache>
            </c:strRef>
          </c:tx>
          <c:spPr>
            <a:pattFill prst="trellis">
              <a:fgClr>
                <a:schemeClr val="accent3">
                  <a:lumMod val="50000"/>
                </a:schemeClr>
              </a:fgClr>
              <a:bgClr>
                <a:schemeClr val="bg1"/>
              </a:bgClr>
            </a:pattFill>
          </c:spPr>
          <c:cat>
            <c:strRef>
              <c:extLst>
                <c:ext xmlns:c15="http://schemas.microsoft.com/office/drawing/2012/chart" uri="{02D57815-91ED-43cb-92C2-25804820EDAC}">
                  <c15:fullRef>
                    <c15:sqref>'Biogenic Summary'!$B$58:$AJ$58</c15:sqref>
                  </c15:fullRef>
                </c:ext>
              </c:extLst>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'Biogenic Summary'!$B$77:$AI$77</c15:sqref>
                  </c15:fullRef>
                </c:ext>
              </c:extLst>
              <c:f>'Biogenic Summary'!$B$77:$AI$77</c:f>
              <c:numCache>
                <c:formatCode>#,##0.0</c:formatCode>
                <c:ptCount val="34"/>
                <c:pt idx="0">
                  <c:v>0</c:v>
                </c:pt>
                <c:pt idx="1">
                  <c:v>0</c:v>
                </c:pt>
                <c:pt idx="2">
                  <c:v>0</c:v>
                </c:pt>
                <c:pt idx="3">
                  <c:v>3.8011099999999999E-3</c:v>
                </c:pt>
                <c:pt idx="4">
                  <c:v>8.9300049999999995E-3</c:v>
                </c:pt>
                <c:pt idx="5">
                  <c:v>1.2366625000000001E-2</c:v>
                </c:pt>
                <c:pt idx="6">
                  <c:v>1.5177103249999999E-2</c:v>
                </c:pt>
                <c:pt idx="7">
                  <c:v>4.12727648E-2</c:v>
                </c:pt>
                <c:pt idx="8">
                  <c:v>5.2137586860000001E-2</c:v>
                </c:pt>
                <c:pt idx="9">
                  <c:v>7.3055173294999998E-2</c:v>
                </c:pt>
                <c:pt idx="10">
                  <c:v>7.3055173294999998E-2</c:v>
                </c:pt>
                <c:pt idx="11">
                  <c:v>9.3972759729999994E-2</c:v>
                </c:pt>
                <c:pt idx="12">
                  <c:v>8.0305426129999996E-2</c:v>
                </c:pt>
                <c:pt idx="13">
                  <c:v>9.6511328439999988E-2</c:v>
                </c:pt>
                <c:pt idx="14">
                  <c:v>8.8254276119999989E-2</c:v>
                </c:pt>
                <c:pt idx="15">
                  <c:v>9.7741117699999991E-2</c:v>
                </c:pt>
                <c:pt idx="16">
                  <c:v>9.0510677499999984E-2</c:v>
                </c:pt>
                <c:pt idx="17">
                  <c:v>9.5263887450000001E-2</c:v>
                </c:pt>
                <c:pt idx="18">
                  <c:v>0.1033709261</c:v>
                </c:pt>
                <c:pt idx="19">
                  <c:v>9.0570922489999997E-2</c:v>
                </c:pt>
                <c:pt idx="20">
                  <c:v>9.3187648269999993E-2</c:v>
                </c:pt>
                <c:pt idx="21">
                  <c:v>9.3507878769999997E-2</c:v>
                </c:pt>
                <c:pt idx="22">
                  <c:v>9.2718809989999984E-2</c:v>
                </c:pt>
                <c:pt idx="23">
                  <c:v>9.6968138549999985E-2</c:v>
                </c:pt>
                <c:pt idx="24">
                  <c:v>0.10777599603</c:v>
                </c:pt>
                <c:pt idx="25">
                  <c:v>9.6462382639999997E-2</c:v>
                </c:pt>
                <c:pt idx="26">
                  <c:v>0.10938646905999999</c:v>
                </c:pt>
                <c:pt idx="27">
                  <c:v>9.3115166829999998E-2</c:v>
                </c:pt>
                <c:pt idx="28">
                  <c:v>0.10268334175</c:v>
                </c:pt>
                <c:pt idx="29">
                  <c:v>9.2484130499999997E-2</c:v>
                </c:pt>
                <c:pt idx="30">
                  <c:v>9.2132814209999997E-2</c:v>
                </c:pt>
                <c:pt idx="31">
                  <c:v>8.3574328660000002E-2</c:v>
                </c:pt>
                <c:pt idx="32">
                  <c:v>6.5374926399999991E-2</c:v>
                </c:pt>
                <c:pt idx="33">
                  <c:v>5.4510312619999994E-2</c:v>
                </c:pt>
              </c:numCache>
            </c:numRef>
          </c:val>
          <c:extLst>
            <c:ext xmlns:c16="http://schemas.microsoft.com/office/drawing/2014/chart" uri="{C3380CC4-5D6E-409C-BE32-E72D297353CC}">
              <c16:uniqueId val="{0000000A-3782-4BC7-9738-69FF4F6C5241}"/>
            </c:ext>
          </c:extLst>
        </c:ser>
        <c:ser>
          <c:idx val="7"/>
          <c:order val="11"/>
          <c:tx>
            <c:strRef>
              <c:f>'Biogenic Summary'!$A$79</c:f>
              <c:strCache>
                <c:ptCount val="1"/>
                <c:pt idx="0">
                  <c:v>    Waste (LFG and Digester Gas)</c:v>
                </c:pt>
              </c:strCache>
            </c:strRef>
          </c:tx>
          <c:spPr>
            <a:solidFill>
              <a:srgbClr val="FFFF00"/>
            </a:solidFill>
          </c:spPr>
          <c:cat>
            <c:strRef>
              <c:extLst>
                <c:ext xmlns:c15="http://schemas.microsoft.com/office/drawing/2012/chart" uri="{02D57815-91ED-43cb-92C2-25804820EDAC}">
                  <c15:fullRef>
                    <c15:sqref>'Biogenic Summary'!$B$58:$AJ$58</c15:sqref>
                  </c15:fullRef>
                </c:ext>
              </c:extLst>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'Biogenic Summary'!$B$79:$AI$79</c15:sqref>
                  </c15:fullRef>
                </c:ext>
              </c:extLst>
              <c:f>'Biogenic Summary'!$B$79:$AI$79</c:f>
              <c:numCache>
                <c:formatCode>#,##0.0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4.0229403223204334E-3</c:v>
                </c:pt>
                <c:pt idx="16">
                  <c:v>2.1040346346893218E-3</c:v>
                </c:pt>
                <c:pt idx="17">
                  <c:v>1.2048346088596121E-3</c:v>
                </c:pt>
                <c:pt idx="18">
                  <c:v>9.0003656428651346E-4</c:v>
                </c:pt>
                <c:pt idx="19">
                  <c:v>8.3103758178955595E-4</c:v>
                </c:pt>
                <c:pt idx="20">
                  <c:v>0.12703851581974127</c:v>
                </c:pt>
                <c:pt idx="21">
                  <c:v>0.11573090386183542</c:v>
                </c:pt>
                <c:pt idx="22">
                  <c:v>0.10589201631218839</c:v>
                </c:pt>
                <c:pt idx="23">
                  <c:v>0.11311639572537842</c:v>
                </c:pt>
                <c:pt idx="24">
                  <c:v>9.0843582483410942E-2</c:v>
                </c:pt>
                <c:pt idx="25">
                  <c:v>2.5207599175241079E-2</c:v>
                </c:pt>
                <c:pt idx="26">
                  <c:v>3.2276667541599829E-2</c:v>
                </c:pt>
                <c:pt idx="27">
                  <c:v>3.0460383440444098E-2</c:v>
                </c:pt>
                <c:pt idx="28">
                  <c:v>2.9175669389713256E-2</c:v>
                </c:pt>
                <c:pt idx="29">
                  <c:v>2.7752398721167956E-2</c:v>
                </c:pt>
                <c:pt idx="30">
                  <c:v>2.8990015868637017E-2</c:v>
                </c:pt>
                <c:pt idx="31">
                  <c:v>2.9181942233760409E-2</c:v>
                </c:pt>
                <c:pt idx="32">
                  <c:v>2.7232482256013157E-2</c:v>
                </c:pt>
                <c:pt idx="33">
                  <c:v>1.8775632707999999E-2</c:v>
                </c:pt>
              </c:numCache>
            </c:numRef>
          </c:val>
          <c:extLst>
            <c:ext xmlns:c16="http://schemas.microsoft.com/office/drawing/2014/chart" uri="{C3380CC4-5D6E-409C-BE32-E72D297353CC}">
              <c16:uniqueId val="{0000000B-3782-4BC7-9738-69FF4F6C5241}"/>
            </c:ext>
          </c:extLst>
        </c:ser>
        <c:ser>
          <c:idx val="10"/>
          <c:order val="12"/>
          <c:tx>
            <c:strRef>
              <c:f>'Biogenic Summary'!$A$62</c:f>
              <c:strCache>
                <c:ptCount val="1"/>
                <c:pt idx="0">
                  <c:v>     Residential (Biodiesel)</c:v>
                </c:pt>
              </c:strCache>
            </c:strRef>
          </c:tx>
          <c:spPr>
            <a:pattFill prst="lgCheck">
              <a:fgClr>
                <a:srgbClr val="0070C0"/>
              </a:fgClr>
              <a:bgClr>
                <a:schemeClr val="bg1"/>
              </a:bgClr>
            </a:pattFill>
            <a:ln w="25400">
              <a:noFill/>
            </a:ln>
          </c:spPr>
          <c:cat>
            <c:strRef>
              <c:extLst>
                <c:ext xmlns:c15="http://schemas.microsoft.com/office/drawing/2012/chart" uri="{02D57815-91ED-43cb-92C2-25804820EDAC}">
                  <c15:fullRef>
                    <c15:sqref>'Biogenic Summary'!$B$58:$AJ$58</c15:sqref>
                  </c15:fullRef>
                </c:ext>
              </c:extLst>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'Biogenic Summary'!$B$62:$AJ$62</c15:sqref>
                  </c15:fullRef>
                </c:ext>
              </c:extLst>
              <c:f>'Biogenic Summary'!$B$62:$AI$62</c:f>
              <c:numCache>
                <c:formatCode>#,##0.0</c:formatCode>
                <c:ptCount val="34"/>
                <c:pt idx="0">
                  <c:v>0</c:v>
                </c:pt>
                <c:pt idx="1">
                  <c:v>0</c:v>
                </c:pt>
                <c:pt idx="2">
                  <c:v>0</c:v>
                </c:pt>
                <c:pt idx="3">
                  <c:v>0</c:v>
                </c:pt>
                <c:pt idx="4">
                  <c:v>0</c:v>
                </c:pt>
                <c:pt idx="5">
                  <c:v>0</c:v>
                </c:pt>
                <c:pt idx="6">
                  <c:v>0</c:v>
                </c:pt>
                <c:pt idx="7">
                  <c:v>0</c:v>
                </c:pt>
                <c:pt idx="8">
                  <c:v>0</c:v>
                </c:pt>
                <c:pt idx="9">
                  <c:v>0</c:v>
                </c:pt>
                <c:pt idx="10">
                  <c:v>0</c:v>
                </c:pt>
                <c:pt idx="11">
                  <c:v>5.1687999999999994E-4</c:v>
                </c:pt>
                <c:pt idx="12">
                  <c:v>8.1223999999999988E-4</c:v>
                </c:pt>
                <c:pt idx="13">
                  <c:v>6.6456000000000002E-4</c:v>
                </c:pt>
                <c:pt idx="14">
                  <c:v>1.32912E-3</c:v>
                </c:pt>
                <c:pt idx="15">
                  <c:v>4.4673199999999995E-3</c:v>
                </c:pt>
                <c:pt idx="16">
                  <c:v>1.2848159999999999E-2</c:v>
                </c:pt>
                <c:pt idx="17">
                  <c:v>1.7426239999999999E-2</c:v>
                </c:pt>
                <c:pt idx="18">
                  <c:v>1.4952599999999998E-2</c:v>
                </c:pt>
                <c:pt idx="19">
                  <c:v>1.5838679999999997E-2</c:v>
                </c:pt>
                <c:pt idx="20">
                  <c:v>1.281124E-2</c:v>
                </c:pt>
                <c:pt idx="21">
                  <c:v>4.3454840000000002E-2</c:v>
                </c:pt>
                <c:pt idx="22">
                  <c:v>4.1978039999999994E-2</c:v>
                </c:pt>
                <c:pt idx="23">
                  <c:v>9.3776799999999993E-2</c:v>
                </c:pt>
                <c:pt idx="24">
                  <c:v>6.5089959999999988E-2</c:v>
                </c:pt>
                <c:pt idx="25">
                  <c:v>6.7858959999999996E-2</c:v>
                </c:pt>
                <c:pt idx="26">
                  <c:v>0.10245299999999999</c:v>
                </c:pt>
                <c:pt idx="27">
                  <c:v>8.6355879999999996E-2</c:v>
                </c:pt>
                <c:pt idx="28">
                  <c:v>7.6645919999999992E-2</c:v>
                </c:pt>
                <c:pt idx="29">
                  <c:v>6.4351560000000002E-2</c:v>
                </c:pt>
                <c:pt idx="30">
                  <c:v>6.9704959999999996E-2</c:v>
                </c:pt>
                <c:pt idx="31">
                  <c:v>5.4604679999999996E-2</c:v>
                </c:pt>
                <c:pt idx="32">
                  <c:v>5.1097279999999995E-2</c:v>
                </c:pt>
                <c:pt idx="33">
                  <c:v>6.9077319999999998E-2</c:v>
                </c:pt>
              </c:numCache>
            </c:numRef>
          </c:val>
          <c:extLst>
            <c:ext xmlns:c16="http://schemas.microsoft.com/office/drawing/2014/chart" uri="{C3380CC4-5D6E-409C-BE32-E72D297353CC}">
              <c16:uniqueId val="{0000000C-3782-4BC7-9738-69FF4F6C5241}"/>
            </c:ext>
          </c:extLst>
        </c:ser>
        <c:ser>
          <c:idx val="8"/>
          <c:order val="13"/>
          <c:tx>
            <c:strRef>
              <c:f>'Biogenic Summary'!$A$73</c:f>
              <c:strCache>
                <c:ptCount val="1"/>
                <c:pt idx="0">
                  <c:v>     Transportation (Biodiesel)</c:v>
                </c:pt>
              </c:strCache>
            </c:strRef>
          </c:tx>
          <c:spPr>
            <a:solidFill>
              <a:schemeClr val="accent5">
                <a:lumMod val="75000"/>
              </a:schemeClr>
            </a:solidFill>
            <a:ln w="25400">
              <a:noFill/>
            </a:ln>
          </c:spPr>
          <c:cat>
            <c:strRef>
              <c:extLst>
                <c:ext xmlns:c15="http://schemas.microsoft.com/office/drawing/2012/chart" uri="{02D57815-91ED-43cb-92C2-25804820EDAC}">
                  <c15:fullRef>
                    <c15:sqref>'Biogenic Summary'!$B$58:$AJ$58</c15:sqref>
                  </c15:fullRef>
                </c:ext>
              </c:extLst>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'Biogenic Summary'!$B$73:$AJ$73</c15:sqref>
                  </c15:fullRef>
                </c:ext>
              </c:extLst>
              <c:f>'Biogenic Summary'!$B$73:$AI$73</c:f>
              <c:numCache>
                <c:formatCode>#,##0.0_);\(#,##0.0\)</c:formatCode>
                <c:ptCount val="34"/>
                <c:pt idx="0" formatCode="#,##0.0">
                  <c:v>0</c:v>
                </c:pt>
                <c:pt idx="1">
                  <c:v>0</c:v>
                </c:pt>
                <c:pt idx="2">
                  <c:v>0</c:v>
                </c:pt>
                <c:pt idx="3">
                  <c:v>0</c:v>
                </c:pt>
                <c:pt idx="4">
                  <c:v>0</c:v>
                </c:pt>
                <c:pt idx="5">
                  <c:v>0</c:v>
                </c:pt>
                <c:pt idx="6">
                  <c:v>0</c:v>
                </c:pt>
                <c:pt idx="7">
                  <c:v>0</c:v>
                </c:pt>
                <c:pt idx="8">
                  <c:v>0</c:v>
                </c:pt>
                <c:pt idx="9">
                  <c:v>0</c:v>
                </c:pt>
                <c:pt idx="10">
                  <c:v>0</c:v>
                </c:pt>
                <c:pt idx="11">
                  <c:v>5.1687999999999994E-4</c:v>
                </c:pt>
                <c:pt idx="12">
                  <c:v>8.1223999999999988E-4</c:v>
                </c:pt>
                <c:pt idx="13">
                  <c:v>6.6456000000000002E-4</c:v>
                </c:pt>
                <c:pt idx="14">
                  <c:v>1.32912E-3</c:v>
                </c:pt>
                <c:pt idx="15">
                  <c:v>4.4673199999999995E-3</c:v>
                </c:pt>
                <c:pt idx="16">
                  <c:v>1.2848159999999999E-2</c:v>
                </c:pt>
                <c:pt idx="17">
                  <c:v>1.7426239999999999E-2</c:v>
                </c:pt>
                <c:pt idx="18">
                  <c:v>1.4952599999999998E-2</c:v>
                </c:pt>
                <c:pt idx="19">
                  <c:v>1.5838679999999997E-2</c:v>
                </c:pt>
                <c:pt idx="20">
                  <c:v>1.281124E-2</c:v>
                </c:pt>
                <c:pt idx="21">
                  <c:v>4.3454840000000002E-2</c:v>
                </c:pt>
                <c:pt idx="22">
                  <c:v>4.1978039999999994E-2</c:v>
                </c:pt>
                <c:pt idx="23">
                  <c:v>9.3776799999999993E-2</c:v>
                </c:pt>
                <c:pt idx="24">
                  <c:v>6.5089959999999988E-2</c:v>
                </c:pt>
                <c:pt idx="25">
                  <c:v>6.7858959999999996E-2</c:v>
                </c:pt>
                <c:pt idx="26">
                  <c:v>0.10245299999999999</c:v>
                </c:pt>
                <c:pt idx="27">
                  <c:v>8.6355879999999996E-2</c:v>
                </c:pt>
                <c:pt idx="28">
                  <c:v>7.6645919999999992E-2</c:v>
                </c:pt>
                <c:pt idx="29">
                  <c:v>6.4351560000000002E-2</c:v>
                </c:pt>
                <c:pt idx="30">
                  <c:v>6.9704959999999996E-2</c:v>
                </c:pt>
                <c:pt idx="31">
                  <c:v>5.4604679999999996E-2</c:v>
                </c:pt>
                <c:pt idx="32">
                  <c:v>5.1097279999999995E-2</c:v>
                </c:pt>
                <c:pt idx="33">
                  <c:v>6.9077319999999998E-2</c:v>
                </c:pt>
              </c:numCache>
            </c:numRef>
          </c:val>
          <c:extLst>
            <c:ext xmlns:c16="http://schemas.microsoft.com/office/drawing/2014/chart" uri="{C3380CC4-5D6E-409C-BE32-E72D297353CC}">
              <c16:uniqueId val="{0000000D-3782-4BC7-9738-69FF4F6C5241}"/>
            </c:ext>
          </c:extLst>
        </c:ser>
        <c:ser>
          <c:idx val="9"/>
          <c:order val="14"/>
          <c:tx>
            <c:strRef>
              <c:f>'Biogenic Summary'!$A$78</c:f>
              <c:strCache>
                <c:ptCount val="1"/>
                <c:pt idx="0">
                  <c:v>     Electric (Imports)</c:v>
                </c:pt>
              </c:strCache>
            </c:strRef>
          </c:tx>
          <c:spPr>
            <a:pattFill prst="pct90">
              <a:fgClr>
                <a:srgbClr val="FF99FF"/>
              </a:fgClr>
              <a:bgClr>
                <a:schemeClr val="bg1"/>
              </a:bgClr>
            </a:pattFill>
          </c:spPr>
          <c:cat>
            <c:strRef>
              <c:extLst>
                <c:ext xmlns:c15="http://schemas.microsoft.com/office/drawing/2012/chart" uri="{02D57815-91ED-43cb-92C2-25804820EDAC}">
                  <c15:fullRef>
                    <c15:sqref>'Biogenic Summary'!$B$58:$AJ$58</c15:sqref>
                  </c15:fullRef>
                </c:ext>
              </c:extLst>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extLst>
                <c:ext xmlns:c15="http://schemas.microsoft.com/office/drawing/2012/chart" uri="{02D57815-91ED-43cb-92C2-25804820EDAC}">
                  <c15:fullRef>
                    <c15:sqref>'Biogenic Summary'!$B$78:$AI$78</c15:sqref>
                  </c15:fullRef>
                </c:ext>
              </c:extLst>
              <c:f>'Biogenic Summary'!$B$78:$AI$78</c:f>
              <c:numCache>
                <c:formatCode>_(* #,##0.00_);_(* \(#,##0.00\);_(* "-"??_);_(@_)</c:formatCode>
                <c:ptCount val="34"/>
                <c:pt idx="0">
                  <c:v>0</c:v>
                </c:pt>
                <c:pt idx="1">
                  <c:v>0</c:v>
                </c:pt>
                <c:pt idx="2">
                  <c:v>0</c:v>
                </c:pt>
                <c:pt idx="3">
                  <c:v>0</c:v>
                </c:pt>
                <c:pt idx="4">
                  <c:v>0</c:v>
                </c:pt>
                <c:pt idx="5">
                  <c:v>0</c:v>
                </c:pt>
                <c:pt idx="6">
                  <c:v>0</c:v>
                </c:pt>
                <c:pt idx="7">
                  <c:v>0</c:v>
                </c:pt>
                <c:pt idx="8">
                  <c:v>0</c:v>
                </c:pt>
                <c:pt idx="9">
                  <c:v>0</c:v>
                </c:pt>
                <c:pt idx="10">
                  <c:v>0</c:v>
                </c:pt>
                <c:pt idx="11" formatCode="_(* #,##0.0_);_(* \(#,##0.0\);_(* &quot;-&quot;??_);_(@_)">
                  <c:v>0.55859571012052256</c:v>
                </c:pt>
                <c:pt idx="12" formatCode="_(* #,##0.0_);_(* \(#,##0.0\);_(* &quot;-&quot;??_);_(@_)">
                  <c:v>0.84170015186024771</c:v>
                </c:pt>
                <c:pt idx="13" formatCode="_(* #,##0.0_);_(* \(#,##0.0\);_(* &quot;-&quot;??_);_(@_)">
                  <c:v>0.40164630396209744</c:v>
                </c:pt>
                <c:pt idx="14" formatCode="_(* #,##0.0_);_(* \(#,##0.0\);_(* &quot;-&quot;??_);_(@_)">
                  <c:v>0.32902461966924834</c:v>
                </c:pt>
                <c:pt idx="15" formatCode="_(* #,##0.0_);_(* \(#,##0.0\);_(* &quot;-&quot;??_);_(@_)">
                  <c:v>0.94909520982899687</c:v>
                </c:pt>
                <c:pt idx="16" formatCode="_(* #,##0.0_);_(* \(#,##0.0\);_(* &quot;-&quot;??_);_(@_)">
                  <c:v>0.58322044312355947</c:v>
                </c:pt>
                <c:pt idx="17" formatCode="_(* #,##0.0_);_(* \(#,##0.0\);_(* &quot;-&quot;??_);_(@_)">
                  <c:v>1.3267600352971316</c:v>
                </c:pt>
                <c:pt idx="18" formatCode="_(* #,##0.0_);_(* \(#,##0.0\);_(* &quot;-&quot;??_);_(@_)">
                  <c:v>1.369690658144856</c:v>
                </c:pt>
                <c:pt idx="19" formatCode="_(* #,##0.0_);_(* \(#,##0.0\);_(* &quot;-&quot;??_);_(@_)">
                  <c:v>1.2749874561753112</c:v>
                </c:pt>
                <c:pt idx="20" formatCode="_(* #,##0.0_);_(* \(#,##0.0\);_(* &quot;-&quot;??_);_(@_)">
                  <c:v>1.3482987986997899</c:v>
                </c:pt>
                <c:pt idx="21" formatCode="_(* #,##0.0_);_(* \(#,##0.0\);_(* &quot;-&quot;??_);_(@_)">
                  <c:v>1.0789541819155164</c:v>
                </c:pt>
                <c:pt idx="22" formatCode="_(* #,##0.0_);_(* \(#,##0.0\);_(* &quot;-&quot;??_);_(@_)">
                  <c:v>1.1095633925687443</c:v>
                </c:pt>
                <c:pt idx="23" formatCode="_(* #,##0.0_);_(* \(#,##0.0\);_(* &quot;-&quot;??_);_(@_)">
                  <c:v>1.1146613215647374</c:v>
                </c:pt>
                <c:pt idx="24" formatCode="_(* #,##0.0_);_(* \(#,##0.0\);_(* &quot;-&quot;??_);_(@_)">
                  <c:v>0.95513701051292543</c:v>
                </c:pt>
                <c:pt idx="25" formatCode="_(* #,##0.0_);_(* \(#,##0.0\);_(* &quot;-&quot;??_);_(@_)">
                  <c:v>1.268574293010412</c:v>
                </c:pt>
                <c:pt idx="26" formatCode="_(* #,##0.0_);_(* \(#,##0.0\);_(* &quot;-&quot;??_);_(@_)">
                  <c:v>0.95061831105620487</c:v>
                </c:pt>
                <c:pt idx="27" formatCode="_(* #,##0.0_);_(* \(#,##0.0\);_(* &quot;-&quot;??_);_(@_)">
                  <c:v>-3.7310689111573763E-3</c:v>
                </c:pt>
                <c:pt idx="28" formatCode="_(* #,##0.0_);_(* \(#,##0.0\);_(* &quot;-&quot;??_);_(@_)">
                  <c:v>0.14873299142069088</c:v>
                </c:pt>
                <c:pt idx="29" formatCode="_(* #,##0.0_);_(* \(#,##0.0\);_(* &quot;-&quot;??_);_(@_)">
                  <c:v>2.4277914590619825E-2</c:v>
                </c:pt>
                <c:pt idx="30" formatCode="_(* #,##0.0_);_(* \(#,##0.0\);_(* &quot;-&quot;??_);_(@_)">
                  <c:v>0.17107003354534717</c:v>
                </c:pt>
                <c:pt idx="31" formatCode="_(* #,##0.0_);_(* \(#,##0.0\);_(* &quot;-&quot;??_);_(@_)">
                  <c:v>2.1504996751917593E-2</c:v>
                </c:pt>
                <c:pt idx="32" formatCode="_(* #,##0.0_);_(* \(#,##0.0\);_(* &quot;-&quot;??_);_(@_)">
                  <c:v>5.2783303758255067E-2</c:v>
                </c:pt>
                <c:pt idx="33" formatCode="_(* #,##0.0_);_(* \(#,##0.0\);_(* &quot;-&quot;??_);_(@_)">
                  <c:v>0.18842379592609182</c:v>
                </c:pt>
              </c:numCache>
            </c:numRef>
          </c:val>
          <c:extLst>
            <c:ext xmlns:c16="http://schemas.microsoft.com/office/drawing/2014/chart" uri="{C3380CC4-5D6E-409C-BE32-E72D297353CC}">
              <c16:uniqueId val="{0000000E-3782-4BC7-9738-69FF4F6C5241}"/>
            </c:ext>
          </c:extLst>
        </c:ser>
        <c:dLbls>
          <c:showLegendKey val="0"/>
          <c:showVal val="0"/>
          <c:showCatName val="0"/>
          <c:showSerName val="0"/>
          <c:showPercent val="0"/>
          <c:showBubbleSize val="0"/>
        </c:dLbls>
        <c:axId val="97256576"/>
        <c:axId val="97258112"/>
      </c:areaChart>
      <c:catAx>
        <c:axId val="97256576"/>
        <c:scaling>
          <c:orientation val="minMax"/>
        </c:scaling>
        <c:delete val="0"/>
        <c:axPos val="b"/>
        <c:numFmt formatCode="General" sourceLinked="1"/>
        <c:majorTickMark val="out"/>
        <c:minorTickMark val="none"/>
        <c:tickLblPos val="nextTo"/>
        <c:txPr>
          <a:bodyPr rot="0" vert="horz"/>
          <a:lstStyle/>
          <a:p>
            <a:pPr>
              <a:defRPr sz="1200" b="1" i="0" u="none" strike="noStrike" baseline="0">
                <a:solidFill>
                  <a:srgbClr val="000000"/>
                </a:solidFill>
                <a:latin typeface="Aptos" panose="020B0004020202020204" pitchFamily="34" charset="0"/>
                <a:ea typeface="Calibri"/>
                <a:cs typeface="Calibri"/>
              </a:defRPr>
            </a:pPr>
            <a:endParaRPr lang="en-US"/>
          </a:p>
        </c:txPr>
        <c:crossAx val="97258112"/>
        <c:crosses val="autoZero"/>
        <c:auto val="1"/>
        <c:lblAlgn val="ctr"/>
        <c:lblOffset val="100"/>
        <c:tickLblSkip val="5"/>
        <c:noMultiLvlLbl val="0"/>
      </c:catAx>
      <c:valAx>
        <c:axId val="97258112"/>
        <c:scaling>
          <c:orientation val="minMax"/>
          <c:max val="7.5"/>
          <c:min val="0"/>
        </c:scaling>
        <c:delete val="0"/>
        <c:axPos val="l"/>
        <c:majorGridlines/>
        <c:title>
          <c:tx>
            <c:rich>
              <a:bodyPr/>
              <a:lstStyle/>
              <a:p>
                <a:pPr>
                  <a:defRPr>
                    <a:latin typeface="Aptos" panose="020B0004020202020204" pitchFamily="34" charset="0"/>
                  </a:defRPr>
                </a:pPr>
                <a:r>
                  <a:rPr lang="en-US" sz="1200" b="1" i="0" baseline="0">
                    <a:effectLst/>
                    <a:latin typeface="Aptos" panose="020B0004020202020204" pitchFamily="34" charset="0"/>
                  </a:rPr>
                  <a:t>Million Metric Tons of CO</a:t>
                </a:r>
                <a:r>
                  <a:rPr lang="en-US" sz="1200" b="1" i="0" baseline="-25000">
                    <a:effectLst/>
                    <a:latin typeface="Aptos" panose="020B0004020202020204" pitchFamily="34" charset="0"/>
                  </a:rPr>
                  <a:t>2</a:t>
                </a:r>
                <a:r>
                  <a:rPr lang="en-US" sz="1200" b="1" i="0" baseline="0">
                    <a:effectLst/>
                    <a:latin typeface="Aptos" panose="020B0004020202020204" pitchFamily="34" charset="0"/>
                  </a:rPr>
                  <a:t> </a:t>
                </a:r>
                <a:endParaRPr lang="en-US" sz="1200">
                  <a:effectLst/>
                  <a:latin typeface="Aptos" panose="020B0004020202020204" pitchFamily="34" charset="0"/>
                </a:endParaRPr>
              </a:p>
            </c:rich>
          </c:tx>
          <c:layout>
            <c:manualLayout>
              <c:xMode val="edge"/>
              <c:yMode val="edge"/>
              <c:x val="3.0347401812303904E-2"/>
              <c:y val="0.36656223823085943"/>
            </c:manualLayout>
          </c:layout>
          <c:overlay val="0"/>
        </c:title>
        <c:numFmt formatCode="#,##0" sourceLinked="0"/>
        <c:majorTickMark val="out"/>
        <c:minorTickMark val="none"/>
        <c:tickLblPos val="nextTo"/>
        <c:txPr>
          <a:bodyPr rot="0" vert="horz"/>
          <a:lstStyle/>
          <a:p>
            <a:pPr>
              <a:defRPr sz="1200" b="1" i="0" u="none" strike="noStrike" baseline="0">
                <a:solidFill>
                  <a:srgbClr val="000000"/>
                </a:solidFill>
                <a:latin typeface="Aptos" panose="020B0004020202020204" pitchFamily="34" charset="0"/>
                <a:ea typeface="Calibri"/>
                <a:cs typeface="Calibri"/>
              </a:defRPr>
            </a:pPr>
            <a:endParaRPr lang="en-US"/>
          </a:p>
        </c:txPr>
        <c:crossAx val="97256576"/>
        <c:crossesAt val="1"/>
        <c:crossBetween val="midCat"/>
      </c:valAx>
      <c:spPr>
        <a:ln>
          <a:solidFill>
            <a:schemeClr val="tx1"/>
          </a:solidFill>
        </a:ln>
      </c:spPr>
    </c:plotArea>
    <c:legend>
      <c:legendPos val="r"/>
      <c:layout>
        <c:manualLayout>
          <c:xMode val="edge"/>
          <c:yMode val="edge"/>
          <c:x val="0.74222431696906155"/>
          <c:y val="3.1981718976023782E-2"/>
          <c:w val="0.25777553094380107"/>
          <c:h val="0.93402358444918598"/>
        </c:manualLayout>
      </c:layout>
      <c:overlay val="0"/>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r>
              <a:rPr lang="en-US" sz="1600" b="1">
                <a:solidFill>
                  <a:sysClr val="windowText" lastClr="000000"/>
                </a:solidFill>
                <a:latin typeface="Aptos" panose="020B0004020202020204" pitchFamily="34" charset="0"/>
              </a:rPr>
              <a:t>Natural and Working Lands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ptos" panose="020B0004020202020204" pitchFamily="34" charset="0"/>
              <a:ea typeface="+mn-ea"/>
              <a:cs typeface="+mn-cs"/>
            </a:defRPr>
          </a:pPr>
          <a:endParaRPr lang="en-US"/>
        </a:p>
      </c:txPr>
    </c:title>
    <c:autoTitleDeleted val="0"/>
    <c:plotArea>
      <c:layout/>
      <c:lineChart>
        <c:grouping val="standard"/>
        <c:varyColors val="0"/>
        <c:ser>
          <c:idx val="2"/>
          <c:order val="0"/>
          <c:tx>
            <c:strRef>
              <c:f>'Biogenic Summary'!$A$92</c:f>
              <c:strCache>
                <c:ptCount val="1"/>
                <c:pt idx="0">
                  <c:v>Cropland and Grassland</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'Biogenic Summary'!$B$90:$AI$90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Summary'!$B$92:$AI$92</c:f>
              <c:numCache>
                <c:formatCode>0.0</c:formatCode>
                <c:ptCount val="34"/>
                <c:pt idx="0">
                  <c:v>0.21319720656562058</c:v>
                </c:pt>
                <c:pt idx="1">
                  <c:v>0.23010002413992994</c:v>
                </c:pt>
                <c:pt idx="2">
                  <c:v>0.24887856046681037</c:v>
                </c:pt>
                <c:pt idx="3">
                  <c:v>0.25468209537868225</c:v>
                </c:pt>
                <c:pt idx="4">
                  <c:v>0.18482884263873298</c:v>
                </c:pt>
                <c:pt idx="5">
                  <c:v>0.21746851263085828</c:v>
                </c:pt>
                <c:pt idx="6">
                  <c:v>0.16042660774600079</c:v>
                </c:pt>
                <c:pt idx="7">
                  <c:v>0.17038503598269733</c:v>
                </c:pt>
                <c:pt idx="8">
                  <c:v>0.11812282619103506</c:v>
                </c:pt>
                <c:pt idx="9">
                  <c:v>0.17971160144671461</c:v>
                </c:pt>
                <c:pt idx="10">
                  <c:v>0.2254283031988423</c:v>
                </c:pt>
                <c:pt idx="11">
                  <c:v>0.17375028936480125</c:v>
                </c:pt>
                <c:pt idx="12">
                  <c:v>0.16843549980377148</c:v>
                </c:pt>
                <c:pt idx="13">
                  <c:v>0.18407252728810369</c:v>
                </c:pt>
                <c:pt idx="14">
                  <c:v>0.14544241600782642</c:v>
                </c:pt>
                <c:pt idx="15">
                  <c:v>0.13126040170137451</c:v>
                </c:pt>
                <c:pt idx="16">
                  <c:v>0.13474807848118053</c:v>
                </c:pt>
                <c:pt idx="17">
                  <c:v>0.18067545503984375</c:v>
                </c:pt>
                <c:pt idx="18">
                  <c:v>0.11492496014993503</c:v>
                </c:pt>
                <c:pt idx="19">
                  <c:v>0.14437902080490037</c:v>
                </c:pt>
                <c:pt idx="20">
                  <c:v>0.15938522021236376</c:v>
                </c:pt>
                <c:pt idx="21">
                  <c:v>0.13176335983968038</c:v>
                </c:pt>
                <c:pt idx="22">
                  <c:v>0.15408990791965141</c:v>
                </c:pt>
                <c:pt idx="23">
                  <c:v>0.17775599338035469</c:v>
                </c:pt>
                <c:pt idx="24">
                  <c:v>0.13645450550419352</c:v>
                </c:pt>
                <c:pt idx="25">
                  <c:v>0.15046201803872061</c:v>
                </c:pt>
                <c:pt idx="26">
                  <c:v>0.15602681548490049</c:v>
                </c:pt>
                <c:pt idx="27">
                  <c:v>0.18704335152069007</c:v>
                </c:pt>
                <c:pt idx="28">
                  <c:v>0.21769565253601897</c:v>
                </c:pt>
                <c:pt idx="29">
                  <c:v>0.19829473769084352</c:v>
                </c:pt>
                <c:pt idx="30">
                  <c:v>0.19472667536236887</c:v>
                </c:pt>
                <c:pt idx="31">
                  <c:v>0.21761815732341824</c:v>
                </c:pt>
                <c:pt idx="32">
                  <c:v>0.22370130141959635</c:v>
                </c:pt>
                <c:pt idx="33">
                  <c:v>0.22323511702156631</c:v>
                </c:pt>
              </c:numCache>
            </c:numRef>
          </c:val>
          <c:smooth val="0"/>
          <c:extLst>
            <c:ext xmlns:c16="http://schemas.microsoft.com/office/drawing/2014/chart" uri="{C3380CC4-5D6E-409C-BE32-E72D297353CC}">
              <c16:uniqueId val="{00000000-88CF-4BAA-B1E5-DDCCE8DBE1E0}"/>
            </c:ext>
          </c:extLst>
        </c:ser>
        <c:ser>
          <c:idx val="5"/>
          <c:order val="1"/>
          <c:tx>
            <c:strRef>
              <c:f>'Biogenic Summary'!$A$95</c:f>
              <c:strCache>
                <c:ptCount val="1"/>
                <c:pt idx="0">
                  <c:v>Other Land</c:v>
                </c:pt>
              </c:strCache>
            </c:strRef>
          </c:tx>
          <c:spPr>
            <a:ln w="28575" cap="rnd">
              <a:solidFill>
                <a:schemeClr val="tx2">
                  <a:lumMod val="50000"/>
                </a:schemeClr>
              </a:solidFill>
              <a:round/>
            </a:ln>
            <a:effectLst/>
          </c:spPr>
          <c:marker>
            <c:symbol val="circle"/>
            <c:size val="5"/>
            <c:spPr>
              <a:solidFill>
                <a:schemeClr val="tx2">
                  <a:lumMod val="50000"/>
                </a:schemeClr>
              </a:solidFill>
              <a:ln w="9525">
                <a:solidFill>
                  <a:schemeClr val="tx2">
                    <a:lumMod val="50000"/>
                  </a:schemeClr>
                </a:solidFill>
              </a:ln>
              <a:effectLst/>
            </c:spPr>
          </c:marker>
          <c:cat>
            <c:strRef>
              <c:f>'Biogenic Summary'!$B$90:$AI$90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Summary'!$B$95:$AI$95</c:f>
              <c:numCache>
                <c:formatCode>0.0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val>
          <c:smooth val="0"/>
          <c:extLst>
            <c:ext xmlns:c16="http://schemas.microsoft.com/office/drawing/2014/chart" uri="{C3380CC4-5D6E-409C-BE32-E72D297353CC}">
              <c16:uniqueId val="{00000001-88CF-4BAA-B1E5-DDCCE8DBE1E0}"/>
            </c:ext>
          </c:extLst>
        </c:ser>
        <c:ser>
          <c:idx val="3"/>
          <c:order val="2"/>
          <c:tx>
            <c:strRef>
              <c:f>'Biogenic Summary'!$A$93</c:f>
              <c:strCache>
                <c:ptCount val="1"/>
                <c:pt idx="0">
                  <c:v>Wetlands</c:v>
                </c:pt>
              </c:strCache>
            </c:strRef>
          </c:tx>
          <c:spPr>
            <a:ln w="28575" cap="rnd">
              <a:solidFill>
                <a:schemeClr val="accent5">
                  <a:lumMod val="75000"/>
                </a:schemeClr>
              </a:solidFill>
              <a:round/>
            </a:ln>
            <a:effectLst/>
          </c:spPr>
          <c:marker>
            <c:symbol val="square"/>
            <c:size val="5"/>
            <c:spPr>
              <a:solidFill>
                <a:schemeClr val="accent5">
                  <a:lumMod val="75000"/>
                </a:schemeClr>
              </a:solidFill>
              <a:ln w="9525">
                <a:solidFill>
                  <a:schemeClr val="accent5">
                    <a:lumMod val="75000"/>
                  </a:schemeClr>
                </a:solidFill>
              </a:ln>
              <a:effectLst/>
            </c:spPr>
          </c:marker>
          <c:cat>
            <c:strRef>
              <c:f>'Biogenic Summary'!$B$90:$AI$90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Summary'!$B$93:$AI$93</c:f>
              <c:numCache>
                <c:formatCode>0.0</c:formatCode>
                <c:ptCount val="34"/>
                <c:pt idx="0">
                  <c:v>0.13270929615455257</c:v>
                </c:pt>
                <c:pt idx="1">
                  <c:v>0.12919528491255294</c:v>
                </c:pt>
                <c:pt idx="2">
                  <c:v>0.12704172557383192</c:v>
                </c:pt>
                <c:pt idx="3">
                  <c:v>0.12730840543076535</c:v>
                </c:pt>
                <c:pt idx="4">
                  <c:v>0.12573226379587785</c:v>
                </c:pt>
                <c:pt idx="5">
                  <c:v>0.12816135038675164</c:v>
                </c:pt>
                <c:pt idx="6">
                  <c:v>0.12366980778830872</c:v>
                </c:pt>
                <c:pt idx="7">
                  <c:v>0.12799450267397128</c:v>
                </c:pt>
                <c:pt idx="8">
                  <c:v>0.127695451904138</c:v>
                </c:pt>
                <c:pt idx="9">
                  <c:v>0.1288830079313025</c:v>
                </c:pt>
                <c:pt idx="10">
                  <c:v>0.13026260570930107</c:v>
                </c:pt>
                <c:pt idx="11">
                  <c:v>0.13249764348861598</c:v>
                </c:pt>
                <c:pt idx="12">
                  <c:v>0.12889878964701995</c:v>
                </c:pt>
                <c:pt idx="13">
                  <c:v>0.12767642755350805</c:v>
                </c:pt>
                <c:pt idx="14">
                  <c:v>0.12944285034180353</c:v>
                </c:pt>
                <c:pt idx="15">
                  <c:v>0.12866086261786064</c:v>
                </c:pt>
                <c:pt idx="16">
                  <c:v>0.1315931696496116</c:v>
                </c:pt>
                <c:pt idx="17">
                  <c:v>0.13522202820363036</c:v>
                </c:pt>
                <c:pt idx="18">
                  <c:v>0.13464273863210144</c:v>
                </c:pt>
                <c:pt idx="19">
                  <c:v>0.13628151593765736</c:v>
                </c:pt>
                <c:pt idx="20">
                  <c:v>0.13701263661366742</c:v>
                </c:pt>
                <c:pt idx="21">
                  <c:v>0.12546817654960735</c:v>
                </c:pt>
                <c:pt idx="22">
                  <c:v>0.12508645809999874</c:v>
                </c:pt>
                <c:pt idx="23">
                  <c:v>0.12593056558027216</c:v>
                </c:pt>
                <c:pt idx="24">
                  <c:v>0.12608368943874382</c:v>
                </c:pt>
                <c:pt idx="25">
                  <c:v>0.12564758462832751</c:v>
                </c:pt>
                <c:pt idx="26">
                  <c:v>0.12516125756664748</c:v>
                </c:pt>
                <c:pt idx="27">
                  <c:v>0.12700579554124819</c:v>
                </c:pt>
                <c:pt idx="28">
                  <c:v>0.12321573873771155</c:v>
                </c:pt>
                <c:pt idx="29">
                  <c:v>0.12231734303782878</c:v>
                </c:pt>
                <c:pt idx="30">
                  <c:v>0.121828018998516</c:v>
                </c:pt>
                <c:pt idx="31">
                  <c:v>0.12095261660868496</c:v>
                </c:pt>
                <c:pt idx="32">
                  <c:v>0.12161812314732903</c:v>
                </c:pt>
                <c:pt idx="33">
                  <c:v>0.12175878682448034</c:v>
                </c:pt>
              </c:numCache>
            </c:numRef>
          </c:val>
          <c:smooth val="0"/>
          <c:extLst>
            <c:ext xmlns:c16="http://schemas.microsoft.com/office/drawing/2014/chart" uri="{C3380CC4-5D6E-409C-BE32-E72D297353CC}">
              <c16:uniqueId val="{00000002-88CF-4BAA-B1E5-DDCCE8DBE1E0}"/>
            </c:ext>
          </c:extLst>
        </c:ser>
        <c:ser>
          <c:idx val="4"/>
          <c:order val="3"/>
          <c:tx>
            <c:strRef>
              <c:f>'Biogenic Summary'!$A$94</c:f>
              <c:strCache>
                <c:ptCount val="1"/>
                <c:pt idx="0">
                  <c:v>Settlements</c:v>
                </c:pt>
              </c:strCache>
            </c:strRef>
          </c:tx>
          <c:spPr>
            <a:ln w="28575" cap="rnd">
              <a:solidFill>
                <a:schemeClr val="accent6">
                  <a:lumMod val="75000"/>
                </a:schemeClr>
              </a:solidFill>
              <a:round/>
            </a:ln>
            <a:effectLst/>
          </c:spPr>
          <c:marker>
            <c:symbol val="triangle"/>
            <c:size val="6"/>
            <c:spPr>
              <a:solidFill>
                <a:schemeClr val="accent6">
                  <a:lumMod val="75000"/>
                </a:schemeClr>
              </a:solidFill>
              <a:ln w="9525">
                <a:solidFill>
                  <a:schemeClr val="accent6">
                    <a:lumMod val="75000"/>
                  </a:schemeClr>
                </a:solidFill>
              </a:ln>
              <a:effectLst/>
            </c:spPr>
          </c:marker>
          <c:cat>
            <c:strRef>
              <c:f>'Biogenic Summary'!$B$90:$AI$90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Summary'!$B$94:$AI$94</c:f>
              <c:numCache>
                <c:formatCode>0.0</c:formatCode>
                <c:ptCount val="34"/>
                <c:pt idx="0">
                  <c:v>-0.76729488721680872</c:v>
                </c:pt>
                <c:pt idx="1">
                  <c:v>-0.70988641959844301</c:v>
                </c:pt>
                <c:pt idx="2">
                  <c:v>-0.71621212880859542</c:v>
                </c:pt>
                <c:pt idx="3">
                  <c:v>-0.68563765002587884</c:v>
                </c:pt>
                <c:pt idx="4">
                  <c:v>-0.68198761528335994</c:v>
                </c:pt>
                <c:pt idx="5">
                  <c:v>-0.65165059037062834</c:v>
                </c:pt>
                <c:pt idx="6">
                  <c:v>-0.67521939571796097</c:v>
                </c:pt>
                <c:pt idx="7">
                  <c:v>-0.65924042172704556</c:v>
                </c:pt>
                <c:pt idx="8">
                  <c:v>-0.71249781492904407</c:v>
                </c:pt>
                <c:pt idx="9">
                  <c:v>-0.70666548709797627</c:v>
                </c:pt>
                <c:pt idx="10">
                  <c:v>-0.72994715586245384</c:v>
                </c:pt>
                <c:pt idx="11">
                  <c:v>-0.74596134125877478</c:v>
                </c:pt>
                <c:pt idx="12">
                  <c:v>-0.75606209146360592</c:v>
                </c:pt>
                <c:pt idx="13">
                  <c:v>-0.78124094396805588</c:v>
                </c:pt>
                <c:pt idx="14">
                  <c:v>-0.79513583942692956</c:v>
                </c:pt>
                <c:pt idx="15">
                  <c:v>-0.79582515678085919</c:v>
                </c:pt>
                <c:pt idx="16">
                  <c:v>-0.82325166606787403</c:v>
                </c:pt>
                <c:pt idx="17">
                  <c:v>-0.83737145927255674</c:v>
                </c:pt>
                <c:pt idx="18">
                  <c:v>-0.86668381433872743</c:v>
                </c:pt>
                <c:pt idx="19">
                  <c:v>-0.88753010380221486</c:v>
                </c:pt>
                <c:pt idx="20">
                  <c:v>-0.92065233902311017</c:v>
                </c:pt>
                <c:pt idx="21">
                  <c:v>-0.91681974770689412</c:v>
                </c:pt>
                <c:pt idx="22">
                  <c:v>-0.92733035179237377</c:v>
                </c:pt>
                <c:pt idx="23">
                  <c:v>-0.91438719828564718</c:v>
                </c:pt>
                <c:pt idx="24">
                  <c:v>-0.95403721509898154</c:v>
                </c:pt>
                <c:pt idx="25">
                  <c:v>-0.95969839315733296</c:v>
                </c:pt>
                <c:pt idx="26">
                  <c:v>-0.95775781749807509</c:v>
                </c:pt>
                <c:pt idx="27">
                  <c:v>-1.0282466891011015</c:v>
                </c:pt>
                <c:pt idx="28">
                  <c:v>-1.0264432171356892</c:v>
                </c:pt>
                <c:pt idx="29">
                  <c:v>-1.0370332194928062</c:v>
                </c:pt>
                <c:pt idx="30">
                  <c:v>-1.0311503906037851</c:v>
                </c:pt>
                <c:pt idx="31">
                  <c:v>-1.0007430019470203</c:v>
                </c:pt>
                <c:pt idx="32">
                  <c:v>-0.97971047954174084</c:v>
                </c:pt>
                <c:pt idx="33">
                  <c:v>-0.94733588009053216</c:v>
                </c:pt>
              </c:numCache>
            </c:numRef>
          </c:val>
          <c:smooth val="0"/>
          <c:extLst>
            <c:ext xmlns:c16="http://schemas.microsoft.com/office/drawing/2014/chart" uri="{C3380CC4-5D6E-409C-BE32-E72D297353CC}">
              <c16:uniqueId val="{00000003-88CF-4BAA-B1E5-DDCCE8DBE1E0}"/>
            </c:ext>
          </c:extLst>
        </c:ser>
        <c:ser>
          <c:idx val="1"/>
          <c:order val="4"/>
          <c:tx>
            <c:strRef>
              <c:f>'Biogenic Summary'!$A$91</c:f>
              <c:strCache>
                <c:ptCount val="1"/>
                <c:pt idx="0">
                  <c:v>Forest Land</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'Biogenic Summary'!$B$90:$AI$90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Summary'!$B$91:$AI$91</c:f>
              <c:numCache>
                <c:formatCode>0.0</c:formatCode>
                <c:ptCount val="34"/>
                <c:pt idx="0">
                  <c:v>-4.9273993984964948</c:v>
                </c:pt>
                <c:pt idx="1">
                  <c:v>-4.9777432601710014</c:v>
                </c:pt>
                <c:pt idx="2">
                  <c:v>-5.0281875778790006</c:v>
                </c:pt>
                <c:pt idx="3">
                  <c:v>-5.1832791320092335</c:v>
                </c:pt>
                <c:pt idx="4">
                  <c:v>-5.236243712739733</c:v>
                </c:pt>
                <c:pt idx="5">
                  <c:v>-5.2891686637701296</c:v>
                </c:pt>
                <c:pt idx="6">
                  <c:v>-5.3419756368673044</c:v>
                </c:pt>
                <c:pt idx="7">
                  <c:v>-5.3949116912978026</c:v>
                </c:pt>
                <c:pt idx="8">
                  <c:v>-5.4477804022615812</c:v>
                </c:pt>
                <c:pt idx="9">
                  <c:v>-5.5005045812919793</c:v>
                </c:pt>
                <c:pt idx="10">
                  <c:v>-5.5550936531233672</c:v>
                </c:pt>
                <c:pt idx="11">
                  <c:v>-5.6096077301852878</c:v>
                </c:pt>
                <c:pt idx="12">
                  <c:v>-5.6639668016740883</c:v>
                </c:pt>
                <c:pt idx="13">
                  <c:v>-5.7186213709090463</c:v>
                </c:pt>
                <c:pt idx="14">
                  <c:v>-5.7730735711376466</c:v>
                </c:pt>
                <c:pt idx="15">
                  <c:v>-5.8265167762938166</c:v>
                </c:pt>
                <c:pt idx="16">
                  <c:v>-5.8825843616134303</c:v>
                </c:pt>
                <c:pt idx="17">
                  <c:v>-5.9372547977079275</c:v>
                </c:pt>
                <c:pt idx="18">
                  <c:v>-5.99121679449825</c:v>
                </c:pt>
                <c:pt idx="19">
                  <c:v>-6.0467690533634286</c:v>
                </c:pt>
                <c:pt idx="20">
                  <c:v>-6.1017079985671678</c:v>
                </c:pt>
                <c:pt idx="21">
                  <c:v>-6.1565133098523583</c:v>
                </c:pt>
                <c:pt idx="22">
                  <c:v>-6.1906882178408615</c:v>
                </c:pt>
                <c:pt idx="23">
                  <c:v>-6.2247269732618369</c:v>
                </c:pt>
                <c:pt idx="24">
                  <c:v>-6.2590810594604633</c:v>
                </c:pt>
                <c:pt idx="25">
                  <c:v>-6.2931339337591403</c:v>
                </c:pt>
                <c:pt idx="26">
                  <c:v>-6.3272675232904092</c:v>
                </c:pt>
                <c:pt idx="27">
                  <c:v>-6.3614525354872704</c:v>
                </c:pt>
                <c:pt idx="28">
                  <c:v>-6.3700367798177648</c:v>
                </c:pt>
                <c:pt idx="29">
                  <c:v>-6.3789262738108237</c:v>
                </c:pt>
                <c:pt idx="30">
                  <c:v>-6.3876452450338537</c:v>
                </c:pt>
                <c:pt idx="31">
                  <c:v>-6.3935728605273381</c:v>
                </c:pt>
                <c:pt idx="32">
                  <c:v>-6.401118995065902</c:v>
                </c:pt>
                <c:pt idx="33">
                  <c:v>-6.4125244825157317</c:v>
                </c:pt>
              </c:numCache>
            </c:numRef>
          </c:val>
          <c:smooth val="0"/>
          <c:extLst>
            <c:ext xmlns:c16="http://schemas.microsoft.com/office/drawing/2014/chart" uri="{C3380CC4-5D6E-409C-BE32-E72D297353CC}">
              <c16:uniqueId val="{00000004-88CF-4BAA-B1E5-DDCCE8DBE1E0}"/>
            </c:ext>
          </c:extLst>
        </c:ser>
        <c:ser>
          <c:idx val="6"/>
          <c:order val="5"/>
          <c:tx>
            <c:strRef>
              <c:f>'Biogenic Summary'!$A$96</c:f>
              <c:strCache>
                <c:ptCount val="1"/>
                <c:pt idx="0">
                  <c:v>Net NWL Emissions</c:v>
                </c:pt>
              </c:strCache>
            </c:strRef>
          </c:tx>
          <c:spPr>
            <a:ln w="28575" cap="rnd">
              <a:solidFill>
                <a:schemeClr val="accent4">
                  <a:lumMod val="60000"/>
                  <a:lumOff val="40000"/>
                </a:schemeClr>
              </a:solidFill>
              <a:round/>
            </a:ln>
            <a:effectLst/>
          </c:spPr>
          <c:marker>
            <c:symbol val="triangle"/>
            <c:size val="5"/>
            <c:spPr>
              <a:solidFill>
                <a:schemeClr val="accent4">
                  <a:lumMod val="60000"/>
                  <a:lumOff val="40000"/>
                </a:schemeClr>
              </a:solidFill>
              <a:ln w="9525">
                <a:solidFill>
                  <a:schemeClr val="accent4">
                    <a:lumMod val="60000"/>
                    <a:lumOff val="40000"/>
                  </a:schemeClr>
                </a:solidFill>
              </a:ln>
              <a:effectLst/>
            </c:spPr>
          </c:marker>
          <c:cat>
            <c:strRef>
              <c:f>'Biogenic Summary'!$B$90:$AI$90</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Summary'!$B$96:$AI$96</c:f>
              <c:numCache>
                <c:formatCode>0.0</c:formatCode>
                <c:ptCount val="34"/>
                <c:pt idx="0">
                  <c:v>-5.3487877829931305</c:v>
                </c:pt>
                <c:pt idx="1">
                  <c:v>-5.328334370716961</c:v>
                </c:pt>
                <c:pt idx="2">
                  <c:v>-5.3684794206469535</c:v>
                </c:pt>
                <c:pt idx="3">
                  <c:v>-5.4869262812256645</c:v>
                </c:pt>
                <c:pt idx="4">
                  <c:v>-5.6076702215884824</c:v>
                </c:pt>
                <c:pt idx="5">
                  <c:v>-5.5951893911231476</c:v>
                </c:pt>
                <c:pt idx="6">
                  <c:v>-5.7330986170509561</c:v>
                </c:pt>
                <c:pt idx="7">
                  <c:v>-5.75577257436818</c:v>
                </c:pt>
                <c:pt idx="8">
                  <c:v>-5.914459939095452</c:v>
                </c:pt>
                <c:pt idx="9">
                  <c:v>-5.8985754590119379</c:v>
                </c:pt>
                <c:pt idx="10">
                  <c:v>-5.9293499000776775</c:v>
                </c:pt>
                <c:pt idx="11">
                  <c:v>-6.0493211385906447</c:v>
                </c:pt>
                <c:pt idx="12">
                  <c:v>-6.1226946036869023</c:v>
                </c:pt>
                <c:pt idx="13">
                  <c:v>-6.1881133600354907</c:v>
                </c:pt>
                <c:pt idx="14">
                  <c:v>-6.2933241442149468</c:v>
                </c:pt>
                <c:pt idx="15">
                  <c:v>-6.3624206687554405</c:v>
                </c:pt>
                <c:pt idx="16">
                  <c:v>-6.439494779550512</c:v>
                </c:pt>
                <c:pt idx="17">
                  <c:v>-6.4587287737370103</c:v>
                </c:pt>
                <c:pt idx="18">
                  <c:v>-6.6083329100549406</c:v>
                </c:pt>
                <c:pt idx="19">
                  <c:v>-6.6536386204230853</c:v>
                </c:pt>
                <c:pt idx="20">
                  <c:v>-6.725962480764248</c:v>
                </c:pt>
                <c:pt idx="21">
                  <c:v>-6.8161015211699647</c:v>
                </c:pt>
                <c:pt idx="22">
                  <c:v>-6.8388422036135852</c:v>
                </c:pt>
                <c:pt idx="23">
                  <c:v>-6.8354276125868578</c:v>
                </c:pt>
                <c:pt idx="24">
                  <c:v>-6.9505800796165076</c:v>
                </c:pt>
                <c:pt idx="25">
                  <c:v>-6.9767227242494245</c:v>
                </c:pt>
                <c:pt idx="26">
                  <c:v>-7.0038372677369365</c:v>
                </c:pt>
                <c:pt idx="27">
                  <c:v>-7.0756500775264337</c:v>
                </c:pt>
                <c:pt idx="28">
                  <c:v>-7.0555686056797233</c:v>
                </c:pt>
                <c:pt idx="29">
                  <c:v>-7.0953474125749576</c:v>
                </c:pt>
                <c:pt idx="30">
                  <c:v>-7.1022409412767535</c:v>
                </c:pt>
                <c:pt idx="31">
                  <c:v>-7.0557450885422552</c:v>
                </c:pt>
                <c:pt idx="32">
                  <c:v>-7.0355100500407168</c:v>
                </c:pt>
                <c:pt idx="33">
                  <c:v>-7.014866458760217</c:v>
                </c:pt>
              </c:numCache>
            </c:numRef>
          </c:val>
          <c:smooth val="0"/>
          <c:extLst>
            <c:ext xmlns:c16="http://schemas.microsoft.com/office/drawing/2014/chart" uri="{C3380CC4-5D6E-409C-BE32-E72D297353CC}">
              <c16:uniqueId val="{00000005-88CF-4BAA-B1E5-DDCCE8DBE1E0}"/>
            </c:ext>
          </c:extLst>
        </c:ser>
        <c:dLbls>
          <c:showLegendKey val="0"/>
          <c:showVal val="0"/>
          <c:showCatName val="0"/>
          <c:showSerName val="0"/>
          <c:showPercent val="0"/>
          <c:showBubbleSize val="0"/>
        </c:dLbls>
        <c:marker val="1"/>
        <c:smooth val="0"/>
        <c:axId val="763958440"/>
        <c:axId val="763958768"/>
      </c:lineChart>
      <c:catAx>
        <c:axId val="763958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ptos" panose="020B0004020202020204" pitchFamily="34" charset="0"/>
                <a:ea typeface="+mn-ea"/>
                <a:cs typeface="+mn-cs"/>
              </a:defRPr>
            </a:pPr>
            <a:endParaRPr lang="en-US"/>
          </a:p>
        </c:txPr>
        <c:crossAx val="763958768"/>
        <c:crosses val="autoZero"/>
        <c:auto val="1"/>
        <c:lblAlgn val="ctr"/>
        <c:lblOffset val="100"/>
        <c:noMultiLvlLbl val="0"/>
      </c:catAx>
      <c:valAx>
        <c:axId val="763958768"/>
        <c:scaling>
          <c:orientation val="minMax"/>
          <c:max val="0.5"/>
          <c:min val="-7.5"/>
        </c:scaling>
        <c:delete val="0"/>
        <c:axPos val="l"/>
        <c:majorGridlines>
          <c:spPr>
            <a:ln w="12700" cap="flat" cmpd="sng" algn="ctr">
              <a:solidFill>
                <a:schemeClr val="tx1"/>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r>
                  <a:rPr lang="en-US" sz="1200" b="1">
                    <a:solidFill>
                      <a:sysClr val="windowText" lastClr="000000"/>
                    </a:solidFill>
                    <a:latin typeface="Aptos" panose="020B0004020202020204" pitchFamily="34" charset="0"/>
                  </a:rPr>
                  <a:t>Million Metric Tons of CO</a:t>
                </a:r>
                <a:r>
                  <a:rPr lang="en-US" sz="1200" b="1" baseline="-25000">
                    <a:solidFill>
                      <a:sysClr val="windowText" lastClr="000000"/>
                    </a:solidFill>
                    <a:latin typeface="Aptos" panose="020B0004020202020204" pitchFamily="34" charset="0"/>
                  </a:rPr>
                  <a:t>2</a:t>
                </a:r>
                <a:endParaRPr lang="en-US" sz="1200" b="1">
                  <a:solidFill>
                    <a:sysClr val="windowText" lastClr="000000"/>
                  </a:solidFill>
                  <a:latin typeface="Aptos" panose="020B0004020202020204" pitchFamily="34" charset="0"/>
                </a:endParaRP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ptos" panose="020B0004020202020204" pitchFamily="34" charset="0"/>
                <a:ea typeface="+mn-ea"/>
                <a:cs typeface="+mn-cs"/>
              </a:defRPr>
            </a:pPr>
            <a:endParaRPr lang="en-US"/>
          </a:p>
        </c:txPr>
        <c:crossAx val="763958440"/>
        <c:crosses val="autoZero"/>
        <c:crossBetween val="between"/>
        <c:majorUnit val="0.5"/>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orientation="landscape"/>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i="0" u="none" strike="noStrike" baseline="0">
                <a:solidFill>
                  <a:srgbClr val="000000"/>
                </a:solidFill>
                <a:latin typeface="Aptos" panose="020B0004020202020204" pitchFamily="34" charset="0"/>
                <a:ea typeface="Calibri"/>
                <a:cs typeface="Calibri"/>
              </a:defRPr>
            </a:pPr>
            <a:r>
              <a:rPr lang="en-US" sz="1600" b="1" i="0" u="none" strike="noStrike" baseline="0">
                <a:solidFill>
                  <a:srgbClr val="000000"/>
                </a:solidFill>
                <a:latin typeface="Aptos" panose="020B0004020202020204" pitchFamily="34" charset="0"/>
              </a:rPr>
              <a:t>Overall Biogenic</a:t>
            </a:r>
          </a:p>
          <a:p>
            <a:pPr>
              <a:defRPr sz="1600" b="0" i="0" u="none" strike="noStrike" baseline="0">
                <a:solidFill>
                  <a:srgbClr val="000000"/>
                </a:solidFill>
                <a:latin typeface="Aptos" panose="020B0004020202020204" pitchFamily="34" charset="0"/>
                <a:ea typeface="Calibri"/>
                <a:cs typeface="Calibri"/>
              </a:defRPr>
            </a:pPr>
            <a:r>
              <a:rPr lang="en-US" sz="1600" b="1" i="0" u="none" strike="noStrike" baseline="0">
                <a:solidFill>
                  <a:srgbClr val="000000"/>
                </a:solidFill>
                <a:latin typeface="Aptos" panose="020B0004020202020204" pitchFamily="34" charset="0"/>
              </a:rPr>
              <a:t> GHGs</a:t>
            </a:r>
          </a:p>
        </c:rich>
      </c:tx>
      <c:layout>
        <c:manualLayout>
          <c:xMode val="edge"/>
          <c:yMode val="edge"/>
          <c:x val="0.70429231557322947"/>
          <c:y val="2.7777777777777776E-2"/>
        </c:manualLayout>
      </c:layout>
      <c:overlay val="1"/>
    </c:title>
    <c:autoTitleDeleted val="0"/>
    <c:plotArea>
      <c:layout>
        <c:manualLayout>
          <c:layoutTarget val="inner"/>
          <c:xMode val="edge"/>
          <c:yMode val="edge"/>
          <c:x val="0.12582391989733677"/>
          <c:y val="5.1400554097404488E-2"/>
          <c:w val="0.52913237957931314"/>
          <c:h val="0.89719889180519097"/>
        </c:manualLayout>
      </c:layout>
      <c:lineChart>
        <c:grouping val="standard"/>
        <c:varyColors val="0"/>
        <c:ser>
          <c:idx val="0"/>
          <c:order val="0"/>
          <c:tx>
            <c:strRef>
              <c:f>'Biogenic Summary'!$A$84</c:f>
              <c:strCache>
                <c:ptCount val="1"/>
                <c:pt idx="0">
                  <c:v>TOTAL Combustion and Oxidation</c:v>
                </c:pt>
              </c:strCache>
            </c:strRef>
          </c:tx>
          <c:cat>
            <c:strRef>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'Biogenic Summary'!$B$84:$AI$84</c:f>
              <c:numCache>
                <c:formatCode>#,##0.0</c:formatCode>
                <c:ptCount val="34"/>
                <c:pt idx="0">
                  <c:v>4.0331477550411696</c:v>
                </c:pt>
                <c:pt idx="1">
                  <c:v>4.2021484873274639</c:v>
                </c:pt>
                <c:pt idx="2">
                  <c:v>4.4167320275985462</c:v>
                </c:pt>
                <c:pt idx="3">
                  <c:v>4.6152929610985964</c:v>
                </c:pt>
                <c:pt idx="4">
                  <c:v>4.7227850329748833</c:v>
                </c:pt>
                <c:pt idx="5">
                  <c:v>4.7382463910055286</c:v>
                </c:pt>
                <c:pt idx="6">
                  <c:v>4.881824888958354</c:v>
                </c:pt>
                <c:pt idx="7">
                  <c:v>4.4032391002919633</c:v>
                </c:pt>
                <c:pt idx="8">
                  <c:v>3.9897496879988297</c:v>
                </c:pt>
                <c:pt idx="9">
                  <c:v>3.9890299085591603</c:v>
                </c:pt>
                <c:pt idx="10">
                  <c:v>4.0807742618547458</c:v>
                </c:pt>
                <c:pt idx="11">
                  <c:v>4.1860630114717239</c:v>
                </c:pt>
                <c:pt idx="12">
                  <c:v>4.2073251014790065</c:v>
                </c:pt>
                <c:pt idx="13">
                  <c:v>3.9045976480782438</c:v>
                </c:pt>
                <c:pt idx="14">
                  <c:v>3.9847368728264132</c:v>
                </c:pt>
                <c:pt idx="15">
                  <c:v>4.0000274597378143</c:v>
                </c:pt>
                <c:pt idx="16">
                  <c:v>4.3689805078969774</c:v>
                </c:pt>
                <c:pt idx="17">
                  <c:v>5.408726003438761</c:v>
                </c:pt>
                <c:pt idx="18">
                  <c:v>5.3718476348417683</c:v>
                </c:pt>
                <c:pt idx="19">
                  <c:v>5.9886325851951661</c:v>
                </c:pt>
                <c:pt idx="20">
                  <c:v>6.984090885358559</c:v>
                </c:pt>
                <c:pt idx="21">
                  <c:v>6.7883508460674538</c:v>
                </c:pt>
                <c:pt idx="22">
                  <c:v>6.4626441934110916</c:v>
                </c:pt>
                <c:pt idx="23">
                  <c:v>6.9644537397351511</c:v>
                </c:pt>
                <c:pt idx="24">
                  <c:v>6.8178284439328536</c:v>
                </c:pt>
                <c:pt idx="25">
                  <c:v>6.8562536849885962</c:v>
                </c:pt>
                <c:pt idx="26">
                  <c:v>6.4218858880034704</c:v>
                </c:pt>
                <c:pt idx="27">
                  <c:v>5.0707475108515849</c:v>
                </c:pt>
                <c:pt idx="28">
                  <c:v>5.171366686967275</c:v>
                </c:pt>
                <c:pt idx="29">
                  <c:v>5.2514817450472764</c:v>
                </c:pt>
                <c:pt idx="30">
                  <c:v>4.9453162230821288</c:v>
                </c:pt>
                <c:pt idx="31">
                  <c:v>4.9328166986501554</c:v>
                </c:pt>
                <c:pt idx="32">
                  <c:v>5.2162135876104676</c:v>
                </c:pt>
                <c:pt idx="33">
                  <c:v>5.1537539403255037</c:v>
                </c:pt>
              </c:numCache>
            </c:numRef>
          </c:val>
          <c:smooth val="0"/>
          <c:extLst>
            <c:ext xmlns:c16="http://schemas.microsoft.com/office/drawing/2014/chart" uri="{C3380CC4-5D6E-409C-BE32-E72D297353CC}">
              <c16:uniqueId val="{00000000-C540-42DE-A972-2F05A4FE9278}"/>
            </c:ext>
          </c:extLst>
        </c:ser>
        <c:ser>
          <c:idx val="1"/>
          <c:order val="1"/>
          <c:tx>
            <c:strRef>
              <c:f>'Natural and Working Lands'!$A$46</c:f>
              <c:strCache>
                <c:ptCount val="1"/>
                <c:pt idx="0">
                  <c:v>Total Net NWL Emissions</c:v>
                </c:pt>
              </c:strCache>
            </c:strRef>
          </c:tx>
          <c:marker>
            <c:symbol val="square"/>
            <c:size val="5"/>
          </c:marker>
          <c:cat>
            <c:strRef>
              <c:f>'Biogenic Summary'!$B$58:$AI$58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'Natural and Working Lands'!$B$46:$AI$46</c:f>
              <c:numCache>
                <c:formatCode>0.00</c:formatCode>
                <c:ptCount val="34"/>
                <c:pt idx="0">
                  <c:v>-5.3487877829931305</c:v>
                </c:pt>
                <c:pt idx="1">
                  <c:v>-5.328334370716961</c:v>
                </c:pt>
                <c:pt idx="2">
                  <c:v>-5.3684794206469535</c:v>
                </c:pt>
                <c:pt idx="3">
                  <c:v>-5.4869262812256645</c:v>
                </c:pt>
                <c:pt idx="4">
                  <c:v>-5.6076702215884824</c:v>
                </c:pt>
                <c:pt idx="5">
                  <c:v>-5.5951893911231476</c:v>
                </c:pt>
                <c:pt idx="6">
                  <c:v>-5.7330986170509561</c:v>
                </c:pt>
                <c:pt idx="7">
                  <c:v>-5.75577257436818</c:v>
                </c:pt>
                <c:pt idx="8">
                  <c:v>-5.914459939095452</c:v>
                </c:pt>
                <c:pt idx="9">
                  <c:v>-5.8985754590119379</c:v>
                </c:pt>
                <c:pt idx="10">
                  <c:v>-5.9293499000776775</c:v>
                </c:pt>
                <c:pt idx="11">
                  <c:v>-6.0493211385906447</c:v>
                </c:pt>
                <c:pt idx="12">
                  <c:v>-6.1226946036869023</c:v>
                </c:pt>
                <c:pt idx="13">
                  <c:v>-6.1881133600354907</c:v>
                </c:pt>
                <c:pt idx="14">
                  <c:v>-6.2933241442149468</c:v>
                </c:pt>
                <c:pt idx="15">
                  <c:v>-6.3624206687554405</c:v>
                </c:pt>
                <c:pt idx="16">
                  <c:v>-6.439494779550512</c:v>
                </c:pt>
                <c:pt idx="17">
                  <c:v>-6.4587287737370103</c:v>
                </c:pt>
                <c:pt idx="18">
                  <c:v>-6.6083329100549406</c:v>
                </c:pt>
                <c:pt idx="19">
                  <c:v>-6.6536386204230853</c:v>
                </c:pt>
                <c:pt idx="20">
                  <c:v>-6.725962480764248</c:v>
                </c:pt>
                <c:pt idx="21">
                  <c:v>-6.8161015211699647</c:v>
                </c:pt>
                <c:pt idx="22">
                  <c:v>-6.8388422036135852</c:v>
                </c:pt>
                <c:pt idx="23">
                  <c:v>-6.8354276125868578</c:v>
                </c:pt>
                <c:pt idx="24">
                  <c:v>-6.9505800796165076</c:v>
                </c:pt>
                <c:pt idx="25">
                  <c:v>-6.9767227242494245</c:v>
                </c:pt>
                <c:pt idx="26">
                  <c:v>-7.0038372677369365</c:v>
                </c:pt>
                <c:pt idx="27">
                  <c:v>-7.0756500775264337</c:v>
                </c:pt>
                <c:pt idx="28">
                  <c:v>-7.0555686056797233</c:v>
                </c:pt>
                <c:pt idx="29">
                  <c:v>-7.0953474125749576</c:v>
                </c:pt>
                <c:pt idx="30">
                  <c:v>-7.1022409412767535</c:v>
                </c:pt>
                <c:pt idx="31">
                  <c:v>-7.0557450885422552</c:v>
                </c:pt>
                <c:pt idx="32">
                  <c:v>-7.0355100500407168</c:v>
                </c:pt>
                <c:pt idx="33">
                  <c:v>-7.014866458760217</c:v>
                </c:pt>
              </c:numCache>
            </c:numRef>
          </c:val>
          <c:smooth val="0"/>
          <c:extLst>
            <c:ext xmlns:c16="http://schemas.microsoft.com/office/drawing/2014/chart" uri="{C3380CC4-5D6E-409C-BE32-E72D297353CC}">
              <c16:uniqueId val="{00000001-C540-42DE-A972-2F05A4FE9278}"/>
            </c:ext>
          </c:extLst>
        </c:ser>
        <c:dLbls>
          <c:showLegendKey val="0"/>
          <c:showVal val="0"/>
          <c:showCatName val="0"/>
          <c:showSerName val="0"/>
          <c:showPercent val="0"/>
          <c:showBubbleSize val="0"/>
        </c:dLbls>
        <c:marker val="1"/>
        <c:smooth val="0"/>
        <c:axId val="94585216"/>
        <c:axId val="94586752"/>
      </c:lineChart>
      <c:catAx>
        <c:axId val="94585216"/>
        <c:scaling>
          <c:orientation val="minMax"/>
        </c:scaling>
        <c:delete val="0"/>
        <c:axPos val="b"/>
        <c:numFmt formatCode="General" sourceLinked="1"/>
        <c:majorTickMark val="out"/>
        <c:minorTickMark val="none"/>
        <c:tickLblPos val="nextTo"/>
        <c:txPr>
          <a:bodyPr rot="-5400000" vert="horz"/>
          <a:lstStyle/>
          <a:p>
            <a:pPr>
              <a:defRPr sz="1200" b="1" i="0" u="none" strike="noStrike" baseline="0">
                <a:solidFill>
                  <a:srgbClr val="000000"/>
                </a:solidFill>
                <a:latin typeface="Aptos" panose="020B0004020202020204" pitchFamily="34" charset="0"/>
                <a:ea typeface="Calibri"/>
                <a:cs typeface="Calibri"/>
              </a:defRPr>
            </a:pPr>
            <a:endParaRPr lang="en-US"/>
          </a:p>
        </c:txPr>
        <c:crossAx val="94586752"/>
        <c:crosses val="autoZero"/>
        <c:auto val="1"/>
        <c:lblAlgn val="ctr"/>
        <c:lblOffset val="100"/>
        <c:noMultiLvlLbl val="0"/>
      </c:catAx>
      <c:valAx>
        <c:axId val="94586752"/>
        <c:scaling>
          <c:orientation val="minMax"/>
        </c:scaling>
        <c:delete val="0"/>
        <c:axPos val="l"/>
        <c:majorGridlines/>
        <c:title>
          <c:tx>
            <c:rich>
              <a:bodyPr/>
              <a:lstStyle/>
              <a:p>
                <a:pPr>
                  <a:defRPr sz="1200" b="1">
                    <a:latin typeface="Aptos" panose="020B0004020202020204" pitchFamily="34" charset="0"/>
                  </a:defRPr>
                </a:pPr>
                <a:r>
                  <a:rPr lang="en-US" sz="1200" b="1">
                    <a:latin typeface="Aptos" panose="020B0004020202020204" pitchFamily="34" charset="0"/>
                  </a:rPr>
                  <a:t>Million Metric Tons of CO</a:t>
                </a:r>
                <a:r>
                  <a:rPr lang="en-US" sz="1200" b="1" baseline="-25000">
                    <a:latin typeface="Aptos" panose="020B0004020202020204" pitchFamily="34" charset="0"/>
                  </a:rPr>
                  <a:t>2</a:t>
                </a:r>
                <a:endParaRPr lang="en-US" sz="1200" b="1">
                  <a:latin typeface="Aptos" panose="020B0004020202020204" pitchFamily="34" charset="0"/>
                </a:endParaRPr>
              </a:p>
            </c:rich>
          </c:tx>
          <c:overlay val="0"/>
        </c:title>
        <c:numFmt formatCode="#,##0.0" sourceLinked="1"/>
        <c:majorTickMark val="out"/>
        <c:minorTickMark val="none"/>
        <c:tickLblPos val="nextTo"/>
        <c:txPr>
          <a:bodyPr rot="0" vert="horz"/>
          <a:lstStyle/>
          <a:p>
            <a:pPr>
              <a:defRPr sz="1200" b="1" i="0" u="none" strike="noStrike" baseline="0">
                <a:solidFill>
                  <a:srgbClr val="000000"/>
                </a:solidFill>
                <a:latin typeface="Aptos" panose="020B0004020202020204" pitchFamily="34" charset="0"/>
                <a:ea typeface="Calibri"/>
                <a:cs typeface="Calibri"/>
              </a:defRPr>
            </a:pPr>
            <a:endParaRPr lang="en-US"/>
          </a:p>
        </c:txPr>
        <c:crossAx val="94585216"/>
        <c:crosses val="autoZero"/>
        <c:crossBetween val="midCat"/>
      </c:valAx>
    </c:plotArea>
    <c:legend>
      <c:legendPos val="r"/>
      <c:layout>
        <c:manualLayout>
          <c:xMode val="edge"/>
          <c:yMode val="edge"/>
          <c:x val="0.6898322216765157"/>
          <c:y val="0.23958916593759114"/>
          <c:w val="0.3090254925831683"/>
          <c:h val="0.67713514227987692"/>
        </c:manualLayout>
      </c:layout>
      <c:overlay val="0"/>
      <c:txPr>
        <a:bodyPr/>
        <a:lstStyle/>
        <a:p>
          <a:pPr>
            <a:defRPr sz="1200" b="0" i="0" u="none" strike="noStrike" baseline="0">
              <a:solidFill>
                <a:srgbClr val="000000"/>
              </a:solidFill>
              <a:latin typeface="Aptos" panose="020B0004020202020204" pitchFamily="34" charset="0"/>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ptos" panose="020B0004020202020204" pitchFamily="34" charset="0"/>
                <a:ea typeface="+mn-ea"/>
                <a:cs typeface="+mn-cs"/>
              </a:defRPr>
            </a:pPr>
            <a:r>
              <a:rPr lang="en-US" b="0">
                <a:solidFill>
                  <a:sysClr val="windowText" lastClr="000000"/>
                </a:solidFill>
                <a:latin typeface="Aptos" panose="020B0004020202020204" pitchFamily="34" charset="0"/>
              </a:rPr>
              <a:t>Massachusetts GHG Emissions from Fuel Combustion</a:t>
            </a:r>
          </a:p>
          <a:p>
            <a:pPr>
              <a:defRPr>
                <a:solidFill>
                  <a:sysClr val="windowText" lastClr="000000"/>
                </a:solidFill>
                <a:latin typeface="Aptos" panose="020B0004020202020204" pitchFamily="34" charset="0"/>
              </a:defRPr>
            </a:pPr>
            <a:r>
              <a:rPr lang="en-US" b="0">
                <a:solidFill>
                  <a:sysClr val="windowText" lastClr="000000"/>
                </a:solidFill>
                <a:latin typeface="Aptos" panose="020B0004020202020204" pitchFamily="34" charset="0"/>
              </a:rPr>
              <a:t> (by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0.12229581374270664"/>
          <c:y val="0.17935654324201211"/>
          <c:w val="0.60330890870020215"/>
          <c:h val="0.71552107457156089"/>
        </c:manualLayout>
      </c:layout>
      <c:lineChart>
        <c:grouping val="standard"/>
        <c:varyColors val="0"/>
        <c:ser>
          <c:idx val="3"/>
          <c:order val="0"/>
          <c:tx>
            <c:strRef>
              <c:f>Process!$A$21</c:f>
              <c:strCache>
                <c:ptCount val="1"/>
                <c:pt idx="0">
                  <c:v>Transportation CO2e from Fuel Combustion</c:v>
                </c:pt>
              </c:strCache>
            </c:strRef>
          </c:tx>
          <c:spPr>
            <a:ln w="28575" cap="rnd">
              <a:solidFill>
                <a:schemeClr val="accent4"/>
              </a:solidFill>
              <a:round/>
            </a:ln>
            <a:effectLst/>
          </c:spPr>
          <c:marker>
            <c:symbol val="square"/>
            <c:size val="6"/>
            <c:spPr>
              <a:solidFill>
                <a:schemeClr val="accent4">
                  <a:lumMod val="40000"/>
                  <a:lumOff val="60000"/>
                </a:schemeClr>
              </a:solidFill>
              <a:ln w="9525">
                <a:solidFill>
                  <a:schemeClr val="accent4">
                    <a:lumMod val="50000"/>
                  </a:schemeClr>
                </a:solidFill>
              </a:ln>
              <a:effectLst/>
            </c:spPr>
          </c:marker>
          <c:val>
            <c:numRef>
              <c:f>Process!$B$21:$AI$21</c:f>
              <c:numCache>
                <c:formatCode>#,##0.0</c:formatCode>
                <c:ptCount val="34"/>
                <c:pt idx="0">
                  <c:v>29.581745501205152</c:v>
                </c:pt>
                <c:pt idx="1">
                  <c:v>28.007934560130941</c:v>
                </c:pt>
                <c:pt idx="2">
                  <c:v>27.563240820066049</c:v>
                </c:pt>
                <c:pt idx="3">
                  <c:v>27.772344463031306</c:v>
                </c:pt>
                <c:pt idx="4">
                  <c:v>28.042522309337134</c:v>
                </c:pt>
                <c:pt idx="5">
                  <c:v>28.704754954067852</c:v>
                </c:pt>
                <c:pt idx="6">
                  <c:v>29.563067414078876</c:v>
                </c:pt>
                <c:pt idx="7">
                  <c:v>29.897537474524093</c:v>
                </c:pt>
                <c:pt idx="8">
                  <c:v>30.181050408053974</c:v>
                </c:pt>
                <c:pt idx="9">
                  <c:v>30.789867518520762</c:v>
                </c:pt>
                <c:pt idx="10">
                  <c:v>31.933223453237744</c:v>
                </c:pt>
                <c:pt idx="11">
                  <c:v>31.42992969847694</c:v>
                </c:pt>
                <c:pt idx="12">
                  <c:v>31.574075255538787</c:v>
                </c:pt>
                <c:pt idx="13">
                  <c:v>31.97471459221569</c:v>
                </c:pt>
                <c:pt idx="14">
                  <c:v>33.213685399354738</c:v>
                </c:pt>
                <c:pt idx="15">
                  <c:v>33.172330863894125</c:v>
                </c:pt>
                <c:pt idx="16">
                  <c:v>32.279926174657945</c:v>
                </c:pt>
                <c:pt idx="17">
                  <c:v>32.531308872264191</c:v>
                </c:pt>
                <c:pt idx="18">
                  <c:v>31.531388451441796</c:v>
                </c:pt>
                <c:pt idx="19">
                  <c:v>29.577725512467968</c:v>
                </c:pt>
                <c:pt idx="20">
                  <c:v>29.777150721285388</c:v>
                </c:pt>
                <c:pt idx="21">
                  <c:v>29.696806879044935</c:v>
                </c:pt>
                <c:pt idx="22">
                  <c:v>29.109024991059549</c:v>
                </c:pt>
                <c:pt idx="23">
                  <c:v>30.358885111491265</c:v>
                </c:pt>
                <c:pt idx="24">
                  <c:v>28.534881580560413</c:v>
                </c:pt>
                <c:pt idx="25">
                  <c:v>28.953989807069522</c:v>
                </c:pt>
                <c:pt idx="26">
                  <c:v>29.294609318853226</c:v>
                </c:pt>
                <c:pt idx="27">
                  <c:v>28.737551562426354</c:v>
                </c:pt>
                <c:pt idx="28">
                  <c:v>29.329106616129806</c:v>
                </c:pt>
                <c:pt idx="29">
                  <c:v>29.076974889794318</c:v>
                </c:pt>
                <c:pt idx="30">
                  <c:v>22.943498665902066</c:v>
                </c:pt>
                <c:pt idx="31">
                  <c:v>25.675300072198549</c:v>
                </c:pt>
                <c:pt idx="32">
                  <c:v>26.243543311499938</c:v>
                </c:pt>
                <c:pt idx="33">
                  <c:v>26.290528324068958</c:v>
                </c:pt>
              </c:numCache>
            </c:numRef>
          </c:val>
          <c:smooth val="0"/>
          <c:extLst>
            <c:ext xmlns:c16="http://schemas.microsoft.com/office/drawing/2014/chart" uri="{C3380CC4-5D6E-409C-BE32-E72D297353CC}">
              <c16:uniqueId val="{00000003-8EF3-4339-90A8-4257CB5DF42F}"/>
            </c:ext>
          </c:extLst>
        </c:ser>
        <c:ser>
          <c:idx val="0"/>
          <c:order val="1"/>
          <c:tx>
            <c:strRef>
              <c:f>Process!$A$9</c:f>
              <c:strCache>
                <c:ptCount val="1"/>
                <c:pt idx="0">
                  <c:v>Residential CO2e from Fuel Combustion</c:v>
                </c:pt>
              </c:strCache>
            </c:strRef>
          </c:tx>
          <c:spPr>
            <a:ln w="28575" cap="rnd">
              <a:solidFill>
                <a:schemeClr val="accent1"/>
              </a:solidFill>
              <a:round/>
            </a:ln>
            <a:effectLst/>
          </c:spPr>
          <c:marker>
            <c:symbol val="circle"/>
            <c:size val="5"/>
            <c:spPr>
              <a:solidFill>
                <a:schemeClr val="accent5">
                  <a:lumMod val="20000"/>
                  <a:lumOff val="80000"/>
                </a:schemeClr>
              </a:solidFill>
              <a:ln w="9525">
                <a:solidFill>
                  <a:schemeClr val="accent1"/>
                </a:solidFill>
              </a:ln>
              <a:effectLst/>
            </c:spPr>
          </c:marker>
          <c:cat>
            <c:strRef>
              <c:f>Process!$B$7:$AI$7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Process!$B$9:$AI$9</c:f>
              <c:numCache>
                <c:formatCode>#,##0.0</c:formatCode>
                <c:ptCount val="34"/>
                <c:pt idx="0">
                  <c:v>15.31365040534536</c:v>
                </c:pt>
                <c:pt idx="1">
                  <c:v>14.518561901071031</c:v>
                </c:pt>
                <c:pt idx="2">
                  <c:v>16.637356745667098</c:v>
                </c:pt>
                <c:pt idx="3">
                  <c:v>16.765001626446427</c:v>
                </c:pt>
                <c:pt idx="4">
                  <c:v>16.5798858667393</c:v>
                </c:pt>
                <c:pt idx="5">
                  <c:v>14.981382499081906</c:v>
                </c:pt>
                <c:pt idx="6">
                  <c:v>14.782858365913283</c:v>
                </c:pt>
                <c:pt idx="7">
                  <c:v>14.564592342096235</c:v>
                </c:pt>
                <c:pt idx="8">
                  <c:v>13.354760517636455</c:v>
                </c:pt>
                <c:pt idx="9">
                  <c:v>14.184525556803141</c:v>
                </c:pt>
                <c:pt idx="10">
                  <c:v>15.873185523164093</c:v>
                </c:pt>
                <c:pt idx="11">
                  <c:v>16.198710998491727</c:v>
                </c:pt>
                <c:pt idx="12">
                  <c:v>16.119354900942991</c:v>
                </c:pt>
                <c:pt idx="13">
                  <c:v>16.600836369533869</c:v>
                </c:pt>
                <c:pt idx="14">
                  <c:v>15.196403031679685</c:v>
                </c:pt>
                <c:pt idx="15">
                  <c:v>15.024695557999227</c:v>
                </c:pt>
                <c:pt idx="16">
                  <c:v>12.923179297666044</c:v>
                </c:pt>
                <c:pt idx="17">
                  <c:v>13.604230714044231</c:v>
                </c:pt>
                <c:pt idx="18">
                  <c:v>14.483158972300863</c:v>
                </c:pt>
                <c:pt idx="19">
                  <c:v>13.98678803586758</c:v>
                </c:pt>
                <c:pt idx="20">
                  <c:v>13.730480782578111</c:v>
                </c:pt>
                <c:pt idx="21">
                  <c:v>13.745840787844321</c:v>
                </c:pt>
                <c:pt idx="22">
                  <c:v>11.893764667017985</c:v>
                </c:pt>
                <c:pt idx="23">
                  <c:v>12.423602730416979</c:v>
                </c:pt>
                <c:pt idx="24">
                  <c:v>13.752359852039337</c:v>
                </c:pt>
                <c:pt idx="25">
                  <c:v>13.664149986754941</c:v>
                </c:pt>
                <c:pt idx="26">
                  <c:v>11.426913567612464</c:v>
                </c:pt>
                <c:pt idx="27">
                  <c:v>12.417746232981566</c:v>
                </c:pt>
                <c:pt idx="28">
                  <c:v>13.412382059760446</c:v>
                </c:pt>
                <c:pt idx="29">
                  <c:v>13.749066679828145</c:v>
                </c:pt>
                <c:pt idx="30">
                  <c:v>12.234288890840196</c:v>
                </c:pt>
                <c:pt idx="31">
                  <c:v>12.614889979771682</c:v>
                </c:pt>
                <c:pt idx="32">
                  <c:v>13.035171753664676</c:v>
                </c:pt>
                <c:pt idx="33">
                  <c:v>11.849074030388028</c:v>
                </c:pt>
              </c:numCache>
            </c:numRef>
          </c:val>
          <c:smooth val="0"/>
          <c:extLst>
            <c:ext xmlns:c16="http://schemas.microsoft.com/office/drawing/2014/chart" uri="{C3380CC4-5D6E-409C-BE32-E72D297353CC}">
              <c16:uniqueId val="{00000000-8EF3-4339-90A8-4257CB5DF42F}"/>
            </c:ext>
          </c:extLst>
        </c:ser>
        <c:ser>
          <c:idx val="4"/>
          <c:order val="2"/>
          <c:tx>
            <c:strRef>
              <c:f>Process!$A$24</c:f>
              <c:strCache>
                <c:ptCount val="1"/>
                <c:pt idx="0">
                  <c:v>Electricity Total CO2e from Fuel Combustion</c:v>
                </c:pt>
              </c:strCache>
            </c:strRef>
          </c:tx>
          <c:spPr>
            <a:ln w="28575" cap="rnd">
              <a:solidFill>
                <a:srgbClr val="FF99FF"/>
              </a:solidFill>
              <a:round/>
            </a:ln>
            <a:effectLst/>
          </c:spPr>
          <c:marker>
            <c:symbol val="triangle"/>
            <c:size val="6"/>
            <c:spPr>
              <a:solidFill>
                <a:srgbClr val="FFCCFF"/>
              </a:solidFill>
              <a:ln w="9525">
                <a:solidFill>
                  <a:srgbClr val="FF99FF"/>
                </a:solidFill>
              </a:ln>
              <a:effectLst/>
            </c:spPr>
          </c:marker>
          <c:val>
            <c:numRef>
              <c:f>Process!$B$24:$AI$24</c:f>
              <c:numCache>
                <c:formatCode>#,##0.0</c:formatCode>
                <c:ptCount val="34"/>
                <c:pt idx="0">
                  <c:v>28.162431330116149</c:v>
                </c:pt>
                <c:pt idx="1">
                  <c:v>28.264086112233116</c:v>
                </c:pt>
                <c:pt idx="2">
                  <c:v>27.083465220071602</c:v>
                </c:pt>
                <c:pt idx="3">
                  <c:v>25.451998051107321</c:v>
                </c:pt>
                <c:pt idx="4">
                  <c:v>25.542371654754771</c:v>
                </c:pt>
                <c:pt idx="5">
                  <c:v>24.730600597448042</c:v>
                </c:pt>
                <c:pt idx="6">
                  <c:v>24.51855665029958</c:v>
                </c:pt>
                <c:pt idx="7">
                  <c:v>28.637910886582169</c:v>
                </c:pt>
                <c:pt idx="8">
                  <c:v>29.274838523518994</c:v>
                </c:pt>
                <c:pt idx="9">
                  <c:v>27.873815963592197</c:v>
                </c:pt>
                <c:pt idx="10">
                  <c:v>27.07555759560249</c:v>
                </c:pt>
                <c:pt idx="11">
                  <c:v>26.559330901711363</c:v>
                </c:pt>
                <c:pt idx="12">
                  <c:v>28.147865813381259</c:v>
                </c:pt>
                <c:pt idx="13">
                  <c:v>29.637443235091379</c:v>
                </c:pt>
                <c:pt idx="14">
                  <c:v>28.52854665158296</c:v>
                </c:pt>
                <c:pt idx="15">
                  <c:v>29.976865531050549</c:v>
                </c:pt>
                <c:pt idx="16">
                  <c:v>26.19038965355578</c:v>
                </c:pt>
                <c:pt idx="17">
                  <c:v>27.844045975987939</c:v>
                </c:pt>
                <c:pt idx="18">
                  <c:v>25.13013800459893</c:v>
                </c:pt>
                <c:pt idx="19">
                  <c:v>22.503797660883695</c:v>
                </c:pt>
                <c:pt idx="20">
                  <c:v>23.211386378367123</c:v>
                </c:pt>
                <c:pt idx="21">
                  <c:v>18.281940644785681</c:v>
                </c:pt>
                <c:pt idx="22">
                  <c:v>15.861730730057928</c:v>
                </c:pt>
                <c:pt idx="23">
                  <c:v>16.4512569723315</c:v>
                </c:pt>
                <c:pt idx="24">
                  <c:v>14.88463344566345</c:v>
                </c:pt>
                <c:pt idx="25">
                  <c:v>15.686193768215984</c:v>
                </c:pt>
                <c:pt idx="26">
                  <c:v>14.734081239424333</c:v>
                </c:pt>
                <c:pt idx="27">
                  <c:v>13.614370068180438</c:v>
                </c:pt>
                <c:pt idx="28">
                  <c:v>12.134257842909928</c:v>
                </c:pt>
                <c:pt idx="29">
                  <c:v>10.722427778971639</c:v>
                </c:pt>
                <c:pt idx="30">
                  <c:v>12.806025714474893</c:v>
                </c:pt>
                <c:pt idx="31">
                  <c:v>12.487184309944796</c:v>
                </c:pt>
                <c:pt idx="32">
                  <c:v>12.230393622083517</c:v>
                </c:pt>
                <c:pt idx="33">
                  <c:v>11.260706072606789</c:v>
                </c:pt>
              </c:numCache>
            </c:numRef>
          </c:val>
          <c:smooth val="0"/>
          <c:extLst>
            <c:ext xmlns:c16="http://schemas.microsoft.com/office/drawing/2014/chart" uri="{C3380CC4-5D6E-409C-BE32-E72D297353CC}">
              <c16:uniqueId val="{00000004-8EF3-4339-90A8-4257CB5DF42F}"/>
            </c:ext>
          </c:extLst>
        </c:ser>
        <c:ser>
          <c:idx val="1"/>
          <c:order val="3"/>
          <c:tx>
            <c:strRef>
              <c:f>Process!$A$12</c:f>
              <c:strCache>
                <c:ptCount val="1"/>
                <c:pt idx="0">
                  <c:v>Commercial CO2e from Fuel Combustion</c:v>
                </c:pt>
              </c:strCache>
            </c:strRef>
          </c:tx>
          <c:spPr>
            <a:ln w="28575" cap="rnd">
              <a:solidFill>
                <a:schemeClr val="tx2">
                  <a:lumMod val="75000"/>
                </a:schemeClr>
              </a:solidFill>
              <a:round/>
            </a:ln>
            <a:effectLst/>
          </c:spPr>
          <c:marker>
            <c:symbol val="diamond"/>
            <c:size val="6"/>
            <c:spPr>
              <a:solidFill>
                <a:schemeClr val="accent1">
                  <a:lumMod val="20000"/>
                  <a:lumOff val="80000"/>
                  <a:alpha val="79000"/>
                </a:schemeClr>
              </a:solidFill>
              <a:ln w="9525">
                <a:solidFill>
                  <a:schemeClr val="tx2">
                    <a:lumMod val="75000"/>
                  </a:schemeClr>
                </a:solidFill>
              </a:ln>
              <a:effectLst/>
            </c:spPr>
          </c:marker>
          <c:val>
            <c:numRef>
              <c:f>Process!$B$12:$AI$12</c:f>
              <c:numCache>
                <c:formatCode>#,##0.0</c:formatCode>
                <c:ptCount val="34"/>
                <c:pt idx="0">
                  <c:v>8.4498373292805997</c:v>
                </c:pt>
                <c:pt idx="1">
                  <c:v>9.2327174055964747</c:v>
                </c:pt>
                <c:pt idx="2">
                  <c:v>8.9900720556205993</c:v>
                </c:pt>
                <c:pt idx="3">
                  <c:v>8.0482362214060164</c:v>
                </c:pt>
                <c:pt idx="4">
                  <c:v>8.921629042544625</c:v>
                </c:pt>
                <c:pt idx="5">
                  <c:v>9.0187998178736368</c:v>
                </c:pt>
                <c:pt idx="6">
                  <c:v>9.1210152080864475</c:v>
                </c:pt>
                <c:pt idx="7">
                  <c:v>9.5098828363490036</c:v>
                </c:pt>
                <c:pt idx="8">
                  <c:v>8.1251718135853483</c:v>
                </c:pt>
                <c:pt idx="9">
                  <c:v>6.2393751516955165</c:v>
                </c:pt>
                <c:pt idx="10">
                  <c:v>6.8430242216658304</c:v>
                </c:pt>
                <c:pt idx="11">
                  <c:v>5.8080883608675817</c:v>
                </c:pt>
                <c:pt idx="12">
                  <c:v>5.9304043098722525</c:v>
                </c:pt>
                <c:pt idx="13">
                  <c:v>7.1634713428097143</c:v>
                </c:pt>
                <c:pt idx="14">
                  <c:v>6.5866158927197862</c:v>
                </c:pt>
                <c:pt idx="15">
                  <c:v>6.7227133446511402</c:v>
                </c:pt>
                <c:pt idx="16">
                  <c:v>5.0430993802870772</c:v>
                </c:pt>
                <c:pt idx="17">
                  <c:v>5.3760374991415771</c:v>
                </c:pt>
                <c:pt idx="18">
                  <c:v>5.6229900450532995</c:v>
                </c:pt>
                <c:pt idx="19">
                  <c:v>5.8286978660278645</c:v>
                </c:pt>
                <c:pt idx="20">
                  <c:v>6.7611013025421904</c:v>
                </c:pt>
                <c:pt idx="21">
                  <c:v>6.3698006006574017</c:v>
                </c:pt>
                <c:pt idx="22">
                  <c:v>5.2680916237270869</c:v>
                </c:pt>
                <c:pt idx="23">
                  <c:v>6.7992810511147983</c:v>
                </c:pt>
                <c:pt idx="24">
                  <c:v>7.1844944219819409</c:v>
                </c:pt>
                <c:pt idx="25">
                  <c:v>7.5880162987844058</c:v>
                </c:pt>
                <c:pt idx="26">
                  <c:v>7.0017819335319551</c:v>
                </c:pt>
                <c:pt idx="27">
                  <c:v>7.3469777355165595</c:v>
                </c:pt>
                <c:pt idx="28">
                  <c:v>7.8869271219136996</c:v>
                </c:pt>
                <c:pt idx="29">
                  <c:v>8.0663642861157765</c:v>
                </c:pt>
                <c:pt idx="30">
                  <c:v>7.2632699026008742</c:v>
                </c:pt>
                <c:pt idx="31">
                  <c:v>7.3937392268636524</c:v>
                </c:pt>
                <c:pt idx="32">
                  <c:v>8.1387980758273972</c:v>
                </c:pt>
                <c:pt idx="33">
                  <c:v>7.5548664774684742</c:v>
                </c:pt>
              </c:numCache>
            </c:numRef>
          </c:val>
          <c:smooth val="0"/>
          <c:extLst>
            <c:ext xmlns:c16="http://schemas.microsoft.com/office/drawing/2014/chart" uri="{C3380CC4-5D6E-409C-BE32-E72D297353CC}">
              <c16:uniqueId val="{00000001-8EF3-4339-90A8-4257CB5DF42F}"/>
            </c:ext>
          </c:extLst>
        </c:ser>
        <c:ser>
          <c:idx val="2"/>
          <c:order val="4"/>
          <c:tx>
            <c:strRef>
              <c:f>Process!$A$16</c:f>
              <c:strCache>
                <c:ptCount val="1"/>
                <c:pt idx="0">
                  <c:v>Industrial CO2e from Fuel Combustion</c:v>
                </c:pt>
              </c:strCache>
            </c:strRef>
          </c:tx>
          <c:spPr>
            <a:ln w="28575" cap="rnd">
              <a:solidFill>
                <a:schemeClr val="accent3"/>
              </a:solidFill>
              <a:round/>
            </a:ln>
            <a:effectLst/>
          </c:spPr>
          <c:marker>
            <c:symbol val="square"/>
            <c:size val="5"/>
            <c:spPr>
              <a:solidFill>
                <a:schemeClr val="accent3">
                  <a:lumMod val="20000"/>
                  <a:lumOff val="80000"/>
                </a:schemeClr>
              </a:solidFill>
              <a:ln w="9525">
                <a:solidFill>
                  <a:schemeClr val="accent3"/>
                </a:solidFill>
              </a:ln>
              <a:effectLst/>
            </c:spPr>
          </c:marker>
          <c:val>
            <c:numRef>
              <c:f>Process!$B$16:$AI$16</c:f>
              <c:numCache>
                <c:formatCode>#,##0.0</c:formatCode>
                <c:ptCount val="34"/>
                <c:pt idx="0">
                  <c:v>5.6055444375748946</c:v>
                </c:pt>
                <c:pt idx="1">
                  <c:v>4.7203306522586423</c:v>
                </c:pt>
                <c:pt idx="2">
                  <c:v>6.4434881590501689</c:v>
                </c:pt>
                <c:pt idx="3">
                  <c:v>6.5995164430121873</c:v>
                </c:pt>
                <c:pt idx="4">
                  <c:v>5.7137275717032194</c:v>
                </c:pt>
                <c:pt idx="5">
                  <c:v>5.0295458063278202</c:v>
                </c:pt>
                <c:pt idx="6">
                  <c:v>5.0110348602786434</c:v>
                </c:pt>
                <c:pt idx="7">
                  <c:v>5.1112421995349511</c:v>
                </c:pt>
                <c:pt idx="8">
                  <c:v>4.808825190094586</c:v>
                </c:pt>
                <c:pt idx="9">
                  <c:v>5.5096311371002367</c:v>
                </c:pt>
                <c:pt idx="10">
                  <c:v>5.3806880710082661</c:v>
                </c:pt>
                <c:pt idx="11">
                  <c:v>6.5330841217154205</c:v>
                </c:pt>
                <c:pt idx="12">
                  <c:v>6.4337930645208612</c:v>
                </c:pt>
                <c:pt idx="13">
                  <c:v>4.3788872742004674</c:v>
                </c:pt>
                <c:pt idx="14">
                  <c:v>4.2709227144122419</c:v>
                </c:pt>
                <c:pt idx="15">
                  <c:v>4.527964290294995</c:v>
                </c:pt>
                <c:pt idx="16">
                  <c:v>4.3980409384451322</c:v>
                </c:pt>
                <c:pt idx="17">
                  <c:v>4.3097813270969629</c:v>
                </c:pt>
                <c:pt idx="18">
                  <c:v>3.9782211484534664</c:v>
                </c:pt>
                <c:pt idx="19">
                  <c:v>3.2713308683350615</c:v>
                </c:pt>
                <c:pt idx="20">
                  <c:v>3.7405476391501797</c:v>
                </c:pt>
                <c:pt idx="21">
                  <c:v>3.8974105246934214</c:v>
                </c:pt>
                <c:pt idx="22">
                  <c:v>3.3496069838342475</c:v>
                </c:pt>
                <c:pt idx="23">
                  <c:v>3.5368624475801331</c:v>
                </c:pt>
                <c:pt idx="24">
                  <c:v>3.4604103256118655</c:v>
                </c:pt>
                <c:pt idx="25">
                  <c:v>3.486507997416604</c:v>
                </c:pt>
                <c:pt idx="26">
                  <c:v>3.273910575910739</c:v>
                </c:pt>
                <c:pt idx="27">
                  <c:v>3.3076976742527324</c:v>
                </c:pt>
                <c:pt idx="28">
                  <c:v>3.3368151235079453</c:v>
                </c:pt>
                <c:pt idx="29">
                  <c:v>3.4149898421526799</c:v>
                </c:pt>
                <c:pt idx="30">
                  <c:v>3.1647813971898953</c:v>
                </c:pt>
                <c:pt idx="31">
                  <c:v>3.3201117725995055</c:v>
                </c:pt>
                <c:pt idx="32">
                  <c:v>3.3385758874359195</c:v>
                </c:pt>
                <c:pt idx="33">
                  <c:v>3.0528433286907695</c:v>
                </c:pt>
              </c:numCache>
            </c:numRef>
          </c:val>
          <c:smooth val="0"/>
          <c:extLst>
            <c:ext xmlns:c16="http://schemas.microsoft.com/office/drawing/2014/chart" uri="{C3380CC4-5D6E-409C-BE32-E72D297353CC}">
              <c16:uniqueId val="{00000002-8EF3-4339-90A8-4257CB5DF42F}"/>
            </c:ext>
          </c:extLst>
        </c:ser>
        <c:dLbls>
          <c:showLegendKey val="0"/>
          <c:showVal val="0"/>
          <c:showCatName val="0"/>
          <c:showSerName val="0"/>
          <c:showPercent val="0"/>
          <c:showBubbleSize val="0"/>
        </c:dLbls>
        <c:marker val="1"/>
        <c:smooth val="0"/>
        <c:axId val="1359920767"/>
        <c:axId val="1359923167"/>
      </c:lineChart>
      <c:catAx>
        <c:axId val="135992076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crossAx val="1359923167"/>
        <c:crosses val="autoZero"/>
        <c:auto val="1"/>
        <c:lblAlgn val="ctr"/>
        <c:lblOffset val="100"/>
        <c:tickLblSkip val="5"/>
        <c:tickMarkSkip val="1"/>
        <c:noMultiLvlLbl val="0"/>
      </c:catAx>
      <c:valAx>
        <c:axId val="13599231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baseline="0">
                    <a:solidFill>
                      <a:sysClr val="windowText" lastClr="000000">
                        <a:lumMod val="65000"/>
                        <a:lumOff val="35000"/>
                      </a:sysClr>
                    </a:solidFill>
                    <a:latin typeface="Aptos" panose="020B0004020202020204" pitchFamily="34" charset="0"/>
                    <a:ea typeface="+mn-ea"/>
                    <a:cs typeface="+mn-cs"/>
                  </a:defRPr>
                </a:pPr>
                <a:r>
                  <a:rPr lang="en-US" sz="1200">
                    <a:latin typeface="Aptos" panose="020B0004020202020204" pitchFamily="34" charset="0"/>
                  </a:rPr>
                  <a:t>Million Metric Tons of CO2 equivalent</a:t>
                </a:r>
              </a:p>
            </c:rich>
          </c:tx>
          <c:layout>
            <c:manualLayout>
              <c:xMode val="edge"/>
              <c:yMode val="edge"/>
              <c:x val="8.0210521831055297E-3"/>
              <c:y val="0.20389097962019453"/>
            </c:manualLayout>
          </c:layout>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baseline="0">
                  <a:solidFill>
                    <a:sysClr val="windowText" lastClr="000000">
                      <a:lumMod val="65000"/>
                      <a:lumOff val="35000"/>
                    </a:sysClr>
                  </a:solidFill>
                  <a:latin typeface="Aptos" panose="020B00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1359920767"/>
        <c:crosses val="autoZero"/>
        <c:crossBetween val="midCat"/>
      </c:valAx>
      <c:spPr>
        <a:noFill/>
        <a:ln>
          <a:noFill/>
        </a:ln>
        <a:effectLst/>
      </c:spPr>
    </c:plotArea>
    <c:legend>
      <c:legendPos val="r"/>
      <c:layout>
        <c:manualLayout>
          <c:xMode val="edge"/>
          <c:yMode val="edge"/>
          <c:x val="0.73876809712869096"/>
          <c:y val="9.9533348772579897E-2"/>
          <c:w val="0.24855026588167001"/>
          <c:h val="0.87512447892542844"/>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ptos" panose="020B0004020202020204" pitchFamily="34" charset="0"/>
                <a:ea typeface="+mn-ea"/>
                <a:cs typeface="+mn-cs"/>
              </a:defRPr>
            </a:pPr>
            <a:r>
              <a:rPr lang="en-US" b="0">
                <a:solidFill>
                  <a:schemeClr val="tx1"/>
                </a:solidFill>
                <a:latin typeface="Aptos" panose="020B0004020202020204" pitchFamily="34" charset="0"/>
              </a:rPr>
              <a:t>Massachusetts GHG Emissions from Fuel Combustion</a:t>
            </a:r>
          </a:p>
          <a:p>
            <a:pPr>
              <a:defRPr>
                <a:solidFill>
                  <a:schemeClr val="tx1"/>
                </a:solidFill>
                <a:latin typeface="Aptos" panose="020B0004020202020204" pitchFamily="34" charset="0"/>
              </a:defRPr>
            </a:pPr>
            <a:r>
              <a:rPr lang="en-US" b="0">
                <a:solidFill>
                  <a:schemeClr val="tx1"/>
                </a:solidFill>
                <a:latin typeface="Aptos" panose="020B0004020202020204" pitchFamily="34" charset="0"/>
              </a:rPr>
              <a:t> (by Consolidated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0.12434433371884852"/>
          <c:y val="0.17039049235993209"/>
          <c:w val="0.63274402319428369"/>
          <c:h val="0.73725545766881007"/>
        </c:manualLayout>
      </c:layout>
      <c:lineChart>
        <c:grouping val="standard"/>
        <c:varyColors val="0"/>
        <c:ser>
          <c:idx val="2"/>
          <c:order val="0"/>
          <c:tx>
            <c:strRef>
              <c:f>Summary!$A$52</c:f>
              <c:strCache>
                <c:ptCount val="1"/>
                <c:pt idx="0">
                  <c:v>Mobile Combustion</c:v>
                </c:pt>
              </c:strCache>
            </c:strRef>
          </c:tx>
          <c:spPr>
            <a:ln w="28575" cap="rnd">
              <a:solidFill>
                <a:schemeClr val="accent4">
                  <a:lumMod val="75000"/>
                </a:schemeClr>
              </a:solidFill>
              <a:round/>
            </a:ln>
            <a:effectLst/>
          </c:spPr>
          <c:marker>
            <c:symbol val="square"/>
            <c:size val="6"/>
            <c:spPr>
              <a:solidFill>
                <a:schemeClr val="accent4">
                  <a:lumMod val="20000"/>
                  <a:lumOff val="80000"/>
                </a:schemeClr>
              </a:solidFill>
              <a:ln w="9525">
                <a:solidFill>
                  <a:schemeClr val="accent4">
                    <a:lumMod val="75000"/>
                  </a:schemeClr>
                </a:solidFill>
              </a:ln>
              <a:effectLst/>
            </c:spPr>
          </c:marker>
          <c:cat>
            <c:strRef>
              <c:f>Summary!$B$48:$AI$48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Summary!$B$52:$AI$52</c:f>
              <c:numCache>
                <c:formatCode>0.0</c:formatCode>
                <c:ptCount val="34"/>
                <c:pt idx="0">
                  <c:v>29.581745501205152</c:v>
                </c:pt>
                <c:pt idx="1">
                  <c:v>28.007934560130941</c:v>
                </c:pt>
                <c:pt idx="2">
                  <c:v>27.563240820066049</c:v>
                </c:pt>
                <c:pt idx="3">
                  <c:v>27.772344463031306</c:v>
                </c:pt>
                <c:pt idx="4">
                  <c:v>28.042522309337134</c:v>
                </c:pt>
                <c:pt idx="5">
                  <c:v>28.704754954067852</c:v>
                </c:pt>
                <c:pt idx="6">
                  <c:v>29.563067414078876</c:v>
                </c:pt>
                <c:pt idx="7">
                  <c:v>29.897537474524093</c:v>
                </c:pt>
                <c:pt idx="8">
                  <c:v>30.181050408053974</c:v>
                </c:pt>
                <c:pt idx="9">
                  <c:v>30.789867518520762</c:v>
                </c:pt>
                <c:pt idx="10">
                  <c:v>31.933223453237744</c:v>
                </c:pt>
                <c:pt idx="11">
                  <c:v>31.42992969847694</c:v>
                </c:pt>
                <c:pt idx="12">
                  <c:v>31.574075255538787</c:v>
                </c:pt>
                <c:pt idx="13">
                  <c:v>31.97471459221569</c:v>
                </c:pt>
                <c:pt idx="14">
                  <c:v>33.213685399354738</c:v>
                </c:pt>
                <c:pt idx="15">
                  <c:v>33.172330863894125</c:v>
                </c:pt>
                <c:pt idx="16">
                  <c:v>32.279926174657945</c:v>
                </c:pt>
                <c:pt idx="17">
                  <c:v>32.531308872264191</c:v>
                </c:pt>
                <c:pt idx="18">
                  <c:v>31.531388451441796</c:v>
                </c:pt>
                <c:pt idx="19">
                  <c:v>29.577725512467968</c:v>
                </c:pt>
                <c:pt idx="20">
                  <c:v>29.777150721285388</c:v>
                </c:pt>
                <c:pt idx="21">
                  <c:v>29.696806879044935</c:v>
                </c:pt>
                <c:pt idx="22">
                  <c:v>29.109024991059549</c:v>
                </c:pt>
                <c:pt idx="23">
                  <c:v>30.358885111491265</c:v>
                </c:pt>
                <c:pt idx="24">
                  <c:v>28.534881580560413</c:v>
                </c:pt>
                <c:pt idx="25">
                  <c:v>28.953989807069522</c:v>
                </c:pt>
                <c:pt idx="26">
                  <c:v>29.294609318853226</c:v>
                </c:pt>
                <c:pt idx="27">
                  <c:v>28.737551562426354</c:v>
                </c:pt>
                <c:pt idx="28">
                  <c:v>29.329106616129806</c:v>
                </c:pt>
                <c:pt idx="29">
                  <c:v>29.076974889794318</c:v>
                </c:pt>
                <c:pt idx="30">
                  <c:v>22.943498665902066</c:v>
                </c:pt>
                <c:pt idx="31">
                  <c:v>25.675300072198549</c:v>
                </c:pt>
                <c:pt idx="32">
                  <c:v>26.243543311499938</c:v>
                </c:pt>
                <c:pt idx="33">
                  <c:v>26.290528324068958</c:v>
                </c:pt>
              </c:numCache>
            </c:numRef>
          </c:val>
          <c:smooth val="0"/>
          <c:extLst>
            <c:ext xmlns:c16="http://schemas.microsoft.com/office/drawing/2014/chart" uri="{C3380CC4-5D6E-409C-BE32-E72D297353CC}">
              <c16:uniqueId val="{00000002-D560-4EE2-8E64-D2D619D88E68}"/>
            </c:ext>
          </c:extLst>
        </c:ser>
        <c:ser>
          <c:idx val="0"/>
          <c:order val="1"/>
          <c:tx>
            <c:strRef>
              <c:f>Summary!$A$50</c:f>
              <c:strCache>
                <c:ptCount val="1"/>
                <c:pt idx="0">
                  <c:v>Building Consumption</c:v>
                </c:pt>
              </c:strCache>
            </c:strRef>
          </c:tx>
          <c:spPr>
            <a:ln w="28575" cap="rnd">
              <a:solidFill>
                <a:schemeClr val="accent1"/>
              </a:solidFill>
              <a:round/>
            </a:ln>
            <a:effectLst/>
          </c:spPr>
          <c:marker>
            <c:symbol val="diamond"/>
            <c:size val="6"/>
            <c:spPr>
              <a:solidFill>
                <a:schemeClr val="accent5">
                  <a:lumMod val="20000"/>
                  <a:lumOff val="80000"/>
                </a:schemeClr>
              </a:solidFill>
              <a:ln w="9525">
                <a:solidFill>
                  <a:schemeClr val="accent1"/>
                </a:solidFill>
              </a:ln>
              <a:effectLst/>
            </c:spPr>
          </c:marker>
          <c:cat>
            <c:strRef>
              <c:f>Summary!$B$48:$AI$48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Summary!$B$50:$AI$50</c:f>
              <c:numCache>
                <c:formatCode>0.0</c:formatCode>
                <c:ptCount val="34"/>
                <c:pt idx="0">
                  <c:v>29.369032172200857</c:v>
                </c:pt>
                <c:pt idx="1">
                  <c:v>28.471609958926148</c:v>
                </c:pt>
                <c:pt idx="2">
                  <c:v>32.070916960337868</c:v>
                </c:pt>
                <c:pt idx="3">
                  <c:v>31.41275429086463</c:v>
                </c:pt>
                <c:pt idx="4">
                  <c:v>31.215242480987147</c:v>
                </c:pt>
                <c:pt idx="5">
                  <c:v>29.029728123283366</c:v>
                </c:pt>
                <c:pt idx="6">
                  <c:v>28.914908434278374</c:v>
                </c:pt>
                <c:pt idx="7">
                  <c:v>29.18571737798019</c:v>
                </c:pt>
                <c:pt idx="8">
                  <c:v>26.288757521316391</c:v>
                </c:pt>
                <c:pt idx="9">
                  <c:v>25.933531845598893</c:v>
                </c:pt>
                <c:pt idx="10">
                  <c:v>28.09689781583819</c:v>
                </c:pt>
                <c:pt idx="11">
                  <c:v>28.539883481074732</c:v>
                </c:pt>
                <c:pt idx="12">
                  <c:v>28.483552275336102</c:v>
                </c:pt>
                <c:pt idx="13">
                  <c:v>28.143194986544053</c:v>
                </c:pt>
                <c:pt idx="14">
                  <c:v>26.053941638811715</c:v>
                </c:pt>
                <c:pt idx="15">
                  <c:v>26.275373192945363</c:v>
                </c:pt>
                <c:pt idx="16">
                  <c:v>22.364319616398252</c:v>
                </c:pt>
                <c:pt idx="17">
                  <c:v>23.290049540282773</c:v>
                </c:pt>
                <c:pt idx="18">
                  <c:v>24.084370165807631</c:v>
                </c:pt>
                <c:pt idx="19">
                  <c:v>23.086816770230506</c:v>
                </c:pt>
                <c:pt idx="20">
                  <c:v>24.232129724270479</c:v>
                </c:pt>
                <c:pt idx="21">
                  <c:v>24.013051913195142</c:v>
                </c:pt>
                <c:pt idx="22">
                  <c:v>20.51146327457932</c:v>
                </c:pt>
                <c:pt idx="23">
                  <c:v>22.759746229111911</c:v>
                </c:pt>
                <c:pt idx="24">
                  <c:v>24.397264599633143</c:v>
                </c:pt>
                <c:pt idx="25">
                  <c:v>24.738674282955948</c:v>
                </c:pt>
                <c:pt idx="26">
                  <c:v>21.702606077055158</c:v>
                </c:pt>
                <c:pt idx="27">
                  <c:v>23.072421642750857</c:v>
                </c:pt>
                <c:pt idx="28">
                  <c:v>24.640581073415028</c:v>
                </c:pt>
                <c:pt idx="29">
                  <c:v>25.239210739673982</c:v>
                </c:pt>
                <c:pt idx="30">
                  <c:v>22.677703060265735</c:v>
                </c:pt>
                <c:pt idx="31">
                  <c:v>23.355572713404261</c:v>
                </c:pt>
                <c:pt idx="32">
                  <c:v>24.53368395731049</c:v>
                </c:pt>
                <c:pt idx="33">
                  <c:v>22.473216971138029</c:v>
                </c:pt>
              </c:numCache>
            </c:numRef>
          </c:val>
          <c:smooth val="0"/>
          <c:extLst>
            <c:ext xmlns:c16="http://schemas.microsoft.com/office/drawing/2014/chart" uri="{C3380CC4-5D6E-409C-BE32-E72D297353CC}">
              <c16:uniqueId val="{00000000-D560-4EE2-8E64-D2D619D88E68}"/>
            </c:ext>
          </c:extLst>
        </c:ser>
        <c:ser>
          <c:idx val="1"/>
          <c:order val="2"/>
          <c:tx>
            <c:strRef>
              <c:f>Summary!$A$51</c:f>
              <c:strCache>
                <c:ptCount val="1"/>
                <c:pt idx="0">
                  <c:v>Electricity Consumption</c:v>
                </c:pt>
              </c:strCache>
            </c:strRef>
          </c:tx>
          <c:spPr>
            <a:ln w="28575" cap="rnd">
              <a:solidFill>
                <a:srgbClr val="FF99FF"/>
              </a:solidFill>
              <a:round/>
            </a:ln>
            <a:effectLst/>
          </c:spPr>
          <c:marker>
            <c:symbol val="triangle"/>
            <c:size val="6"/>
            <c:spPr>
              <a:solidFill>
                <a:srgbClr val="FFCCFF"/>
              </a:solidFill>
              <a:ln w="9525">
                <a:solidFill>
                  <a:srgbClr val="FF99FF"/>
                </a:solidFill>
              </a:ln>
              <a:effectLst/>
            </c:spPr>
          </c:marker>
          <c:cat>
            <c:strRef>
              <c:f>Summary!$B$48:$AI$48</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Summary!$B$51:$AI$51</c:f>
              <c:numCache>
                <c:formatCode>0.0</c:formatCode>
                <c:ptCount val="34"/>
                <c:pt idx="0">
                  <c:v>28.162431330116149</c:v>
                </c:pt>
                <c:pt idx="1">
                  <c:v>28.264086112233116</c:v>
                </c:pt>
                <c:pt idx="2">
                  <c:v>27.083465220071602</c:v>
                </c:pt>
                <c:pt idx="3">
                  <c:v>25.451998051107321</c:v>
                </c:pt>
                <c:pt idx="4">
                  <c:v>25.542371654754771</c:v>
                </c:pt>
                <c:pt idx="5">
                  <c:v>24.730600597448042</c:v>
                </c:pt>
                <c:pt idx="6">
                  <c:v>24.51855665029958</c:v>
                </c:pt>
                <c:pt idx="7">
                  <c:v>28.637910886582169</c:v>
                </c:pt>
                <c:pt idx="8">
                  <c:v>29.274838523518994</c:v>
                </c:pt>
                <c:pt idx="9">
                  <c:v>27.873815963592197</c:v>
                </c:pt>
                <c:pt idx="10">
                  <c:v>27.07555759560249</c:v>
                </c:pt>
                <c:pt idx="11">
                  <c:v>26.559330901711363</c:v>
                </c:pt>
                <c:pt idx="12">
                  <c:v>28.147865813381259</c:v>
                </c:pt>
                <c:pt idx="13">
                  <c:v>29.637443235091379</c:v>
                </c:pt>
                <c:pt idx="14">
                  <c:v>28.52854665158296</c:v>
                </c:pt>
                <c:pt idx="15">
                  <c:v>29.976865531050549</c:v>
                </c:pt>
                <c:pt idx="16">
                  <c:v>26.19038965355578</c:v>
                </c:pt>
                <c:pt idx="17">
                  <c:v>27.844045975987939</c:v>
                </c:pt>
                <c:pt idx="18">
                  <c:v>25.13013800459893</c:v>
                </c:pt>
                <c:pt idx="19">
                  <c:v>22.503797660883695</c:v>
                </c:pt>
                <c:pt idx="20">
                  <c:v>23.211386378367123</c:v>
                </c:pt>
                <c:pt idx="21">
                  <c:v>18.281940644785681</c:v>
                </c:pt>
                <c:pt idx="22">
                  <c:v>15.861730730057928</c:v>
                </c:pt>
                <c:pt idx="23">
                  <c:v>16.4512569723315</c:v>
                </c:pt>
                <c:pt idx="24">
                  <c:v>14.88463344566345</c:v>
                </c:pt>
                <c:pt idx="25">
                  <c:v>15.686193768215984</c:v>
                </c:pt>
                <c:pt idx="26">
                  <c:v>14.734081239424333</c:v>
                </c:pt>
                <c:pt idx="27">
                  <c:v>13.614370068180438</c:v>
                </c:pt>
                <c:pt idx="28">
                  <c:v>12.134257842909928</c:v>
                </c:pt>
                <c:pt idx="29">
                  <c:v>10.722427778971639</c:v>
                </c:pt>
                <c:pt idx="30">
                  <c:v>12.806025714474893</c:v>
                </c:pt>
                <c:pt idx="31">
                  <c:v>12.487184309944796</c:v>
                </c:pt>
                <c:pt idx="32">
                  <c:v>12.230393622083517</c:v>
                </c:pt>
                <c:pt idx="33">
                  <c:v>11.260706072606789</c:v>
                </c:pt>
              </c:numCache>
            </c:numRef>
          </c:val>
          <c:smooth val="0"/>
          <c:extLst>
            <c:ext xmlns:c16="http://schemas.microsoft.com/office/drawing/2014/chart" uri="{C3380CC4-5D6E-409C-BE32-E72D297353CC}">
              <c16:uniqueId val="{00000001-D560-4EE2-8E64-D2D619D88E68}"/>
            </c:ext>
          </c:extLst>
        </c:ser>
        <c:dLbls>
          <c:showLegendKey val="0"/>
          <c:showVal val="0"/>
          <c:showCatName val="0"/>
          <c:showSerName val="0"/>
          <c:showPercent val="0"/>
          <c:showBubbleSize val="0"/>
        </c:dLbls>
        <c:marker val="1"/>
        <c:smooth val="0"/>
        <c:axId val="101765487"/>
        <c:axId val="101782287"/>
      </c:lineChart>
      <c:catAx>
        <c:axId val="10176548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crossAx val="101782287"/>
        <c:crosses val="autoZero"/>
        <c:auto val="1"/>
        <c:lblAlgn val="ctr"/>
        <c:lblOffset val="100"/>
        <c:tickLblSkip val="5"/>
        <c:noMultiLvlLbl val="0"/>
      </c:catAx>
      <c:valAx>
        <c:axId val="10178228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baseline="0">
                    <a:solidFill>
                      <a:sysClr val="windowText" lastClr="000000">
                        <a:lumMod val="65000"/>
                        <a:lumOff val="35000"/>
                      </a:sysClr>
                    </a:solidFill>
                    <a:latin typeface="Aptos" panose="020B0004020202020204" pitchFamily="34" charset="0"/>
                    <a:ea typeface="+mn-ea"/>
                    <a:cs typeface="+mn-cs"/>
                  </a:defRPr>
                </a:pPr>
                <a:r>
                  <a:rPr lang="en-US" sz="1200">
                    <a:latin typeface="Aptos" panose="020B0004020202020204" pitchFamily="34" charset="0"/>
                  </a:rPr>
                  <a:t>Million Metric Tons of CO2 equivalent</a:t>
                </a:r>
              </a:p>
            </c:rich>
          </c:tx>
          <c:layout>
            <c:manualLayout>
              <c:xMode val="edge"/>
              <c:yMode val="edge"/>
              <c:x val="1.6674801010409242E-2"/>
              <c:y val="0.18142587138439756"/>
            </c:manualLayout>
          </c:layout>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baseline="0">
                  <a:solidFill>
                    <a:sysClr val="windowText" lastClr="000000">
                      <a:lumMod val="65000"/>
                      <a:lumOff val="35000"/>
                    </a:sysClr>
                  </a:solidFill>
                  <a:latin typeface="Aptos" panose="020B00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101765487"/>
        <c:crosses val="autoZero"/>
        <c:crossBetween val="midCat"/>
      </c:valAx>
      <c:spPr>
        <a:noFill/>
        <a:ln>
          <a:noFill/>
        </a:ln>
        <a:effectLst/>
      </c:spPr>
    </c:plotArea>
    <c:legend>
      <c:legendPos val="r"/>
      <c:layout>
        <c:manualLayout>
          <c:xMode val="edge"/>
          <c:yMode val="edge"/>
          <c:x val="0.77887577433102562"/>
          <c:y val="0.20916805246672407"/>
          <c:w val="0.20905781143554239"/>
          <c:h val="0.45034076173415505"/>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400" b="0" i="0" u="none" strike="noStrike" baseline="0">
                <a:solidFill>
                  <a:sysClr val="windowText" lastClr="000000"/>
                </a:solidFill>
                <a:latin typeface="Aptos" panose="020B0004020202020204" pitchFamily="34" charset="0"/>
              </a:rPr>
              <a:t>Massachusetts GHG Emissions from Fuel Combustion</a:t>
            </a:r>
          </a:p>
          <a:p>
            <a:pPr>
              <a:defRPr>
                <a:solidFill>
                  <a:sysClr val="windowText" lastClr="000000"/>
                </a:solidFill>
              </a:defRPr>
            </a:pPr>
            <a:r>
              <a:rPr lang="en-US" sz="1400" b="0" i="0" u="none" strike="noStrike" baseline="0">
                <a:solidFill>
                  <a:sysClr val="windowText" lastClr="000000"/>
                </a:solidFill>
                <a:latin typeface="Aptos" panose="020B0004020202020204" pitchFamily="34" charset="0"/>
              </a:rPr>
              <a:t> (by Alternate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780909445398388"/>
          <c:y val="0.14820049301561219"/>
          <c:w val="0.64409366726639616"/>
          <c:h val="0.75583149476898792"/>
        </c:manualLayout>
      </c:layout>
      <c:lineChart>
        <c:grouping val="standard"/>
        <c:varyColors val="0"/>
        <c:ser>
          <c:idx val="0"/>
          <c:order val="0"/>
          <c:tx>
            <c:strRef>
              <c:f>Summary!$A$68</c:f>
              <c:strCache>
                <c:ptCount val="1"/>
                <c:pt idx="0">
                  <c:v>Electric Power</c:v>
                </c:pt>
              </c:strCache>
            </c:strRef>
          </c:tx>
          <c:spPr>
            <a:ln w="28575" cap="rnd">
              <a:solidFill>
                <a:srgbClr val="FF99FF"/>
              </a:solidFill>
              <a:round/>
            </a:ln>
            <a:effectLst/>
          </c:spPr>
          <c:marker>
            <c:symbol val="triangle"/>
            <c:size val="6"/>
            <c:spPr>
              <a:solidFill>
                <a:srgbClr val="FFCCFF"/>
              </a:solidFill>
              <a:ln w="9525">
                <a:solidFill>
                  <a:srgbClr val="FF99FF"/>
                </a:solidFill>
              </a:ln>
              <a:effectLst/>
            </c:spPr>
          </c:marker>
          <c:cat>
            <c:strRef>
              <c:f>Summary!$B$67:$AI$67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Summary!$B$68:$AI$68</c:f>
              <c:numCache>
                <c:formatCode>0.0</c:formatCode>
                <c:ptCount val="34"/>
                <c:pt idx="0">
                  <c:v>28.162431330116149</c:v>
                </c:pt>
                <c:pt idx="1">
                  <c:v>28.264086112233116</c:v>
                </c:pt>
                <c:pt idx="2">
                  <c:v>27.083465220071602</c:v>
                </c:pt>
                <c:pt idx="3">
                  <c:v>25.451998051107321</c:v>
                </c:pt>
                <c:pt idx="4">
                  <c:v>25.542371654754771</c:v>
                </c:pt>
                <c:pt idx="5">
                  <c:v>24.730600597448042</c:v>
                </c:pt>
                <c:pt idx="6">
                  <c:v>24.51855665029958</c:v>
                </c:pt>
                <c:pt idx="7">
                  <c:v>28.637910886582169</c:v>
                </c:pt>
                <c:pt idx="8">
                  <c:v>29.274838523518994</c:v>
                </c:pt>
                <c:pt idx="9">
                  <c:v>27.873815963592197</c:v>
                </c:pt>
                <c:pt idx="10">
                  <c:v>27.07555759560249</c:v>
                </c:pt>
                <c:pt idx="11">
                  <c:v>26.559330901711363</c:v>
                </c:pt>
                <c:pt idx="12">
                  <c:v>28.147865813381259</c:v>
                </c:pt>
                <c:pt idx="13">
                  <c:v>29.637443235091379</c:v>
                </c:pt>
                <c:pt idx="14">
                  <c:v>28.52854665158296</c:v>
                </c:pt>
                <c:pt idx="15">
                  <c:v>29.976865531050549</c:v>
                </c:pt>
                <c:pt idx="16">
                  <c:v>26.19038965355578</c:v>
                </c:pt>
                <c:pt idx="17">
                  <c:v>27.844045975987939</c:v>
                </c:pt>
                <c:pt idx="18">
                  <c:v>25.13013800459893</c:v>
                </c:pt>
                <c:pt idx="19">
                  <c:v>22.503797660883695</c:v>
                </c:pt>
                <c:pt idx="20">
                  <c:v>23.211386378367123</c:v>
                </c:pt>
                <c:pt idx="21">
                  <c:v>18.281940644785681</c:v>
                </c:pt>
                <c:pt idx="22">
                  <c:v>15.861730730057928</c:v>
                </c:pt>
                <c:pt idx="23">
                  <c:v>16.4512569723315</c:v>
                </c:pt>
                <c:pt idx="24">
                  <c:v>14.88463344566345</c:v>
                </c:pt>
                <c:pt idx="25">
                  <c:v>15.686193768215984</c:v>
                </c:pt>
                <c:pt idx="26">
                  <c:v>14.734081239424333</c:v>
                </c:pt>
                <c:pt idx="27">
                  <c:v>13.614370068180438</c:v>
                </c:pt>
                <c:pt idx="28">
                  <c:v>12.134257842909928</c:v>
                </c:pt>
                <c:pt idx="29">
                  <c:v>10.722427778971639</c:v>
                </c:pt>
                <c:pt idx="30">
                  <c:v>12.806025714474893</c:v>
                </c:pt>
                <c:pt idx="31">
                  <c:v>12.487184309944796</c:v>
                </c:pt>
                <c:pt idx="32">
                  <c:v>12.230393622083517</c:v>
                </c:pt>
                <c:pt idx="33">
                  <c:v>11.260706072606789</c:v>
                </c:pt>
              </c:numCache>
            </c:numRef>
          </c:val>
          <c:smooth val="0"/>
          <c:extLst>
            <c:ext xmlns:c16="http://schemas.microsoft.com/office/drawing/2014/chart" uri="{C3380CC4-5D6E-409C-BE32-E72D297353CC}">
              <c16:uniqueId val="{00000000-BC2E-458C-ABB6-711842CCB6BF}"/>
            </c:ext>
          </c:extLst>
        </c:ser>
        <c:ser>
          <c:idx val="1"/>
          <c:order val="1"/>
          <c:tx>
            <c:strRef>
              <c:f>Summary!$A$69</c:f>
              <c:strCache>
                <c:ptCount val="1"/>
                <c:pt idx="0">
                  <c:v>Transportation</c:v>
                </c:pt>
              </c:strCache>
            </c:strRef>
          </c:tx>
          <c:spPr>
            <a:ln w="28575" cap="rnd">
              <a:solidFill>
                <a:schemeClr val="accent4">
                  <a:lumMod val="75000"/>
                </a:schemeClr>
              </a:solidFill>
              <a:round/>
            </a:ln>
            <a:effectLst/>
          </c:spPr>
          <c:marker>
            <c:symbol val="square"/>
            <c:size val="6"/>
            <c:spPr>
              <a:solidFill>
                <a:schemeClr val="accent4">
                  <a:lumMod val="20000"/>
                  <a:lumOff val="80000"/>
                </a:schemeClr>
              </a:solidFill>
              <a:ln w="9525">
                <a:solidFill>
                  <a:schemeClr val="accent4">
                    <a:lumMod val="75000"/>
                  </a:schemeClr>
                </a:solidFill>
              </a:ln>
              <a:effectLst/>
            </c:spPr>
          </c:marker>
          <c:cat>
            <c:strRef>
              <c:f>Summary!$B$67:$AI$67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Summary!$B$69:$AI$69</c:f>
              <c:numCache>
                <c:formatCode>0.0</c:formatCode>
                <c:ptCount val="34"/>
                <c:pt idx="0">
                  <c:v>29.581745501205152</c:v>
                </c:pt>
                <c:pt idx="1">
                  <c:v>28.007934560130941</c:v>
                </c:pt>
                <c:pt idx="2">
                  <c:v>27.563240820066049</c:v>
                </c:pt>
                <c:pt idx="3">
                  <c:v>27.772344463031306</c:v>
                </c:pt>
                <c:pt idx="4">
                  <c:v>28.042522309337134</c:v>
                </c:pt>
                <c:pt idx="5">
                  <c:v>28.704754954067852</c:v>
                </c:pt>
                <c:pt idx="6">
                  <c:v>29.563067414078876</c:v>
                </c:pt>
                <c:pt idx="7">
                  <c:v>29.897537474524093</c:v>
                </c:pt>
                <c:pt idx="8">
                  <c:v>30.181050408053974</c:v>
                </c:pt>
                <c:pt idx="9">
                  <c:v>30.789867518520762</c:v>
                </c:pt>
                <c:pt idx="10">
                  <c:v>31.933223453237744</c:v>
                </c:pt>
                <c:pt idx="11">
                  <c:v>31.42992969847694</c:v>
                </c:pt>
                <c:pt idx="12">
                  <c:v>31.574075255538787</c:v>
                </c:pt>
                <c:pt idx="13">
                  <c:v>31.97471459221569</c:v>
                </c:pt>
                <c:pt idx="14">
                  <c:v>33.213685399354738</c:v>
                </c:pt>
                <c:pt idx="15">
                  <c:v>33.172330863894125</c:v>
                </c:pt>
                <c:pt idx="16">
                  <c:v>32.279926174657945</c:v>
                </c:pt>
                <c:pt idx="17">
                  <c:v>32.531308872264191</c:v>
                </c:pt>
                <c:pt idx="18">
                  <c:v>31.531388451441796</c:v>
                </c:pt>
                <c:pt idx="19">
                  <c:v>29.577725512467968</c:v>
                </c:pt>
                <c:pt idx="20">
                  <c:v>29.777150721285388</c:v>
                </c:pt>
                <c:pt idx="21">
                  <c:v>29.696806879044935</c:v>
                </c:pt>
                <c:pt idx="22">
                  <c:v>29.109024991059549</c:v>
                </c:pt>
                <c:pt idx="23">
                  <c:v>30.358885111491265</c:v>
                </c:pt>
                <c:pt idx="24">
                  <c:v>28.534881580560413</c:v>
                </c:pt>
                <c:pt idx="25">
                  <c:v>28.953989807069522</c:v>
                </c:pt>
                <c:pt idx="26">
                  <c:v>29.294609318853226</c:v>
                </c:pt>
                <c:pt idx="27">
                  <c:v>28.737551562426354</c:v>
                </c:pt>
                <c:pt idx="28">
                  <c:v>29.329106616129806</c:v>
                </c:pt>
                <c:pt idx="29">
                  <c:v>29.076974889794318</c:v>
                </c:pt>
                <c:pt idx="30">
                  <c:v>22.943498665902066</c:v>
                </c:pt>
                <c:pt idx="31">
                  <c:v>25.675300072198549</c:v>
                </c:pt>
                <c:pt idx="32">
                  <c:v>26.243543311499938</c:v>
                </c:pt>
                <c:pt idx="33">
                  <c:v>26.290528324068958</c:v>
                </c:pt>
              </c:numCache>
            </c:numRef>
          </c:val>
          <c:smooth val="0"/>
          <c:extLst>
            <c:ext xmlns:c16="http://schemas.microsoft.com/office/drawing/2014/chart" uri="{C3380CC4-5D6E-409C-BE32-E72D297353CC}">
              <c16:uniqueId val="{00000001-BC2E-458C-ABB6-711842CCB6BF}"/>
            </c:ext>
          </c:extLst>
        </c:ser>
        <c:ser>
          <c:idx val="2"/>
          <c:order val="2"/>
          <c:tx>
            <c:strRef>
              <c:f>Summary!$A$70</c:f>
              <c:strCache>
                <c:ptCount val="1"/>
                <c:pt idx="0">
                  <c:v>Commercial &amp; Industrial Heating and Cooling</c:v>
                </c:pt>
              </c:strCache>
            </c:strRef>
          </c:tx>
          <c:spPr>
            <a:ln w="28575" cap="rnd">
              <a:solidFill>
                <a:schemeClr val="tx2">
                  <a:lumMod val="75000"/>
                </a:schemeClr>
              </a:solidFill>
              <a:round/>
            </a:ln>
            <a:effectLst/>
          </c:spPr>
          <c:marker>
            <c:symbol val="diamond"/>
            <c:size val="6"/>
            <c:spPr>
              <a:solidFill>
                <a:schemeClr val="accent1">
                  <a:lumMod val="20000"/>
                  <a:lumOff val="80000"/>
                </a:schemeClr>
              </a:solidFill>
              <a:ln w="9525">
                <a:solidFill>
                  <a:schemeClr val="tx2">
                    <a:lumMod val="75000"/>
                  </a:schemeClr>
                </a:solidFill>
              </a:ln>
              <a:effectLst/>
            </c:spPr>
          </c:marker>
          <c:cat>
            <c:strRef>
              <c:f>Summary!$B$67:$AI$67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Summary!$B$70:$AI$70</c:f>
              <c:numCache>
                <c:formatCode>0.0</c:formatCode>
                <c:ptCount val="34"/>
                <c:pt idx="0">
                  <c:v>14.055381766855493</c:v>
                </c:pt>
                <c:pt idx="1">
                  <c:v>13.953048057855117</c:v>
                </c:pt>
                <c:pt idx="2">
                  <c:v>15.433560214670768</c:v>
                </c:pt>
                <c:pt idx="3">
                  <c:v>14.647752664418203</c:v>
                </c:pt>
                <c:pt idx="4">
                  <c:v>14.635356614247844</c:v>
                </c:pt>
                <c:pt idx="5">
                  <c:v>14.048345624201456</c:v>
                </c:pt>
                <c:pt idx="6">
                  <c:v>14.132050068365091</c:v>
                </c:pt>
                <c:pt idx="7">
                  <c:v>14.621125035883955</c:v>
                </c:pt>
                <c:pt idx="8">
                  <c:v>12.933997003679934</c:v>
                </c:pt>
                <c:pt idx="9">
                  <c:v>11.749006288795753</c:v>
                </c:pt>
                <c:pt idx="10">
                  <c:v>12.223712292674097</c:v>
                </c:pt>
                <c:pt idx="11">
                  <c:v>12.341172482583001</c:v>
                </c:pt>
                <c:pt idx="12">
                  <c:v>12.364197374393115</c:v>
                </c:pt>
                <c:pt idx="13">
                  <c:v>11.542358617010182</c:v>
                </c:pt>
                <c:pt idx="14">
                  <c:v>10.857538607132028</c:v>
                </c:pt>
                <c:pt idx="15">
                  <c:v>11.250677634946136</c:v>
                </c:pt>
                <c:pt idx="16">
                  <c:v>9.4411403187322094</c:v>
                </c:pt>
                <c:pt idx="17">
                  <c:v>9.6858188262385401</c:v>
                </c:pt>
                <c:pt idx="18">
                  <c:v>9.6012111935067654</c:v>
                </c:pt>
                <c:pt idx="19">
                  <c:v>9.100028734362926</c:v>
                </c:pt>
                <c:pt idx="20">
                  <c:v>10.50164894169237</c:v>
                </c:pt>
                <c:pt idx="21">
                  <c:v>10.267211125350823</c:v>
                </c:pt>
                <c:pt idx="22">
                  <c:v>8.6176986075613335</c:v>
                </c:pt>
                <c:pt idx="23">
                  <c:v>10.336143498694931</c:v>
                </c:pt>
                <c:pt idx="24">
                  <c:v>10.644904747593806</c:v>
                </c:pt>
                <c:pt idx="25">
                  <c:v>11.074524296201009</c:v>
                </c:pt>
                <c:pt idx="26">
                  <c:v>10.275692509442694</c:v>
                </c:pt>
                <c:pt idx="27">
                  <c:v>10.654675409769292</c:v>
                </c:pt>
                <c:pt idx="28">
                  <c:v>11.22819901365458</c:v>
                </c:pt>
                <c:pt idx="29">
                  <c:v>11.490144059845839</c:v>
                </c:pt>
                <c:pt idx="30">
                  <c:v>10.443414169425543</c:v>
                </c:pt>
                <c:pt idx="31">
                  <c:v>10.740682733632577</c:v>
                </c:pt>
                <c:pt idx="32">
                  <c:v>11.498512203645815</c:v>
                </c:pt>
                <c:pt idx="33">
                  <c:v>10.62414294075</c:v>
                </c:pt>
              </c:numCache>
            </c:numRef>
          </c:val>
          <c:smooth val="0"/>
          <c:extLst>
            <c:ext xmlns:c16="http://schemas.microsoft.com/office/drawing/2014/chart" uri="{C3380CC4-5D6E-409C-BE32-E72D297353CC}">
              <c16:uniqueId val="{00000002-BC2E-458C-ABB6-711842CCB6BF}"/>
            </c:ext>
          </c:extLst>
        </c:ser>
        <c:ser>
          <c:idx val="3"/>
          <c:order val="3"/>
          <c:tx>
            <c:strRef>
              <c:f>Summary!$A$71</c:f>
              <c:strCache>
                <c:ptCount val="1"/>
                <c:pt idx="0">
                  <c:v>Residential Heating and Cooling</c:v>
                </c:pt>
              </c:strCache>
            </c:strRef>
          </c:tx>
          <c:spPr>
            <a:ln w="28575" cap="rnd">
              <a:solidFill>
                <a:schemeClr val="accent3">
                  <a:lumMod val="75000"/>
                </a:schemeClr>
              </a:solidFill>
              <a:round/>
            </a:ln>
            <a:effectLst/>
          </c:spPr>
          <c:marker>
            <c:symbol val="circle"/>
            <c:size val="6"/>
            <c:spPr>
              <a:solidFill>
                <a:schemeClr val="accent3">
                  <a:lumMod val="40000"/>
                  <a:lumOff val="60000"/>
                </a:schemeClr>
              </a:solidFill>
              <a:ln w="9525">
                <a:solidFill>
                  <a:srgbClr val="92D050"/>
                </a:solidFill>
              </a:ln>
              <a:effectLst/>
            </c:spPr>
          </c:marker>
          <c:cat>
            <c:strRef>
              <c:f>Summary!$B$67:$AI$67</c:f>
              <c:strCach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strCache>
            </c:strRef>
          </c:cat>
          <c:val>
            <c:numRef>
              <c:f>Summary!$B$71:$AI$71</c:f>
              <c:numCache>
                <c:formatCode>0.0</c:formatCode>
                <c:ptCount val="34"/>
                <c:pt idx="0">
                  <c:v>15.31365040534536</c:v>
                </c:pt>
                <c:pt idx="1">
                  <c:v>14.518561901071031</c:v>
                </c:pt>
                <c:pt idx="2">
                  <c:v>16.637356745667098</c:v>
                </c:pt>
                <c:pt idx="3">
                  <c:v>16.765001626446427</c:v>
                </c:pt>
                <c:pt idx="4">
                  <c:v>16.5798858667393</c:v>
                </c:pt>
                <c:pt idx="5">
                  <c:v>14.981382499081906</c:v>
                </c:pt>
                <c:pt idx="6">
                  <c:v>14.782858365913283</c:v>
                </c:pt>
                <c:pt idx="7">
                  <c:v>14.564592342096235</c:v>
                </c:pt>
                <c:pt idx="8">
                  <c:v>13.354760517636455</c:v>
                </c:pt>
                <c:pt idx="9">
                  <c:v>14.184525556803141</c:v>
                </c:pt>
                <c:pt idx="10">
                  <c:v>15.873185523164093</c:v>
                </c:pt>
                <c:pt idx="11">
                  <c:v>16.198710998491727</c:v>
                </c:pt>
                <c:pt idx="12">
                  <c:v>16.119354900942991</c:v>
                </c:pt>
                <c:pt idx="13">
                  <c:v>16.600836369533869</c:v>
                </c:pt>
                <c:pt idx="14">
                  <c:v>15.196403031679685</c:v>
                </c:pt>
                <c:pt idx="15">
                  <c:v>15.024695557999227</c:v>
                </c:pt>
                <c:pt idx="16">
                  <c:v>12.923179297666044</c:v>
                </c:pt>
                <c:pt idx="17">
                  <c:v>13.604230714044231</c:v>
                </c:pt>
                <c:pt idx="18">
                  <c:v>14.483158972300863</c:v>
                </c:pt>
                <c:pt idx="19">
                  <c:v>13.98678803586758</c:v>
                </c:pt>
                <c:pt idx="20">
                  <c:v>13.730480782578111</c:v>
                </c:pt>
                <c:pt idx="21">
                  <c:v>13.745840787844321</c:v>
                </c:pt>
                <c:pt idx="22">
                  <c:v>11.893764667017985</c:v>
                </c:pt>
                <c:pt idx="23">
                  <c:v>12.423602730416979</c:v>
                </c:pt>
                <c:pt idx="24">
                  <c:v>13.752359852039337</c:v>
                </c:pt>
                <c:pt idx="25">
                  <c:v>13.664149986754941</c:v>
                </c:pt>
                <c:pt idx="26">
                  <c:v>11.426913567612464</c:v>
                </c:pt>
                <c:pt idx="27">
                  <c:v>12.417746232981566</c:v>
                </c:pt>
                <c:pt idx="28">
                  <c:v>13.412382059760446</c:v>
                </c:pt>
                <c:pt idx="29">
                  <c:v>13.749066679828145</c:v>
                </c:pt>
                <c:pt idx="30">
                  <c:v>12.234288890840196</c:v>
                </c:pt>
                <c:pt idx="31">
                  <c:v>12.614889979771682</c:v>
                </c:pt>
                <c:pt idx="32">
                  <c:v>13.035171753664676</c:v>
                </c:pt>
                <c:pt idx="33">
                  <c:v>11.849074030388028</c:v>
                </c:pt>
              </c:numCache>
            </c:numRef>
          </c:val>
          <c:smooth val="0"/>
          <c:extLst>
            <c:ext xmlns:c16="http://schemas.microsoft.com/office/drawing/2014/chart" uri="{C3380CC4-5D6E-409C-BE32-E72D297353CC}">
              <c16:uniqueId val="{00000003-BC2E-458C-ABB6-711842CCB6BF}"/>
            </c:ext>
          </c:extLst>
        </c:ser>
        <c:dLbls>
          <c:showLegendKey val="0"/>
          <c:showVal val="0"/>
          <c:showCatName val="0"/>
          <c:showSerName val="0"/>
          <c:showPercent val="0"/>
          <c:showBubbleSize val="0"/>
        </c:dLbls>
        <c:marker val="1"/>
        <c:smooth val="0"/>
        <c:axId val="287996863"/>
        <c:axId val="288006943"/>
      </c:lineChart>
      <c:catAx>
        <c:axId val="28799686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crossAx val="288006943"/>
        <c:crosses val="autoZero"/>
        <c:auto val="1"/>
        <c:lblAlgn val="ctr"/>
        <c:lblOffset val="100"/>
        <c:tickLblSkip val="5"/>
        <c:noMultiLvlLbl val="0"/>
      </c:catAx>
      <c:valAx>
        <c:axId val="28800694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r>
                  <a:rPr lang="en-US" sz="1200" b="0" i="0" u="none" strike="noStrike" kern="1200" baseline="0">
                    <a:solidFill>
                      <a:sysClr val="windowText" lastClr="000000"/>
                    </a:solidFill>
                    <a:latin typeface="Aptos" panose="020B0004020202020204" pitchFamily="34" charset="0"/>
                  </a:rPr>
                  <a:t>Million Metric Tons of CO2 equivalent</a:t>
                </a:r>
              </a:p>
            </c:rich>
          </c:tx>
          <c:layout>
            <c:manualLayout>
              <c:xMode val="edge"/>
              <c:yMode val="edge"/>
              <c:x val="2.2923578948808639E-2"/>
              <c:y val="0.2198383788714989"/>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ptos" panose="020B0004020202020204" pitchFamily="34" charset="0"/>
                <a:ea typeface="+mn-ea"/>
                <a:cs typeface="+mn-cs"/>
              </a:defRPr>
            </a:pPr>
            <a:endParaRPr lang="en-US"/>
          </a:p>
        </c:txPr>
        <c:crossAx val="287996863"/>
        <c:crosses val="autoZero"/>
        <c:crossBetween val="midCat"/>
      </c:valAx>
      <c:spPr>
        <a:noFill/>
        <a:ln>
          <a:noFill/>
        </a:ln>
        <a:effectLst/>
      </c:spPr>
    </c:plotArea>
    <c:legend>
      <c:legendPos val="r"/>
      <c:layout>
        <c:manualLayout>
          <c:xMode val="edge"/>
          <c:yMode val="edge"/>
          <c:x val="0.78405590482770893"/>
          <c:y val="0.25774778563525902"/>
          <c:w val="0.20551837840426335"/>
          <c:h val="0.586690131276729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chart" Target="../charts/chart54.xml"/><Relationship Id="rId4" Type="http://schemas.openxmlformats.org/officeDocument/2006/relationships/chart" Target="../charts/chart57.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59.xml"/><Relationship Id="rId1" Type="http://schemas.openxmlformats.org/officeDocument/2006/relationships/chart" Target="../charts/chart58.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62.xml"/><Relationship Id="rId2" Type="http://schemas.openxmlformats.org/officeDocument/2006/relationships/chart" Target="../charts/chart61.xml"/><Relationship Id="rId1" Type="http://schemas.openxmlformats.org/officeDocument/2006/relationships/chart" Target="../charts/chart60.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65.xml"/><Relationship Id="rId2" Type="http://schemas.openxmlformats.org/officeDocument/2006/relationships/chart" Target="../charts/chart64.xml"/><Relationship Id="rId1" Type="http://schemas.openxmlformats.org/officeDocument/2006/relationships/chart" Target="../charts/chart63.xml"/><Relationship Id="rId4" Type="http://schemas.openxmlformats.org/officeDocument/2006/relationships/chart" Target="../charts/chart66.xml"/></Relationships>
</file>

<file path=xl/drawings/_rels/drawing3.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11" Type="http://schemas.openxmlformats.org/officeDocument/2006/relationships/chart" Target="../charts/chart12.xml"/><Relationship Id="rId5" Type="http://schemas.openxmlformats.org/officeDocument/2006/relationships/chart" Target="../charts/chart6.xml"/><Relationship Id="rId10" Type="http://schemas.openxmlformats.org/officeDocument/2006/relationships/chart" Target="../charts/chart11.xml"/><Relationship Id="rId4" Type="http://schemas.openxmlformats.org/officeDocument/2006/relationships/chart" Target="../charts/chart5.xml"/><Relationship Id="rId9" Type="http://schemas.openxmlformats.org/officeDocument/2006/relationships/chart" Target="../charts/chart10.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s>
</file>

<file path=xl/drawings/_rels/drawing6.xml.rels><?xml version="1.0" encoding="UTF-8" standalone="yes"?>
<Relationships xmlns="http://schemas.openxmlformats.org/package/2006/relationships"><Relationship Id="rId8" Type="http://schemas.openxmlformats.org/officeDocument/2006/relationships/chart" Target="../charts/chart29.xml"/><Relationship Id="rId13" Type="http://schemas.openxmlformats.org/officeDocument/2006/relationships/chart" Target="../charts/chart34.xml"/><Relationship Id="rId3" Type="http://schemas.openxmlformats.org/officeDocument/2006/relationships/chart" Target="../charts/chart24.xml"/><Relationship Id="rId7" Type="http://schemas.openxmlformats.org/officeDocument/2006/relationships/chart" Target="../charts/chart28.xml"/><Relationship Id="rId12" Type="http://schemas.openxmlformats.org/officeDocument/2006/relationships/chart" Target="../charts/chart33.xml"/><Relationship Id="rId17" Type="http://schemas.openxmlformats.org/officeDocument/2006/relationships/image" Target="../media/image1.png"/><Relationship Id="rId2" Type="http://schemas.openxmlformats.org/officeDocument/2006/relationships/chart" Target="../charts/chart23.xml"/><Relationship Id="rId16" Type="http://schemas.openxmlformats.org/officeDocument/2006/relationships/chart" Target="../charts/chart37.xml"/><Relationship Id="rId1" Type="http://schemas.openxmlformats.org/officeDocument/2006/relationships/chart" Target="../charts/chart22.xml"/><Relationship Id="rId6" Type="http://schemas.openxmlformats.org/officeDocument/2006/relationships/chart" Target="../charts/chart27.xml"/><Relationship Id="rId11" Type="http://schemas.openxmlformats.org/officeDocument/2006/relationships/chart" Target="../charts/chart32.xml"/><Relationship Id="rId5" Type="http://schemas.openxmlformats.org/officeDocument/2006/relationships/chart" Target="../charts/chart26.xml"/><Relationship Id="rId15" Type="http://schemas.openxmlformats.org/officeDocument/2006/relationships/chart" Target="../charts/chart36.xml"/><Relationship Id="rId10" Type="http://schemas.openxmlformats.org/officeDocument/2006/relationships/chart" Target="../charts/chart31.xml"/><Relationship Id="rId4" Type="http://schemas.openxmlformats.org/officeDocument/2006/relationships/chart" Target="../charts/chart25.xml"/><Relationship Id="rId9" Type="http://schemas.openxmlformats.org/officeDocument/2006/relationships/chart" Target="../charts/chart30.xml"/><Relationship Id="rId14" Type="http://schemas.openxmlformats.org/officeDocument/2006/relationships/chart" Target="../charts/chart3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chart" Target="../charts/chart38.xml"/><Relationship Id="rId6" Type="http://schemas.openxmlformats.org/officeDocument/2006/relationships/chart" Target="../charts/chart43.xml"/><Relationship Id="rId5" Type="http://schemas.openxmlformats.org/officeDocument/2006/relationships/chart" Target="../charts/chart42.xml"/><Relationship Id="rId4" Type="http://schemas.openxmlformats.org/officeDocument/2006/relationships/chart" Target="../charts/chart41.xml"/></Relationships>
</file>

<file path=xl/drawings/_rels/drawing8.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chart" Target="../charts/chart45.xml"/><Relationship Id="rId1" Type="http://schemas.openxmlformats.org/officeDocument/2006/relationships/chart" Target="../charts/chart44.xml"/><Relationship Id="rId6" Type="http://schemas.openxmlformats.org/officeDocument/2006/relationships/chart" Target="../charts/chart49.xml"/><Relationship Id="rId5" Type="http://schemas.openxmlformats.org/officeDocument/2006/relationships/chart" Target="../charts/chart48.xml"/><Relationship Id="rId4" Type="http://schemas.openxmlformats.org/officeDocument/2006/relationships/chart" Target="../charts/chart4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53.xml"/><Relationship Id="rId1"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absoluteAnchor>
    <xdr:pos x="47625" y="914400"/>
    <xdr:ext cx="12981214" cy="9416143"/>
    <xdr:graphicFrame macro="">
      <xdr:nvGraphicFramePr>
        <xdr:cNvPr id="2" name="MAGHGEmissionsWithLimits" descr="Total MA GHG emissions in MMTCO2e from 1990 through 2023, showing the 2020, 2025 and 2030 emissions limits.">
          <a:extLst>
            <a:ext uri="{FF2B5EF4-FFF2-40B4-BE49-F238E27FC236}">
              <a16:creationId xmlns:a16="http://schemas.microsoft.com/office/drawing/2014/main" id="{22C7BD6E-9C67-4375-B52A-F54F8745063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twoCellAnchor>
    <xdr:from>
      <xdr:col>1</xdr:col>
      <xdr:colOff>0</xdr:colOff>
      <xdr:row>5</xdr:row>
      <xdr:rowOff>0</xdr:rowOff>
    </xdr:from>
    <xdr:to>
      <xdr:col>10</xdr:col>
      <xdr:colOff>41413</xdr:colOff>
      <xdr:row>26</xdr:row>
      <xdr:rowOff>120652</xdr:rowOff>
    </xdr:to>
    <xdr:graphicFrame macro="">
      <xdr:nvGraphicFramePr>
        <xdr:cNvPr id="3" name="NGDist&amp;PostMeterMTCH4bar" descr="Bar graph of MA natural gas distribution system and post-meter leak emissions in metric tons of CH4 for 1990-2023 showing post-meter, customer meter, mishaps, routine maintenance, meter and regulator stations, services and pipelines..">
          <a:extLst>
            <a:ext uri="{FF2B5EF4-FFF2-40B4-BE49-F238E27FC236}">
              <a16:creationId xmlns:a16="http://schemas.microsoft.com/office/drawing/2014/main" id="{C8EEA0B2-77B1-42E4-AF61-002DF7EB62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94837</xdr:colOff>
      <xdr:row>4</xdr:row>
      <xdr:rowOff>196850</xdr:rowOff>
    </xdr:from>
    <xdr:to>
      <xdr:col>18</xdr:col>
      <xdr:colOff>1026631</xdr:colOff>
      <xdr:row>26</xdr:row>
      <xdr:rowOff>141082</xdr:rowOff>
    </xdr:to>
    <xdr:graphicFrame macro="">
      <xdr:nvGraphicFramePr>
        <xdr:cNvPr id="5" name="NGDistPostMeterMTCH4line" descr="MA natural gas distribution system and post-meter leak emissions in metric tons of CH4 for 1990-2023 showing post-meter, customer meter, mishaps, routine maintenance, meter and regulator stations, services and pipelines..">
          <a:extLst>
            <a:ext uri="{FF2B5EF4-FFF2-40B4-BE49-F238E27FC236}">
              <a16:creationId xmlns:a16="http://schemas.microsoft.com/office/drawing/2014/main" id="{E725AA3F-8484-4621-A78A-A8A836EF47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7178</xdr:colOff>
      <xdr:row>27</xdr:row>
      <xdr:rowOff>44588</xdr:rowOff>
    </xdr:from>
    <xdr:to>
      <xdr:col>10</xdr:col>
      <xdr:colOff>31059</xdr:colOff>
      <xdr:row>49</xdr:row>
      <xdr:rowOff>20706</xdr:rowOff>
    </xdr:to>
    <xdr:graphicFrame macro="">
      <xdr:nvGraphicFramePr>
        <xdr:cNvPr id="6" name="NGDistMilesofPipeline" descr="Miles of Distribution System pipeline in MA for 1990-2023 showing total, plastic, cathodically protected and coated steel, cast or wrought iron, cathodically unprotected and uncoated steel, cathodically unprotected and coated steel, ductile iron, copper, and cathodically protected and uncoated steel.">
          <a:extLst>
            <a:ext uri="{FF2B5EF4-FFF2-40B4-BE49-F238E27FC236}">
              <a16:creationId xmlns:a16="http://schemas.microsoft.com/office/drawing/2014/main" id="{81DDF7A4-5EE3-4A88-B690-5677BEEE37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124239</xdr:colOff>
      <xdr:row>27</xdr:row>
      <xdr:rowOff>45416</xdr:rowOff>
    </xdr:from>
    <xdr:to>
      <xdr:col>18</xdr:col>
      <xdr:colOff>1028701</xdr:colOff>
      <xdr:row>49</xdr:row>
      <xdr:rowOff>65294</xdr:rowOff>
    </xdr:to>
    <xdr:graphicFrame macro="">
      <xdr:nvGraphicFramePr>
        <xdr:cNvPr id="2" name="NGDistNumberofServices" descr="Number of Distribution System Services in MA for 1990-2023 showing total, plastic, cathodically protected and coated steel, cathodically unprotected and uncoated steel, other, cathodically unprotected and coated steel, copper, cast or wrought iron, and  ductile iron.">
          <a:extLst>
            <a:ext uri="{FF2B5EF4-FFF2-40B4-BE49-F238E27FC236}">
              <a16:creationId xmlns:a16="http://schemas.microsoft.com/office/drawing/2014/main" id="{259D6701-95A4-44A1-A948-50C96D79E0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563768</xdr:colOff>
      <xdr:row>28</xdr:row>
      <xdr:rowOff>0</xdr:rowOff>
    </xdr:to>
    <xdr:graphicFrame macro="">
      <xdr:nvGraphicFramePr>
        <xdr:cNvPr id="4" name="NGTransmissionStorageMTCH4bar" descr="Bar graph of MA natural gas transmission and storage emissions in metric tons of CH4 for 1990-2023 showing 9 subsectors.">
          <a:extLst>
            <a:ext uri="{FF2B5EF4-FFF2-40B4-BE49-F238E27FC236}">
              <a16:creationId xmlns:a16="http://schemas.microsoft.com/office/drawing/2014/main" id="{929984CF-2F1B-4BE1-8551-D83B0ABCBB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xdr:colOff>
      <xdr:row>4</xdr:row>
      <xdr:rowOff>0</xdr:rowOff>
    </xdr:from>
    <xdr:to>
      <xdr:col>22</xdr:col>
      <xdr:colOff>904876</xdr:colOff>
      <xdr:row>28</xdr:row>
      <xdr:rowOff>0</xdr:rowOff>
    </xdr:to>
    <xdr:graphicFrame macro="">
      <xdr:nvGraphicFramePr>
        <xdr:cNvPr id="2" name="NGTransmissionStorageMTCH4line" descr="MA natural gas transmission and storage emissions in metric tons of CH4 for 1990-2023 showing 9 subsectors.">
          <a:extLst>
            <a:ext uri="{FF2B5EF4-FFF2-40B4-BE49-F238E27FC236}">
              <a16:creationId xmlns:a16="http://schemas.microsoft.com/office/drawing/2014/main" id="{849A674B-454B-40A7-8575-BEEF807B0D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8</xdr:col>
      <xdr:colOff>933449</xdr:colOff>
      <xdr:row>29</xdr:row>
      <xdr:rowOff>196851</xdr:rowOff>
    </xdr:to>
    <xdr:graphicFrame macro="">
      <xdr:nvGraphicFramePr>
        <xdr:cNvPr id="2" name="IndustrialProcessesMTCO2" descr="CO2 emissions in MA for 1991-2023 showing lime production, urea consumption (non-ag), non-EOR CO2 utilization, glass production, carbide production and consumption, and substitution of ODS substances.">
          <a:extLst>
            <a:ext uri="{FF2B5EF4-FFF2-40B4-BE49-F238E27FC236}">
              <a16:creationId xmlns:a16="http://schemas.microsoft.com/office/drawing/2014/main" id="{DA1D65D2-7EA6-446D-AE6F-FF262DE757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4</xdr:row>
      <xdr:rowOff>0</xdr:rowOff>
    </xdr:from>
    <xdr:to>
      <xdr:col>16</xdr:col>
      <xdr:colOff>19050</xdr:colOff>
      <xdr:row>30</xdr:row>
      <xdr:rowOff>0</xdr:rowOff>
    </xdr:to>
    <xdr:graphicFrame macro="">
      <xdr:nvGraphicFramePr>
        <xdr:cNvPr id="5" name="IndustrialProcessesMTN2O" descr="N2O MMTCO2e  emissions in MA for 1991-2023 showing N2O from Product Uses semi-conductor manufacture and photovoltaics.">
          <a:extLst>
            <a:ext uri="{FF2B5EF4-FFF2-40B4-BE49-F238E27FC236}">
              <a16:creationId xmlns:a16="http://schemas.microsoft.com/office/drawing/2014/main" id="{495D3892-78E2-4EE9-9432-181E6ED209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47625</xdr:colOff>
      <xdr:row>3</xdr:row>
      <xdr:rowOff>161925</xdr:rowOff>
    </xdr:from>
    <xdr:to>
      <xdr:col>23</xdr:col>
      <xdr:colOff>914400</xdr:colOff>
      <xdr:row>30</xdr:row>
      <xdr:rowOff>0</xdr:rowOff>
    </xdr:to>
    <xdr:graphicFrame macro="">
      <xdr:nvGraphicFramePr>
        <xdr:cNvPr id="6" name="IndustrialProcessesHFCsMMTCO2e'" descr="HFC, PFC, N3 and SF6 MMTCO2e  emissions in MA for 1991-2023 showing ODS, electrical equipment, semi-conductor manufacture, micro-electo-mechanical devices, photovoltaics, and SF6 and PFCs from other product use.">
          <a:extLst>
            <a:ext uri="{FF2B5EF4-FFF2-40B4-BE49-F238E27FC236}">
              <a16:creationId xmlns:a16="http://schemas.microsoft.com/office/drawing/2014/main" id="{A9403CB8-7FC2-492E-BC5A-7233630541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xdr:colOff>
      <xdr:row>22</xdr:row>
      <xdr:rowOff>1</xdr:rowOff>
    </xdr:from>
    <xdr:to>
      <xdr:col>12</xdr:col>
      <xdr:colOff>714376</xdr:colOff>
      <xdr:row>47</xdr:row>
      <xdr:rowOff>85725</xdr:rowOff>
    </xdr:to>
    <xdr:graphicFrame macro="">
      <xdr:nvGraphicFramePr>
        <xdr:cNvPr id="6" name="BioSumCombustionbySectorLine" descr="MA Biogenic CO2 emissions from Combustion for 1990-2023 from Electric, Transportation, Residential, Industrial, Commercial and Waste sectors.">
          <a:extLst>
            <a:ext uri="{FF2B5EF4-FFF2-40B4-BE49-F238E27FC236}">
              <a16:creationId xmlns:a16="http://schemas.microsoft.com/office/drawing/2014/main" id="{4E80C04B-A57E-42DD-8294-262AE83D57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22</xdr:row>
      <xdr:rowOff>0</xdr:rowOff>
    </xdr:from>
    <xdr:to>
      <xdr:col>26</xdr:col>
      <xdr:colOff>752475</xdr:colOff>
      <xdr:row>51</xdr:row>
      <xdr:rowOff>168275</xdr:rowOff>
    </xdr:to>
    <xdr:graphicFrame macro="">
      <xdr:nvGraphicFramePr>
        <xdr:cNvPr id="7" name="BioSumCombBySectorStacked" descr="Stacked Area graph showing MA Biogenic CO2 emissions from Combustion for 1990-2023 by sectors and fuel type.">
          <a:extLst>
            <a:ext uri="{FF2B5EF4-FFF2-40B4-BE49-F238E27FC236}">
              <a16:creationId xmlns:a16="http://schemas.microsoft.com/office/drawing/2014/main" id="{A30B7982-C387-400B-92F3-EDF17D8501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xdr:row>
      <xdr:rowOff>28576</xdr:rowOff>
    </xdr:from>
    <xdr:to>
      <xdr:col>8</xdr:col>
      <xdr:colOff>819150</xdr:colOff>
      <xdr:row>21</xdr:row>
      <xdr:rowOff>130176</xdr:rowOff>
    </xdr:to>
    <xdr:graphicFrame macro="">
      <xdr:nvGraphicFramePr>
        <xdr:cNvPr id="10" name="BioSummaryNWL" descr="Natural and Working Lands emissions for 1990 through 2023 including Cropland and Grassland, Wetlands, Other Land, Settlements, Forest Land, and Net NWL emissions.">
          <a:extLst>
            <a:ext uri="{FF2B5EF4-FFF2-40B4-BE49-F238E27FC236}">
              <a16:creationId xmlns:a16="http://schemas.microsoft.com/office/drawing/2014/main" id="{CD11EFEB-E260-44F4-BA38-0E98E920FC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44451</xdr:colOff>
      <xdr:row>4</xdr:row>
      <xdr:rowOff>19050</xdr:rowOff>
    </xdr:from>
    <xdr:to>
      <xdr:col>15</xdr:col>
      <xdr:colOff>781051</xdr:colOff>
      <xdr:row>21</xdr:row>
      <xdr:rowOff>104775</xdr:rowOff>
    </xdr:to>
    <xdr:graphicFrame macro="">
      <xdr:nvGraphicFramePr>
        <xdr:cNvPr id="12" name="BioSumOverallGHGs" descr="Overall Biogenic GHGs in MA for 1990-2023 showing total combustion and oxidation and total new NWL emissions.">
          <a:extLst>
            <a:ext uri="{FF2B5EF4-FFF2-40B4-BE49-F238E27FC236}">
              <a16:creationId xmlns:a16="http://schemas.microsoft.com/office/drawing/2014/main" id="{925B915C-E049-4E5E-8B91-89D45E03A4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0.24807</cdr:x>
      <cdr:y>0.3596</cdr:y>
    </cdr:from>
    <cdr:to>
      <cdr:x>0.39361</cdr:x>
      <cdr:y>0.41717</cdr:y>
    </cdr:to>
    <cdr:sp macro="" textlink="">
      <cdr:nvSpPr>
        <cdr:cNvPr id="4" name="TextBox 3"/>
        <cdr:cNvSpPr txBox="1"/>
      </cdr:nvSpPr>
      <cdr:spPr>
        <a:xfrm xmlns:a="http://schemas.openxmlformats.org/drawingml/2006/main">
          <a:off x="2148633" y="2260600"/>
          <a:ext cx="1260581" cy="361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200" b="1"/>
        </a:p>
      </cdr:txBody>
    </cdr:sp>
  </cdr:relSizeAnchor>
  <cdr:relSizeAnchor xmlns:cdr="http://schemas.openxmlformats.org/drawingml/2006/chartDrawing">
    <cdr:from>
      <cdr:x>0.71041</cdr:x>
      <cdr:y>0.7899</cdr:y>
    </cdr:from>
    <cdr:to>
      <cdr:x>0.9129</cdr:x>
      <cdr:y>0.83434</cdr:y>
    </cdr:to>
    <cdr:sp macro="" textlink="">
      <cdr:nvSpPr>
        <cdr:cNvPr id="8" name="TextBox 7"/>
        <cdr:cNvSpPr txBox="1"/>
      </cdr:nvSpPr>
      <cdr:spPr>
        <a:xfrm xmlns:a="http://schemas.openxmlformats.org/drawingml/2006/main">
          <a:off x="6153151" y="4965706"/>
          <a:ext cx="1753842" cy="2793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200" b="1" baseline="0"/>
        </a:p>
      </cdr:txBody>
    </cdr:sp>
  </cdr:relSizeAnchor>
  <cdr:relSizeAnchor xmlns:cdr="http://schemas.openxmlformats.org/drawingml/2006/chartDrawing">
    <cdr:from>
      <cdr:x>0.89458</cdr:x>
      <cdr:y>0.50707</cdr:y>
    </cdr:from>
    <cdr:to>
      <cdr:x>1</cdr:x>
      <cdr:y>0.65253</cdr:y>
    </cdr:to>
    <cdr:cxnSp macro="">
      <cdr:nvCxnSpPr>
        <cdr:cNvPr id="3" name="Straight Connector 2">
          <a:extLst xmlns:a="http://schemas.openxmlformats.org/drawingml/2006/main">
            <a:ext uri="{FF2B5EF4-FFF2-40B4-BE49-F238E27FC236}">
              <a16:creationId xmlns:a16="http://schemas.microsoft.com/office/drawing/2014/main" id="{31B7E51C-6C71-014A-BBBC-69FB3602A63A}"/>
            </a:ext>
          </a:extLst>
        </cdr:cNvPr>
        <cdr:cNvCxnSpPr/>
      </cdr:nvCxnSpPr>
      <cdr:spPr bwMode="auto">
        <a:xfrm xmlns:a="http://schemas.openxmlformats.org/drawingml/2006/main">
          <a:off x="7835900" y="3187700"/>
          <a:ext cx="914400" cy="914400"/>
        </a:xfrm>
        <a:prstGeom xmlns:a="http://schemas.openxmlformats.org/drawingml/2006/main" prst="line">
          <a:avLst/>
        </a:prstGeom>
        <a:noFill xmlns:a="http://schemas.openxmlformats.org/drawingml/2006/main"/>
        <a:ln xmlns:a="http://schemas.openxmlformats.org/drawingml/2006/main" w="9525" cap="flat" cmpd="sng" algn="ctr">
          <a:noFill/>
          <a:prstDash val="solid"/>
          <a:round/>
          <a:headEnd type="none" w="med" len="med"/>
          <a:tailEnd type="none" w="med" len="med"/>
        </a:ln>
        <a:effectLst xmlns:a="http://schemas.openxmlformats.org/drawingml/2006/main"/>
      </cdr:spPr>
    </cdr:cxnSp>
  </cdr:relSizeAnchor>
  <cdr:relSizeAnchor xmlns:cdr="http://schemas.openxmlformats.org/drawingml/2006/chartDrawing">
    <cdr:from>
      <cdr:x>0.75729</cdr:x>
      <cdr:y>0.8164</cdr:y>
    </cdr:from>
    <cdr:to>
      <cdr:x>0.88925</cdr:x>
      <cdr:y>0.8568</cdr:y>
    </cdr:to>
    <cdr:sp macro="" textlink="">
      <cdr:nvSpPr>
        <cdr:cNvPr id="2" name="TextBox 1">
          <a:extLst xmlns:a="http://schemas.openxmlformats.org/drawingml/2006/main">
            <a:ext uri="{FF2B5EF4-FFF2-40B4-BE49-F238E27FC236}">
              <a16:creationId xmlns:a16="http://schemas.microsoft.com/office/drawing/2014/main" id="{50DF5D02-1987-B2F3-50B5-6E04D7D87B15}"/>
            </a:ext>
          </a:extLst>
        </cdr:cNvPr>
        <cdr:cNvSpPr txBox="1"/>
      </cdr:nvSpPr>
      <cdr:spPr>
        <a:xfrm xmlns:a="http://schemas.openxmlformats.org/drawingml/2006/main">
          <a:off x="6559176" y="5132294"/>
          <a:ext cx="1143000" cy="254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0.71511</cdr:x>
      <cdr:y>0.62335</cdr:y>
    </cdr:from>
    <cdr:to>
      <cdr:x>0.80497</cdr:x>
      <cdr:y>0.79719</cdr:y>
    </cdr:to>
    <cdr:sp macro="" textlink="">
      <cdr:nvSpPr>
        <cdr:cNvPr id="9" name="TextBox 8">
          <a:extLst xmlns:a="http://schemas.openxmlformats.org/drawingml/2006/main">
            <a:ext uri="{FF2B5EF4-FFF2-40B4-BE49-F238E27FC236}">
              <a16:creationId xmlns:a16="http://schemas.microsoft.com/office/drawing/2014/main" id="{767D1373-81A0-73B3-E228-CE1F24525292}"/>
            </a:ext>
          </a:extLst>
        </cdr:cNvPr>
        <cdr:cNvSpPr txBox="1"/>
      </cdr:nvSpPr>
      <cdr:spPr>
        <a:xfrm xmlns:a="http://schemas.openxmlformats.org/drawingml/2006/main">
          <a:off x="6195392" y="3920435"/>
          <a:ext cx="778566" cy="10933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800" b="1" kern="1200"/>
        </a:p>
      </cdr:txBody>
    </cdr:sp>
  </cdr:relSizeAnchor>
  <cdr:relSizeAnchor xmlns:cdr="http://schemas.openxmlformats.org/drawingml/2006/chartDrawing">
    <cdr:from>
      <cdr:x>0.79465</cdr:x>
      <cdr:y>0.54234</cdr:y>
    </cdr:from>
    <cdr:to>
      <cdr:x>0.7957</cdr:x>
      <cdr:y>0.64436</cdr:y>
    </cdr:to>
    <cdr:cxnSp macro="">
      <cdr:nvCxnSpPr>
        <cdr:cNvPr id="11" name="Straight Arrow Connector 10">
          <a:extLst xmlns:a="http://schemas.openxmlformats.org/drawingml/2006/main">
            <a:ext uri="{FF2B5EF4-FFF2-40B4-BE49-F238E27FC236}">
              <a16:creationId xmlns:a16="http://schemas.microsoft.com/office/drawing/2014/main" id="{118B5030-5DE7-E3ED-A7C1-AEAC036C966F}"/>
            </a:ext>
          </a:extLst>
        </cdr:cNvPr>
        <cdr:cNvCxnSpPr/>
      </cdr:nvCxnSpPr>
      <cdr:spPr bwMode="auto">
        <a:xfrm xmlns:a="http://schemas.openxmlformats.org/drawingml/2006/main" flipV="1">
          <a:off x="10315575" y="5106736"/>
          <a:ext cx="13593" cy="960689"/>
        </a:xfrm>
        <a:prstGeom xmlns:a="http://schemas.openxmlformats.org/drawingml/2006/main" prst="straightConnector1">
          <a:avLst/>
        </a:prstGeom>
        <a:ln xmlns:a="http://schemas.openxmlformats.org/drawingml/2006/main">
          <a:headEnd type="none" w="med" len="med"/>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0.82023</cdr:x>
      <cdr:y>0.56503</cdr:y>
    </cdr:from>
    <cdr:to>
      <cdr:x>0.84822</cdr:x>
      <cdr:y>0.64942</cdr:y>
    </cdr:to>
    <cdr:cxnSp macro="">
      <cdr:nvCxnSpPr>
        <cdr:cNvPr id="13" name="Straight Arrow Connector 12">
          <a:extLst xmlns:a="http://schemas.openxmlformats.org/drawingml/2006/main">
            <a:ext uri="{FF2B5EF4-FFF2-40B4-BE49-F238E27FC236}">
              <a16:creationId xmlns:a16="http://schemas.microsoft.com/office/drawing/2014/main" id="{DAD80E80-4F32-12FE-4CC0-10EF8E119C90}"/>
            </a:ext>
          </a:extLst>
        </cdr:cNvPr>
        <cdr:cNvCxnSpPr/>
      </cdr:nvCxnSpPr>
      <cdr:spPr bwMode="auto">
        <a:xfrm xmlns:a="http://schemas.openxmlformats.org/drawingml/2006/main" flipH="1" flipV="1">
          <a:off x="10647565" y="5320403"/>
          <a:ext cx="363335" cy="794647"/>
        </a:xfrm>
        <a:prstGeom xmlns:a="http://schemas.openxmlformats.org/drawingml/2006/main" prst="straightConnector1">
          <a:avLst/>
        </a:prstGeom>
        <a:ln xmlns:a="http://schemas.openxmlformats.org/drawingml/2006/main">
          <a:headEnd type="none" w="med" len="med"/>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0.95092</cdr:x>
      <cdr:y>0.45303</cdr:y>
    </cdr:from>
    <cdr:to>
      <cdr:x>0.95411</cdr:x>
      <cdr:y>0.75856</cdr:y>
    </cdr:to>
    <cdr:cxnSp macro="">
      <cdr:nvCxnSpPr>
        <cdr:cNvPr id="15" name="Straight Arrow Connector 14">
          <a:extLst xmlns:a="http://schemas.openxmlformats.org/drawingml/2006/main">
            <a:ext uri="{FF2B5EF4-FFF2-40B4-BE49-F238E27FC236}">
              <a16:creationId xmlns:a16="http://schemas.microsoft.com/office/drawing/2014/main" id="{90061899-8D53-E13D-6614-3A5240C28C9A}"/>
            </a:ext>
          </a:extLst>
        </cdr:cNvPr>
        <cdr:cNvCxnSpPr/>
      </cdr:nvCxnSpPr>
      <cdr:spPr bwMode="auto">
        <a:xfrm xmlns:a="http://schemas.openxmlformats.org/drawingml/2006/main">
          <a:off x="12357652" y="4273826"/>
          <a:ext cx="41414" cy="2882348"/>
        </a:xfrm>
        <a:prstGeom xmlns:a="http://schemas.openxmlformats.org/drawingml/2006/main" prst="straightConnector1">
          <a:avLst/>
        </a:prstGeom>
        <a:ln xmlns:a="http://schemas.openxmlformats.org/drawingml/2006/main">
          <a:headEnd type="none" w="med" len="med"/>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0.85405</cdr:x>
      <cdr:y>0.46093</cdr:y>
    </cdr:from>
    <cdr:to>
      <cdr:x>0.85468</cdr:x>
      <cdr:y>0.56629</cdr:y>
    </cdr:to>
    <cdr:cxnSp macro="">
      <cdr:nvCxnSpPr>
        <cdr:cNvPr id="17" name="Straight Arrow Connector 16">
          <a:extLst xmlns:a="http://schemas.openxmlformats.org/drawingml/2006/main">
            <a:ext uri="{FF2B5EF4-FFF2-40B4-BE49-F238E27FC236}">
              <a16:creationId xmlns:a16="http://schemas.microsoft.com/office/drawing/2014/main" id="{0F11D84A-31AD-1E1C-C69A-C1E76B768DDD}"/>
            </a:ext>
          </a:extLst>
        </cdr:cNvPr>
        <cdr:cNvCxnSpPr/>
      </cdr:nvCxnSpPr>
      <cdr:spPr bwMode="auto">
        <a:xfrm xmlns:a="http://schemas.openxmlformats.org/drawingml/2006/main">
          <a:off x="11098696" y="4348370"/>
          <a:ext cx="8282" cy="993913"/>
        </a:xfrm>
        <a:prstGeom xmlns:a="http://schemas.openxmlformats.org/drawingml/2006/main" prst="straightConnector1">
          <a:avLst/>
        </a:prstGeom>
        <a:ln xmlns:a="http://schemas.openxmlformats.org/drawingml/2006/main">
          <a:headEnd type="none" w="med" len="med"/>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0.75653</cdr:x>
      <cdr:y>0.46532</cdr:y>
    </cdr:from>
    <cdr:to>
      <cdr:x>0.75653</cdr:x>
      <cdr:y>0.49166</cdr:y>
    </cdr:to>
    <cdr:cxnSp macro="">
      <cdr:nvCxnSpPr>
        <cdr:cNvPr id="20" name="Straight Arrow Connector 19">
          <a:extLst xmlns:a="http://schemas.openxmlformats.org/drawingml/2006/main">
            <a:ext uri="{FF2B5EF4-FFF2-40B4-BE49-F238E27FC236}">
              <a16:creationId xmlns:a16="http://schemas.microsoft.com/office/drawing/2014/main" id="{05FC5FC7-638C-9CA8-2382-D63157DC7FB8}"/>
            </a:ext>
          </a:extLst>
        </cdr:cNvPr>
        <cdr:cNvCxnSpPr/>
      </cdr:nvCxnSpPr>
      <cdr:spPr bwMode="auto">
        <a:xfrm xmlns:a="http://schemas.openxmlformats.org/drawingml/2006/main">
          <a:off x="9831457" y="4389783"/>
          <a:ext cx="0" cy="248478"/>
        </a:xfrm>
        <a:prstGeom xmlns:a="http://schemas.openxmlformats.org/drawingml/2006/main" prst="straightConnector1">
          <a:avLst/>
        </a:prstGeom>
        <a:ln xmlns:a="http://schemas.openxmlformats.org/drawingml/2006/main">
          <a:headEnd type="none" w="med" len="med"/>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0.16571</cdr:x>
      <cdr:y>0.24671</cdr:y>
    </cdr:from>
    <cdr:to>
      <cdr:x>0.1956</cdr:x>
      <cdr:y>0.63843</cdr:y>
    </cdr:to>
    <cdr:cxnSp macro="">
      <cdr:nvCxnSpPr>
        <cdr:cNvPr id="22" name="Straight Arrow Connector 21">
          <a:extLst xmlns:a="http://schemas.openxmlformats.org/drawingml/2006/main">
            <a:ext uri="{FF2B5EF4-FFF2-40B4-BE49-F238E27FC236}">
              <a16:creationId xmlns:a16="http://schemas.microsoft.com/office/drawing/2014/main" id="{C0E79EE5-EE0A-423C-04EB-9B84C1ACB3C5}"/>
            </a:ext>
          </a:extLst>
        </cdr:cNvPr>
        <cdr:cNvCxnSpPr/>
      </cdr:nvCxnSpPr>
      <cdr:spPr bwMode="auto">
        <a:xfrm xmlns:a="http://schemas.openxmlformats.org/drawingml/2006/main" flipH="1" flipV="1">
          <a:off x="1436333" y="1553292"/>
          <a:ext cx="259117" cy="2466258"/>
        </a:xfrm>
        <a:prstGeom xmlns:a="http://schemas.openxmlformats.org/drawingml/2006/main" prst="straightConnector1">
          <a:avLst/>
        </a:prstGeom>
        <a:ln xmlns:a="http://schemas.openxmlformats.org/drawingml/2006/main">
          <a:headEnd type="none" w="med" len="med"/>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0.70587</cdr:x>
      <cdr:y>0.58121</cdr:y>
    </cdr:from>
    <cdr:to>
      <cdr:x>0.74952</cdr:x>
      <cdr:y>0.64538</cdr:y>
    </cdr:to>
    <cdr:cxnSp macro="">
      <cdr:nvCxnSpPr>
        <cdr:cNvPr id="28" name="Straight Arrow Connector 27">
          <a:extLst xmlns:a="http://schemas.openxmlformats.org/drawingml/2006/main">
            <a:ext uri="{FF2B5EF4-FFF2-40B4-BE49-F238E27FC236}">
              <a16:creationId xmlns:a16="http://schemas.microsoft.com/office/drawing/2014/main" id="{E13A0287-676A-F4A5-35BA-93B9A77F8606}"/>
            </a:ext>
          </a:extLst>
        </cdr:cNvPr>
        <cdr:cNvCxnSpPr/>
      </cdr:nvCxnSpPr>
      <cdr:spPr bwMode="auto">
        <a:xfrm xmlns:a="http://schemas.openxmlformats.org/drawingml/2006/main" flipV="1">
          <a:off x="9163050" y="5472756"/>
          <a:ext cx="566630" cy="604194"/>
        </a:xfrm>
        <a:prstGeom xmlns:a="http://schemas.openxmlformats.org/drawingml/2006/main" prst="straightConnector1">
          <a:avLst/>
        </a:prstGeom>
        <a:ln xmlns:a="http://schemas.openxmlformats.org/drawingml/2006/main">
          <a:headEnd type="none" w="med" len="med"/>
          <a:tailEnd type="triangle"/>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3.xml><?xml version="1.0" encoding="utf-8"?>
<xdr:wsDr xmlns:xdr="http://schemas.openxmlformats.org/drawingml/2006/spreadsheetDrawing" xmlns:a="http://schemas.openxmlformats.org/drawingml/2006/main">
  <xdr:twoCellAnchor>
    <xdr:from>
      <xdr:col>1</xdr:col>
      <xdr:colOff>47625</xdr:colOff>
      <xdr:row>88</xdr:row>
      <xdr:rowOff>38099</xdr:rowOff>
    </xdr:from>
    <xdr:to>
      <xdr:col>12</xdr:col>
      <xdr:colOff>552450</xdr:colOff>
      <xdr:row>108</xdr:row>
      <xdr:rowOff>76200</xdr:rowOff>
    </xdr:to>
    <xdr:graphicFrame macro="">
      <xdr:nvGraphicFramePr>
        <xdr:cNvPr id="7" name="MABiogenicCO2CombustionEmissions" descr="MA Biogenic CO2 emissions from Combustion for 1990-2023 from Electric, Transportation, Residential, Industrial, Commercial and Waste sectors.">
          <a:extLst>
            <a:ext uri="{FF2B5EF4-FFF2-40B4-BE49-F238E27FC236}">
              <a16:creationId xmlns:a16="http://schemas.microsoft.com/office/drawing/2014/main" id="{59ABE599-3B09-4D90-AB98-9A7E751DAE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9525</xdr:colOff>
      <xdr:row>88</xdr:row>
      <xdr:rowOff>9525</xdr:rowOff>
    </xdr:from>
    <xdr:to>
      <xdr:col>23</xdr:col>
      <xdr:colOff>473075</xdr:colOff>
      <xdr:row>108</xdr:row>
      <xdr:rowOff>38100</xdr:rowOff>
    </xdr:to>
    <xdr:graphicFrame macro="">
      <xdr:nvGraphicFramePr>
        <xdr:cNvPr id="2" name="NaturalWorkingLands" descr="Natural and Working Lands emissions for 1990 through 2023 including Cropland and Grassland, Wetlands, Other Land, Settlements, Forest Land, and Net NWL emissions.">
          <a:extLst>
            <a:ext uri="{FF2B5EF4-FFF2-40B4-BE49-F238E27FC236}">
              <a16:creationId xmlns:a16="http://schemas.microsoft.com/office/drawing/2014/main" id="{FF9A0F03-DA55-4343-ABF7-BA3F134D7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584199</xdr:colOff>
      <xdr:row>3</xdr:row>
      <xdr:rowOff>9525</xdr:rowOff>
    </xdr:from>
    <xdr:to>
      <xdr:col>35</xdr:col>
      <xdr:colOff>539750</xdr:colOff>
      <xdr:row>24</xdr:row>
      <xdr:rowOff>158750</xdr:rowOff>
    </xdr:to>
    <xdr:graphicFrame macro="">
      <xdr:nvGraphicFramePr>
        <xdr:cNvPr id="4" name="CombustionVNoncombustionsector" descr="MA GHG emissions (Combustion v Non-Combustion sectors for1990 through 2023 including CO2e from fossil fuel consumption, Natural Gas Syatems, Industrial Processes, Agriculture and Land Use, and Waste..">
          <a:extLst>
            <a:ext uri="{FF2B5EF4-FFF2-40B4-BE49-F238E27FC236}">
              <a16:creationId xmlns:a16="http://schemas.microsoft.com/office/drawing/2014/main" id="{5596AA89-93A1-D7A9-E82B-FFE86CF862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57150</xdr:colOff>
      <xdr:row>71</xdr:row>
      <xdr:rowOff>47625</xdr:rowOff>
    </xdr:from>
    <xdr:to>
      <xdr:col>16</xdr:col>
      <xdr:colOff>592137</xdr:colOff>
      <xdr:row>87</xdr:row>
      <xdr:rowOff>74612</xdr:rowOff>
    </xdr:to>
    <xdr:graphicFrame macro="">
      <xdr:nvGraphicFramePr>
        <xdr:cNvPr id="11" name="MAElectricSectorMMTCO2e" descr="MA electric sector emissions fro 1990-2023 including total electric sector CO2e, electric generation CO2, electricity imports CO2e, electric generation from MSW CO2e and electris generation CH4 and N2O.">
          <a:extLst>
            <a:ext uri="{FF2B5EF4-FFF2-40B4-BE49-F238E27FC236}">
              <a16:creationId xmlns:a16="http://schemas.microsoft.com/office/drawing/2014/main" id="{5C0545E2-EA1F-40A3-ACA0-60B56D132E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101601</xdr:colOff>
      <xdr:row>3</xdr:row>
      <xdr:rowOff>28574</xdr:rowOff>
    </xdr:from>
    <xdr:to>
      <xdr:col>11</xdr:col>
      <xdr:colOff>561975</xdr:colOff>
      <xdr:row>24</xdr:row>
      <xdr:rowOff>161925</xdr:rowOff>
    </xdr:to>
    <xdr:graphicFrame macro="">
      <xdr:nvGraphicFramePr>
        <xdr:cNvPr id="12" name="MAGHGEmissions" descr="Total MA GHG emissions from 1990 through 2023.">
          <a:extLst>
            <a:ext uri="{FF2B5EF4-FFF2-40B4-BE49-F238E27FC236}">
              <a16:creationId xmlns:a16="http://schemas.microsoft.com/office/drawing/2014/main" id="{8FBF8BAB-8EFB-4426-8E52-2FD75D17A0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101600</xdr:colOff>
      <xdr:row>25</xdr:row>
      <xdr:rowOff>57149</xdr:rowOff>
    </xdr:from>
    <xdr:to>
      <xdr:col>11</xdr:col>
      <xdr:colOff>533400</xdr:colOff>
      <xdr:row>45</xdr:row>
      <xdr:rowOff>161924</xdr:rowOff>
    </xdr:to>
    <xdr:graphicFrame macro="">
      <xdr:nvGraphicFramePr>
        <xdr:cNvPr id="3" name="FuelCombustionBySector" descr="MA GHG emissions from Fuel Combustion for1990 through 2023 are shown for Transportation, Residential, Electricity, Commercial and Industrial sectors.">
          <a:extLst>
            <a:ext uri="{FF2B5EF4-FFF2-40B4-BE49-F238E27FC236}">
              <a16:creationId xmlns:a16="http://schemas.microsoft.com/office/drawing/2014/main" id="{454CC71C-C8F9-4993-9E13-753745C7F0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3174</xdr:colOff>
      <xdr:row>25</xdr:row>
      <xdr:rowOff>66674</xdr:rowOff>
    </xdr:from>
    <xdr:to>
      <xdr:col>22</xdr:col>
      <xdr:colOff>438150</xdr:colOff>
      <xdr:row>46</xdr:row>
      <xdr:rowOff>19050</xdr:rowOff>
    </xdr:to>
    <xdr:graphicFrame macro="">
      <xdr:nvGraphicFramePr>
        <xdr:cNvPr id="13" name="FuelCombustionByConsolidatedSector" descr="MA GHG emissions from Fuel Combustion for1990 through 2023 are shown for Mobile, Building and Electricity consumption.">
          <a:extLst>
            <a:ext uri="{FF2B5EF4-FFF2-40B4-BE49-F238E27FC236}">
              <a16:creationId xmlns:a16="http://schemas.microsoft.com/office/drawing/2014/main" id="{14F8A17F-58FA-4880-8286-E6A7B482DC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22</xdr:col>
      <xdr:colOff>619124</xdr:colOff>
      <xdr:row>25</xdr:row>
      <xdr:rowOff>76200</xdr:rowOff>
    </xdr:from>
    <xdr:to>
      <xdr:col>34</xdr:col>
      <xdr:colOff>498474</xdr:colOff>
      <xdr:row>46</xdr:row>
      <xdr:rowOff>25400</xdr:rowOff>
    </xdr:to>
    <xdr:graphicFrame macro="">
      <xdr:nvGraphicFramePr>
        <xdr:cNvPr id="14" name="FielCombustionByAlternateSector" descr="MA GHG emissions from Fuel Combustion for1990 through 2023 are shown for Transportation, Residential Heating and Cooling, Electricity, and Commercial Heating and Cooling sectors.">
          <a:extLst>
            <a:ext uri="{FF2B5EF4-FFF2-40B4-BE49-F238E27FC236}">
              <a16:creationId xmlns:a16="http://schemas.microsoft.com/office/drawing/2014/main" id="{A3E60A34-02E5-4522-914F-78209C2B3C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25400</xdr:colOff>
      <xdr:row>3</xdr:row>
      <xdr:rowOff>15875</xdr:rowOff>
    </xdr:from>
    <xdr:to>
      <xdr:col>25</xdr:col>
      <xdr:colOff>523875</xdr:colOff>
      <xdr:row>24</xdr:row>
      <xdr:rowOff>133350</xdr:rowOff>
    </xdr:to>
    <xdr:graphicFrame macro="">
      <xdr:nvGraphicFramePr>
        <xdr:cNvPr id="15" name="MAGHGEmissionsBySector" descr="MA GHG emissions from all sectors for 1990 through 2023 for the Transportation, Electricity, Residential, Commercial, Industrial,  Industrial Processes, Natural Gas Systems, Waste, and Agriculture.">
          <a:extLst>
            <a:ext uri="{FF2B5EF4-FFF2-40B4-BE49-F238E27FC236}">
              <a16:creationId xmlns:a16="http://schemas.microsoft.com/office/drawing/2014/main" id="{C949F529-6622-4390-92C8-8D87600CF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60325</xdr:colOff>
      <xdr:row>47</xdr:row>
      <xdr:rowOff>28574</xdr:rowOff>
    </xdr:from>
    <xdr:to>
      <xdr:col>12</xdr:col>
      <xdr:colOff>47626</xdr:colOff>
      <xdr:row>70</xdr:row>
      <xdr:rowOff>76200</xdr:rowOff>
    </xdr:to>
    <xdr:graphicFrame macro="">
      <xdr:nvGraphicFramePr>
        <xdr:cNvPr id="16" name="NonFuelCombustionBySector" descr="MA GHG emissions from non-fuel combustion from 1990  through 2023 for the Industrial Processes, Natural Gas Systems, Waste, and Agriculture sectors.">
          <a:extLst>
            <a:ext uri="{FF2B5EF4-FFF2-40B4-BE49-F238E27FC236}">
              <a16:creationId xmlns:a16="http://schemas.microsoft.com/office/drawing/2014/main" id="{0412C777-C34A-43D7-B8B2-CADF61FF2B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133351</xdr:colOff>
      <xdr:row>47</xdr:row>
      <xdr:rowOff>41274</xdr:rowOff>
    </xdr:from>
    <xdr:to>
      <xdr:col>26</xdr:col>
      <xdr:colOff>295275</xdr:colOff>
      <xdr:row>70</xdr:row>
      <xdr:rowOff>95250</xdr:rowOff>
    </xdr:to>
    <xdr:graphicFrame macro="">
      <xdr:nvGraphicFramePr>
        <xdr:cNvPr id="17" name="NonFuelCombustionBySubsector" descr="MA GHG emissions from non-fuel combustion from 1990  through 2023 for the Industrial Processes, Natural Gas Systems, Waste, and Agriculture subsectors.">
          <a:extLst>
            <a:ext uri="{FF2B5EF4-FFF2-40B4-BE49-F238E27FC236}">
              <a16:creationId xmlns:a16="http://schemas.microsoft.com/office/drawing/2014/main" id="{2B02C2BE-F399-488F-8FBE-60217EFFD4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476250</xdr:colOff>
      <xdr:row>18</xdr:row>
      <xdr:rowOff>92075</xdr:rowOff>
    </xdr:to>
    <xdr:graphicFrame macro="">
      <xdr:nvGraphicFramePr>
        <xdr:cNvPr id="4" name="PercentChangefrom1990" descr="Bar graph showing the percent change of total GHG emissions in MA from 1990, with 2023 shown as 29.8% below 1990.">
          <a:extLst>
            <a:ext uri="{FF2B5EF4-FFF2-40B4-BE49-F238E27FC236}">
              <a16:creationId xmlns:a16="http://schemas.microsoft.com/office/drawing/2014/main" id="{9F71AB82-D7E1-4A06-BFD4-C687709E33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4</xdr:row>
      <xdr:rowOff>0</xdr:rowOff>
    </xdr:from>
    <xdr:to>
      <xdr:col>18</xdr:col>
      <xdr:colOff>438150</xdr:colOff>
      <xdr:row>18</xdr:row>
      <xdr:rowOff>82550</xdr:rowOff>
    </xdr:to>
    <xdr:graphicFrame macro="">
      <xdr:nvGraphicFramePr>
        <xdr:cNvPr id="5" name="PercentChangefromPreviousYear" descr="Bar graph showing the percent change of total GHG emissions in MA from the previous year..">
          <a:extLst>
            <a:ext uri="{FF2B5EF4-FFF2-40B4-BE49-F238E27FC236}">
              <a16:creationId xmlns:a16="http://schemas.microsoft.com/office/drawing/2014/main" id="{AECBB4AF-EE00-4BCE-AB10-0FDAA18684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19</xdr:row>
      <xdr:rowOff>0</xdr:rowOff>
    </xdr:from>
    <xdr:to>
      <xdr:col>9</xdr:col>
      <xdr:colOff>457200</xdr:colOff>
      <xdr:row>37</xdr:row>
      <xdr:rowOff>47625</xdr:rowOff>
    </xdr:to>
    <xdr:graphicFrame macro="">
      <xdr:nvGraphicFramePr>
        <xdr:cNvPr id="6" name="PercentEmissionsBySector2023" descr="Pie chart showing percent of MA 2023 65.3 MMTCO2e GHG Emissions by Sector including Mobile Combustion (40.5%), Building Consumption (34.5%), Electricity Consumption (17.2%), Industrial Processes (5.5%), Natural Gas Systems (1.1%), Waste (0.9%) and Agriculture and Land Use (0.4%).  ">
          <a:extLst>
            <a:ext uri="{FF2B5EF4-FFF2-40B4-BE49-F238E27FC236}">
              <a16:creationId xmlns:a16="http://schemas.microsoft.com/office/drawing/2014/main" id="{A1981A23-F309-4155-9171-388E3A13A1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581024</xdr:colOff>
      <xdr:row>19</xdr:row>
      <xdr:rowOff>0</xdr:rowOff>
    </xdr:from>
    <xdr:to>
      <xdr:col>18</xdr:col>
      <xdr:colOff>409574</xdr:colOff>
      <xdr:row>37</xdr:row>
      <xdr:rowOff>25401</xdr:rowOff>
    </xdr:to>
    <xdr:graphicFrame macro="">
      <xdr:nvGraphicFramePr>
        <xdr:cNvPr id="8" name="PercentEmissionsBySector1990" descr="Pie chart showing percent of MA 1990 93.0 MMTCO2e GHG Emissions by Sector including Mobile Combustion (31.8%), Building Consumption (31.6%), Electricity Consumption (30.3%), Waste (3.1%), Natural Gas Systems (2.0%), Industrial Processes (0.7%), and Agriculture and Land Use (0.5%).  ">
          <a:extLst>
            <a:ext uri="{FF2B5EF4-FFF2-40B4-BE49-F238E27FC236}">
              <a16:creationId xmlns:a16="http://schemas.microsoft.com/office/drawing/2014/main" id="{5DF33B74-8C8A-493A-8670-2EB43A824C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3174</xdr:colOff>
      <xdr:row>19</xdr:row>
      <xdr:rowOff>0</xdr:rowOff>
    </xdr:from>
    <xdr:to>
      <xdr:col>28</xdr:col>
      <xdr:colOff>457199</xdr:colOff>
      <xdr:row>40</xdr:row>
      <xdr:rowOff>133350</xdr:rowOff>
    </xdr:to>
    <xdr:graphicFrame macro="">
      <xdr:nvGraphicFramePr>
        <xdr:cNvPr id="9" name="PercentbyAlternateSector2023" descr="Pie chart showing percent of MA 2023 65.3 MMTCO2e GHG Emissions by Alternate Sector including Transportation (40.5%), Residential Heating and Cooling (18.1%), Electricity Consumption (17.2%), Commercial and Industrial Heating and Cooling (16.4%), Industrial Processes (5.5%), Natural Gas Distribution and Post-Meter (0.9%), Waste (0.9%), Agriculture and Land Use (0.4%), and Natural Gas Transmission and Storage (0.2%).  ">
          <a:extLst>
            <a:ext uri="{FF2B5EF4-FFF2-40B4-BE49-F238E27FC236}">
              <a16:creationId xmlns:a16="http://schemas.microsoft.com/office/drawing/2014/main" id="{FE4AEE83-2B1C-461E-8926-88997E6E13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29</xdr:col>
      <xdr:colOff>0</xdr:colOff>
      <xdr:row>19</xdr:row>
      <xdr:rowOff>0</xdr:rowOff>
    </xdr:from>
    <xdr:to>
      <xdr:col>38</xdr:col>
      <xdr:colOff>133350</xdr:colOff>
      <xdr:row>40</xdr:row>
      <xdr:rowOff>171450</xdr:rowOff>
    </xdr:to>
    <xdr:graphicFrame macro="">
      <xdr:nvGraphicFramePr>
        <xdr:cNvPr id="10" name="PercnetByAlternateSector1990" descr="Pie chart showing percent of MA 1990 93.0 MMTCO2e GHG Emissions by Alternate Sector including Transportation (31.9%), Electricity Consumption (30.3%), Residential Heating and Cooling (16.5%), Commercial and Industrial Heating and Cooling (15.1%), Waste (3.1%), Natural Gas Distribution and Services (1.8%), Industrial Processes (0.7%), Agriculture and Land Use (0.5%), and Natural Gas Transmission and Storage (0.2%).  ">
          <a:extLst>
            <a:ext uri="{FF2B5EF4-FFF2-40B4-BE49-F238E27FC236}">
              <a16:creationId xmlns:a16="http://schemas.microsoft.com/office/drawing/2014/main" id="{F7A283DB-B897-494C-AB4C-AEDCBA889E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17</xdr:row>
      <xdr:rowOff>0</xdr:rowOff>
    </xdr:from>
    <xdr:to>
      <xdr:col>13</xdr:col>
      <xdr:colOff>742949</xdr:colOff>
      <xdr:row>32</xdr:row>
      <xdr:rowOff>85725</xdr:rowOff>
    </xdr:to>
    <xdr:graphicFrame macro="">
      <xdr:nvGraphicFramePr>
        <xdr:cNvPr id="5" name="Adjustable4GasesMMTCO2e" descr="Adjustable line graph showing MA emissions in MMTCO2e for 1990-2023 as four GHGs, CO2, CH4, N2O and SF6 according to the GWP chosen in cell A7.">
          <a:extLst>
            <a:ext uri="{FF2B5EF4-FFF2-40B4-BE49-F238E27FC236}">
              <a16:creationId xmlns:a16="http://schemas.microsoft.com/office/drawing/2014/main" id="{BE43DE1D-8F1C-4A56-A11D-64AEFD1FC3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34</xdr:row>
      <xdr:rowOff>28576</xdr:rowOff>
    </xdr:from>
    <xdr:to>
      <xdr:col>7</xdr:col>
      <xdr:colOff>532543</xdr:colOff>
      <xdr:row>52</xdr:row>
      <xdr:rowOff>0</xdr:rowOff>
    </xdr:to>
    <xdr:graphicFrame macro="">
      <xdr:nvGraphicFramePr>
        <xdr:cNvPr id="2" name="AdjustableGasAsPercentofTotal" descr="Adjustable pie chart showing MA emissions by GHG as a percent of  the 2023 total for the four GHGs (CO2, CH4, N2O and SF6) and imported electric power according to the GWP chosen in cell A7.">
          <a:extLst>
            <a:ext uri="{FF2B5EF4-FFF2-40B4-BE49-F238E27FC236}">
              <a16:creationId xmlns:a16="http://schemas.microsoft.com/office/drawing/2014/main" id="{4F989192-2669-4F43-8A39-DBE6C0BA13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34</xdr:row>
      <xdr:rowOff>0</xdr:rowOff>
    </xdr:from>
    <xdr:to>
      <xdr:col>15</xdr:col>
      <xdr:colOff>752475</xdr:colOff>
      <xdr:row>51</xdr:row>
      <xdr:rowOff>171450</xdr:rowOff>
    </xdr:to>
    <xdr:graphicFrame macro="">
      <xdr:nvGraphicFramePr>
        <xdr:cNvPr id="7" name="AdjustableSectorasPercentofTotal" descr="Adjustable pie chart showing MA emissions by GHG as a percent of  the 2023 total for each sector (building consumption, electricity consumption, mobile consumption, natural gas systems, industrial processes, agriculture and waste) according to the GWP chosen in cell A7.">
          <a:extLst>
            <a:ext uri="{FF2B5EF4-FFF2-40B4-BE49-F238E27FC236}">
              <a16:creationId xmlns:a16="http://schemas.microsoft.com/office/drawing/2014/main" id="{2B613BC3-D8B4-42E6-99E5-601B95196C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93741</xdr:colOff>
      <xdr:row>56</xdr:row>
      <xdr:rowOff>64709</xdr:rowOff>
    </xdr:from>
    <xdr:to>
      <xdr:col>6</xdr:col>
      <xdr:colOff>19050</xdr:colOff>
      <xdr:row>68</xdr:row>
      <xdr:rowOff>114300</xdr:rowOff>
    </xdr:to>
    <xdr:graphicFrame macro="">
      <xdr:nvGraphicFramePr>
        <xdr:cNvPr id="20464180" name="AllGHGByGasMMTCO2e" descr="Line graph showing MA emissions in MMTCO2e for 1990-2023 as four GHGs, CO2, CH4, N2O and SF6.">
          <a:extLst>
            <a:ext uri="{FF2B5EF4-FFF2-40B4-BE49-F238E27FC236}">
              <a16:creationId xmlns:a16="http://schemas.microsoft.com/office/drawing/2014/main" id="{00000000-0008-0000-0400-000034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95249</xdr:colOff>
      <xdr:row>56</xdr:row>
      <xdr:rowOff>47624</xdr:rowOff>
    </xdr:from>
    <xdr:to>
      <xdr:col>14</xdr:col>
      <xdr:colOff>22224</xdr:colOff>
      <xdr:row>68</xdr:row>
      <xdr:rowOff>85725</xdr:rowOff>
    </xdr:to>
    <xdr:graphicFrame macro="">
      <xdr:nvGraphicFramePr>
        <xdr:cNvPr id="20464181" name="CH4MMTCO2e" descr="Line graph showing MA CH4 emissions in MMTCO2e for 1990-2023.">
          <a:extLst>
            <a:ext uri="{FF2B5EF4-FFF2-40B4-BE49-F238E27FC236}">
              <a16:creationId xmlns:a16="http://schemas.microsoft.com/office/drawing/2014/main" id="{00000000-0008-0000-0400-000035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107949</xdr:colOff>
      <xdr:row>56</xdr:row>
      <xdr:rowOff>28575</xdr:rowOff>
    </xdr:from>
    <xdr:to>
      <xdr:col>17</xdr:col>
      <xdr:colOff>1025525</xdr:colOff>
      <xdr:row>68</xdr:row>
      <xdr:rowOff>57150</xdr:rowOff>
    </xdr:to>
    <xdr:graphicFrame macro="">
      <xdr:nvGraphicFramePr>
        <xdr:cNvPr id="20464182" name="N2OMMTCO2e" descr="Line graph showing MA N2O emissions in MMTCO2e for 1990-2023.">
          <a:extLst>
            <a:ext uri="{FF2B5EF4-FFF2-40B4-BE49-F238E27FC236}">
              <a16:creationId xmlns:a16="http://schemas.microsoft.com/office/drawing/2014/main" id="{00000000-0008-0000-0400-000036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6350</xdr:colOff>
      <xdr:row>56</xdr:row>
      <xdr:rowOff>16995</xdr:rowOff>
    </xdr:from>
    <xdr:to>
      <xdr:col>21</xdr:col>
      <xdr:colOff>1025525</xdr:colOff>
      <xdr:row>67</xdr:row>
      <xdr:rowOff>171450</xdr:rowOff>
    </xdr:to>
    <xdr:graphicFrame macro="">
      <xdr:nvGraphicFramePr>
        <xdr:cNvPr id="20464183" name="SF6ElectricPowerT&amp;DMMTCO2e" descr="Line graph showing MA SF6 emissions from Electric Power T&amp;D in MMTCO2e for 1990-2023.">
          <a:extLst>
            <a:ext uri="{FF2B5EF4-FFF2-40B4-BE49-F238E27FC236}">
              <a16:creationId xmlns:a16="http://schemas.microsoft.com/office/drawing/2014/main" id="{00000000-0008-0000-0400-000037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16011</xdr:colOff>
      <xdr:row>56</xdr:row>
      <xdr:rowOff>37378</xdr:rowOff>
    </xdr:from>
    <xdr:to>
      <xdr:col>25</xdr:col>
      <xdr:colOff>923925</xdr:colOff>
      <xdr:row>67</xdr:row>
      <xdr:rowOff>200024</xdr:rowOff>
    </xdr:to>
    <xdr:graphicFrame macro="">
      <xdr:nvGraphicFramePr>
        <xdr:cNvPr id="20464184" name="SF6andOtherMMTCO2e" descr="Line graph showing MA SF6 and Other Gas emissions in MMTCO2e for 1990-2023.">
          <a:extLst>
            <a:ext uri="{FF2B5EF4-FFF2-40B4-BE49-F238E27FC236}">
              <a16:creationId xmlns:a16="http://schemas.microsoft.com/office/drawing/2014/main" id="{00000000-0008-0000-0400-000038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25</xdr:col>
      <xdr:colOff>998581</xdr:colOff>
      <xdr:row>56</xdr:row>
      <xdr:rowOff>19049</xdr:rowOff>
    </xdr:from>
    <xdr:to>
      <xdr:col>29</xdr:col>
      <xdr:colOff>857250</xdr:colOff>
      <xdr:row>67</xdr:row>
      <xdr:rowOff>180975</xdr:rowOff>
    </xdr:to>
    <xdr:graphicFrame macro="">
      <xdr:nvGraphicFramePr>
        <xdr:cNvPr id="20464185" name="IMportedElectricEmissionsMMTCO2e" descr="Line graph showing MA emissions from Imported Electric Power in MMTCO2e for 1990-2023.">
          <a:extLst>
            <a:ext uri="{FF2B5EF4-FFF2-40B4-BE49-F238E27FC236}">
              <a16:creationId xmlns:a16="http://schemas.microsoft.com/office/drawing/2014/main" id="{00000000-0008-0000-0400-000039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82552</xdr:colOff>
      <xdr:row>56</xdr:row>
      <xdr:rowOff>74333</xdr:rowOff>
    </xdr:from>
    <xdr:to>
      <xdr:col>10</xdr:col>
      <xdr:colOff>19051</xdr:colOff>
      <xdr:row>68</xdr:row>
      <xdr:rowOff>123825</xdr:rowOff>
    </xdr:to>
    <xdr:graphicFrame macro="">
      <xdr:nvGraphicFramePr>
        <xdr:cNvPr id="20464186" name="CO2MMTCO2e" descr="Line graph showing MA CO2 emissions for 1990-2023">
          <a:extLst>
            <a:ext uri="{FF2B5EF4-FFF2-40B4-BE49-F238E27FC236}">
              <a16:creationId xmlns:a16="http://schemas.microsoft.com/office/drawing/2014/main" id="{00000000-0008-0000-0400-00003A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65465</xdr:colOff>
      <xdr:row>25</xdr:row>
      <xdr:rowOff>36438</xdr:rowOff>
    </xdr:from>
    <xdr:to>
      <xdr:col>6</xdr:col>
      <xdr:colOff>50799</xdr:colOff>
      <xdr:row>55</xdr:row>
      <xdr:rowOff>92076</xdr:rowOff>
    </xdr:to>
    <xdr:graphicFrame macro="">
      <xdr:nvGraphicFramePr>
        <xdr:cNvPr id="20464187" name="CO2SectorsMMTCO2e" descr="Bar graph of MA CO2 emissions for 1990-2023 by sector.">
          <a:extLst>
            <a:ext uri="{FF2B5EF4-FFF2-40B4-BE49-F238E27FC236}">
              <a16:creationId xmlns:a16="http://schemas.microsoft.com/office/drawing/2014/main" id="{00000000-0008-0000-0400-00003B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94192</xdr:colOff>
      <xdr:row>25</xdr:row>
      <xdr:rowOff>48835</xdr:rowOff>
    </xdr:from>
    <xdr:to>
      <xdr:col>11</xdr:col>
      <xdr:colOff>85725</xdr:colOff>
      <xdr:row>55</xdr:row>
      <xdr:rowOff>25400</xdr:rowOff>
    </xdr:to>
    <xdr:graphicFrame macro="">
      <xdr:nvGraphicFramePr>
        <xdr:cNvPr id="20464188" name="CH4SectorsMMTCO2e" descr="Bar graph of MA CH4 emissions in MMTCO2e for 1990-2023 by sector.">
          <a:extLst>
            <a:ext uri="{FF2B5EF4-FFF2-40B4-BE49-F238E27FC236}">
              <a16:creationId xmlns:a16="http://schemas.microsoft.com/office/drawing/2014/main" id="{00000000-0008-0000-0400-00003C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145597</xdr:colOff>
      <xdr:row>25</xdr:row>
      <xdr:rowOff>38102</xdr:rowOff>
    </xdr:from>
    <xdr:to>
      <xdr:col>15</xdr:col>
      <xdr:colOff>981075</xdr:colOff>
      <xdr:row>55</xdr:row>
      <xdr:rowOff>47626</xdr:rowOff>
    </xdr:to>
    <xdr:graphicFrame macro="">
      <xdr:nvGraphicFramePr>
        <xdr:cNvPr id="20464189" name="N2OSectorsMMTCO2e" descr="Bar graph of MA N2O emissions in MMTCO2e for 1990-2023 by sector.">
          <a:extLst>
            <a:ext uri="{FF2B5EF4-FFF2-40B4-BE49-F238E27FC236}">
              <a16:creationId xmlns:a16="http://schemas.microsoft.com/office/drawing/2014/main" id="{00000000-0008-0000-0400-00003D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59418</xdr:colOff>
      <xdr:row>25</xdr:row>
      <xdr:rowOff>66675</xdr:rowOff>
    </xdr:from>
    <xdr:to>
      <xdr:col>20</xdr:col>
      <xdr:colOff>930275</xdr:colOff>
      <xdr:row>54</xdr:row>
      <xdr:rowOff>171450</xdr:rowOff>
    </xdr:to>
    <xdr:graphicFrame macro="">
      <xdr:nvGraphicFramePr>
        <xdr:cNvPr id="20464190" name="SF6andOtherSectorsMMTCO2e" descr="Bar graph of MA SF6 and Other GHGs emissions in MMTCO2e for 1990-2023 by sector.">
          <a:extLst>
            <a:ext uri="{FF2B5EF4-FFF2-40B4-BE49-F238E27FC236}">
              <a16:creationId xmlns:a16="http://schemas.microsoft.com/office/drawing/2014/main" id="{00000000-0008-0000-0400-00003E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63501</xdr:colOff>
      <xdr:row>69</xdr:row>
      <xdr:rowOff>6351</xdr:rowOff>
    </xdr:from>
    <xdr:to>
      <xdr:col>9</xdr:col>
      <xdr:colOff>981075</xdr:colOff>
      <xdr:row>104</xdr:row>
      <xdr:rowOff>133350</xdr:rowOff>
    </xdr:to>
    <xdr:graphicFrame macro="">
      <xdr:nvGraphicFramePr>
        <xdr:cNvPr id="20464193" name="CH4OverlayBottom2023" descr="This is an overlay that aligns the 2023 MA CH4 emissions by sector pie chart on top of the 2023 MA CH4 emissions for four sectors doughnut chart, with five fuel combustion sectors, 2 waste sectors, and one sector for each of natural gas systems and agriculture.">
          <a:extLst>
            <a:ext uri="{FF2B5EF4-FFF2-40B4-BE49-F238E27FC236}">
              <a16:creationId xmlns:a16="http://schemas.microsoft.com/office/drawing/2014/main" id="{00000000-0008-0000-0400-000041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47625</xdr:colOff>
      <xdr:row>69</xdr:row>
      <xdr:rowOff>28576</xdr:rowOff>
    </xdr:from>
    <xdr:to>
      <xdr:col>16</xdr:col>
      <xdr:colOff>0</xdr:colOff>
      <xdr:row>95</xdr:row>
      <xdr:rowOff>152400</xdr:rowOff>
    </xdr:to>
    <xdr:graphicFrame macro="">
      <xdr:nvGraphicFramePr>
        <xdr:cNvPr id="20464194" name="CH4Sector2023" descr="Pie chart of 2023 MA CH4 emissions by sector (residential commercial, industrial, electric power, MSW combustion, transportation, natural gas systems, agriculture and land use, solid waste (Landfill), and wastewater(.">
          <a:extLst>
            <a:ext uri="{FF2B5EF4-FFF2-40B4-BE49-F238E27FC236}">
              <a16:creationId xmlns:a16="http://schemas.microsoft.com/office/drawing/2014/main" id="{00000000-0008-0000-0400-000042423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892177</xdr:colOff>
      <xdr:row>79</xdr:row>
      <xdr:rowOff>152401</xdr:rowOff>
    </xdr:from>
    <xdr:to>
      <xdr:col>7</xdr:col>
      <xdr:colOff>190501</xdr:colOff>
      <xdr:row>96</xdr:row>
      <xdr:rowOff>66676</xdr:rowOff>
    </xdr:to>
    <xdr:graphicFrame macro="">
      <xdr:nvGraphicFramePr>
        <xdr:cNvPr id="2" name="CH4OverlayTop2023" descr="This is an overlay that aligns the 2023 MA CH4 emissions by sector pie chart on top of the 2023 MA CH4 emissions for four sectors doughnut chart, with five fuel combustion sectors, 2 waste sectors, and one sector for each of natural gas systems and agriculture.">
          <a:extLst>
            <a:ext uri="{FF2B5EF4-FFF2-40B4-BE49-F238E27FC236}">
              <a16:creationId xmlns:a16="http://schemas.microsoft.com/office/drawing/2014/main" id="{FA0E39FB-FEF4-4B1F-84DB-25422ADA42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16</xdr:col>
      <xdr:colOff>57150</xdr:colOff>
      <xdr:row>69</xdr:row>
      <xdr:rowOff>28575</xdr:rowOff>
    </xdr:from>
    <xdr:to>
      <xdr:col>22</xdr:col>
      <xdr:colOff>444500</xdr:colOff>
      <xdr:row>95</xdr:row>
      <xdr:rowOff>149225</xdr:rowOff>
    </xdr:to>
    <xdr:graphicFrame macro="">
      <xdr:nvGraphicFramePr>
        <xdr:cNvPr id="4" name="CH4Comb&amp;NonComb2023" descr="Doughnut chart of 2023 MA CH4 emissions for (clockwise) Combustion of Fuels 14%, Natural Gas Systems 48%, Agriculture 6%, and Waste 32%.">
          <a:extLst>
            <a:ext uri="{FF2B5EF4-FFF2-40B4-BE49-F238E27FC236}">
              <a16:creationId xmlns:a16="http://schemas.microsoft.com/office/drawing/2014/main" id="{71C4F450-044E-4AC8-A841-0228B4D072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57150</xdr:colOff>
      <xdr:row>4</xdr:row>
      <xdr:rowOff>9525</xdr:rowOff>
    </xdr:from>
    <xdr:to>
      <xdr:col>6</xdr:col>
      <xdr:colOff>273050</xdr:colOff>
      <xdr:row>23</xdr:row>
      <xdr:rowOff>76199</xdr:rowOff>
    </xdr:to>
    <xdr:graphicFrame macro="">
      <xdr:nvGraphicFramePr>
        <xdr:cNvPr id="5" name="PercentByGas2023" descr="Pie chart showing MA emissions by GHG as a percent of  the 2023 total for the four GHGs (CO2, CH4, N2O and SF6) and imported electric power.">
          <a:extLst>
            <a:ext uri="{FF2B5EF4-FFF2-40B4-BE49-F238E27FC236}">
              <a16:creationId xmlns:a16="http://schemas.microsoft.com/office/drawing/2014/main" id="{E18980D0-26D5-40C4-924D-ECA7EE0231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7</xdr:col>
      <xdr:colOff>771525</xdr:colOff>
      <xdr:row>71</xdr:row>
      <xdr:rowOff>19050</xdr:rowOff>
    </xdr:from>
    <xdr:to>
      <xdr:col>9</xdr:col>
      <xdr:colOff>723900</xdr:colOff>
      <xdr:row>94</xdr:row>
      <xdr:rowOff>152400</xdr:rowOff>
    </xdr:to>
    <xdr:pic>
      <xdr:nvPicPr>
        <xdr:cNvPr id="8" name="Picture 7" descr="Legend for 2023 Methane Emissions Overlay">
          <a:extLst>
            <a:ext uri="{FF2B5EF4-FFF2-40B4-BE49-F238E27FC236}">
              <a16:creationId xmlns:a16="http://schemas.microsoft.com/office/drawing/2014/main" id="{786AC5D7-5360-BCFB-F14E-E9D958385F32}"/>
            </a:ext>
          </a:extLst>
        </xdr:cNvPr>
        <xdr:cNvPicPr>
          <a:picLocks noChangeAspect="1"/>
        </xdr:cNvPicPr>
      </xdr:nvPicPr>
      <xdr:blipFill>
        <a:blip xmlns:r="http://schemas.openxmlformats.org/officeDocument/2006/relationships" r:embed="rId17"/>
        <a:stretch>
          <a:fillRect/>
        </a:stretch>
      </xdr:blipFill>
      <xdr:spPr>
        <a:xfrm>
          <a:off x="11525250" y="14382750"/>
          <a:ext cx="2009775" cy="47339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30454</xdr:colOff>
      <xdr:row>4</xdr:row>
      <xdr:rowOff>17174</xdr:rowOff>
    </xdr:from>
    <xdr:to>
      <xdr:col>9</xdr:col>
      <xdr:colOff>87603</xdr:colOff>
      <xdr:row>22</xdr:row>
      <xdr:rowOff>9525</xdr:rowOff>
    </xdr:to>
    <xdr:graphicFrame macro="">
      <xdr:nvGraphicFramePr>
        <xdr:cNvPr id="2" name="SublimitElectricPower" descr="MA Electric Power sector MMTCO2e emissions from 1990-2023 also showing 2025 and 2030 sector sublimits.">
          <a:extLst>
            <a:ext uri="{FF2B5EF4-FFF2-40B4-BE49-F238E27FC236}">
              <a16:creationId xmlns:a16="http://schemas.microsoft.com/office/drawing/2014/main" id="{E31063E0-E514-46FE-99DB-C417A529B0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149227</xdr:colOff>
      <xdr:row>4</xdr:row>
      <xdr:rowOff>0</xdr:rowOff>
    </xdr:from>
    <xdr:to>
      <xdr:col>16</xdr:col>
      <xdr:colOff>876300</xdr:colOff>
      <xdr:row>22</xdr:row>
      <xdr:rowOff>0</xdr:rowOff>
    </xdr:to>
    <xdr:graphicFrame macro="">
      <xdr:nvGraphicFramePr>
        <xdr:cNvPr id="3" name="SublimitTransportation" descr="MA Transportation sector MMTCO2e emissions from 1990-2023 also showing 2025 and 2030 sector sublimits.">
          <a:extLst>
            <a:ext uri="{FF2B5EF4-FFF2-40B4-BE49-F238E27FC236}">
              <a16:creationId xmlns:a16="http://schemas.microsoft.com/office/drawing/2014/main" id="{0B91BDD3-CA49-46F3-8F5D-5C351E29D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4</xdr:row>
      <xdr:rowOff>0</xdr:rowOff>
    </xdr:from>
    <xdr:to>
      <xdr:col>24</xdr:col>
      <xdr:colOff>854075</xdr:colOff>
      <xdr:row>22</xdr:row>
      <xdr:rowOff>0</xdr:rowOff>
    </xdr:to>
    <xdr:graphicFrame macro="">
      <xdr:nvGraphicFramePr>
        <xdr:cNvPr id="4" name="SublimitResidentail" descr="MA Residential Heating and Cooling sector MMTCO2e emissions from 1990-2023 also showing 2025 and 2030 sector sublimits.">
          <a:extLst>
            <a:ext uri="{FF2B5EF4-FFF2-40B4-BE49-F238E27FC236}">
              <a16:creationId xmlns:a16="http://schemas.microsoft.com/office/drawing/2014/main" id="{AE4C4503-FA6D-4438-B634-D7B92CE950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38100</xdr:colOff>
      <xdr:row>3</xdr:row>
      <xdr:rowOff>180975</xdr:rowOff>
    </xdr:from>
    <xdr:to>
      <xdr:col>33</xdr:col>
      <xdr:colOff>9525</xdr:colOff>
      <xdr:row>22</xdr:row>
      <xdr:rowOff>0</xdr:rowOff>
    </xdr:to>
    <xdr:graphicFrame macro="">
      <xdr:nvGraphicFramePr>
        <xdr:cNvPr id="5" name="SublimitCommercialAndIndustrial" descr="MA Commercial and Industrial Heating and Cooling sector MMTCO2e emissions from 1990-2023 also showing 2025 and 2030 sector sublimits.">
          <a:extLst>
            <a:ext uri="{FF2B5EF4-FFF2-40B4-BE49-F238E27FC236}">
              <a16:creationId xmlns:a16="http://schemas.microsoft.com/office/drawing/2014/main" id="{71413DD7-BED5-4A60-BBE0-4E9CC03B9B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33</xdr:col>
      <xdr:colOff>63501</xdr:colOff>
      <xdr:row>3</xdr:row>
      <xdr:rowOff>171450</xdr:rowOff>
    </xdr:from>
    <xdr:to>
      <xdr:col>40</xdr:col>
      <xdr:colOff>863601</xdr:colOff>
      <xdr:row>21</xdr:row>
      <xdr:rowOff>190500</xdr:rowOff>
    </xdr:to>
    <xdr:graphicFrame macro="">
      <xdr:nvGraphicFramePr>
        <xdr:cNvPr id="6" name="SublimitNaturalGas" descr="MA Natural Gas System sector MMTCO2e emissions from 1990-2023 also showing 2025 and 2030 sector sublimits.">
          <a:extLst>
            <a:ext uri="{FF2B5EF4-FFF2-40B4-BE49-F238E27FC236}">
              <a16:creationId xmlns:a16="http://schemas.microsoft.com/office/drawing/2014/main" id="{DAB985B4-5053-4B98-9B4C-D7C7C774F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41</xdr:col>
      <xdr:colOff>6349</xdr:colOff>
      <xdr:row>4</xdr:row>
      <xdr:rowOff>0</xdr:rowOff>
    </xdr:from>
    <xdr:to>
      <xdr:col>49</xdr:col>
      <xdr:colOff>638607</xdr:colOff>
      <xdr:row>21</xdr:row>
      <xdr:rowOff>139700</xdr:rowOff>
    </xdr:to>
    <xdr:graphicFrame macro="">
      <xdr:nvGraphicFramePr>
        <xdr:cNvPr id="7" name="SublimitIndustrialProcesses" descr="MA Industrial Processes sector MMTCO2e emissions from 1990-2023 also showing 2025 and 2030 sector sublimits.">
          <a:extLst>
            <a:ext uri="{FF2B5EF4-FFF2-40B4-BE49-F238E27FC236}">
              <a16:creationId xmlns:a16="http://schemas.microsoft.com/office/drawing/2014/main" id="{653B269B-D1F5-4636-9C44-FDEDE1AF1D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9</xdr:col>
      <xdr:colOff>0</xdr:colOff>
      <xdr:row>3</xdr:row>
      <xdr:rowOff>200024</xdr:rowOff>
    </xdr:from>
    <xdr:to>
      <xdr:col>16</xdr:col>
      <xdr:colOff>821798</xdr:colOff>
      <xdr:row>20</xdr:row>
      <xdr:rowOff>66674</xdr:rowOff>
    </xdr:to>
    <xdr:graphicFrame macro="">
      <xdr:nvGraphicFramePr>
        <xdr:cNvPr id="10" name="CO2TransportationMajorFuelTypes" descr="CO2 emissions from MA Transportation sector by major fuel type for 1991-2023 showing total, motor gas, distillate fuel jet fuel and (kerosene) and jet fuel (naptha) 1990-1998 only.">
          <a:extLst>
            <a:ext uri="{FF2B5EF4-FFF2-40B4-BE49-F238E27FC236}">
              <a16:creationId xmlns:a16="http://schemas.microsoft.com/office/drawing/2014/main" id="{35EFB9BF-3218-416C-BA79-DDE6182B15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4</xdr:row>
      <xdr:rowOff>0</xdr:rowOff>
    </xdr:from>
    <xdr:to>
      <xdr:col>24</xdr:col>
      <xdr:colOff>666750</xdr:colOff>
      <xdr:row>20</xdr:row>
      <xdr:rowOff>121949</xdr:rowOff>
    </xdr:to>
    <xdr:graphicFrame macro="">
      <xdr:nvGraphicFramePr>
        <xdr:cNvPr id="11" name="CO2TransportationMinorFuelTypes" descr="CO2 emissions from MA Transportation sector by minor fuel type for 1991-2023 showing lubricants, residual fuel, aviation gas, hydrocarbon gas liquids and natural gas..">
          <a:extLst>
            <a:ext uri="{FF2B5EF4-FFF2-40B4-BE49-F238E27FC236}">
              <a16:creationId xmlns:a16="http://schemas.microsoft.com/office/drawing/2014/main" id="{062DC90D-3CC4-4AC0-92A8-42C20BD91C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0</xdr:colOff>
      <xdr:row>4</xdr:row>
      <xdr:rowOff>0</xdr:rowOff>
    </xdr:from>
    <xdr:to>
      <xdr:col>32</xdr:col>
      <xdr:colOff>815414</xdr:colOff>
      <xdr:row>23</xdr:row>
      <xdr:rowOff>79189</xdr:rowOff>
    </xdr:to>
    <xdr:graphicFrame macro="">
      <xdr:nvGraphicFramePr>
        <xdr:cNvPr id="12" name="CO2ResidentialbyFuelType" descr="CO2 emissions from MA Residential sector by fuel type for 1991-2023 showing total, natural gas., distillate fuel, hydrocarbon gas liquids, kerosene, and coal.">
          <a:extLst>
            <a:ext uri="{FF2B5EF4-FFF2-40B4-BE49-F238E27FC236}">
              <a16:creationId xmlns:a16="http://schemas.microsoft.com/office/drawing/2014/main" id="{4EC9E92F-4DA0-4C8F-AAEB-3CE1176834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1</xdr:colOff>
      <xdr:row>4</xdr:row>
      <xdr:rowOff>0</xdr:rowOff>
    </xdr:from>
    <xdr:to>
      <xdr:col>40</xdr:col>
      <xdr:colOff>847726</xdr:colOff>
      <xdr:row>30</xdr:row>
      <xdr:rowOff>139743</xdr:rowOff>
    </xdr:to>
    <xdr:graphicFrame macro="">
      <xdr:nvGraphicFramePr>
        <xdr:cNvPr id="13" name="CO2CommercialbyFuelType" descr="CO2 emissions from MA Commercial sector by fuel type for 1991-2023 showing total, natural gas., distillate fuel, motor gas, hydrocarbon gas liquids, residual fuel, kerosene, and coal.">
          <a:extLst>
            <a:ext uri="{FF2B5EF4-FFF2-40B4-BE49-F238E27FC236}">
              <a16:creationId xmlns:a16="http://schemas.microsoft.com/office/drawing/2014/main" id="{9581E2C6-347C-48A3-9A2E-826B6168F1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41</xdr:col>
      <xdr:colOff>0</xdr:colOff>
      <xdr:row>4</xdr:row>
      <xdr:rowOff>0</xdr:rowOff>
    </xdr:from>
    <xdr:to>
      <xdr:col>53</xdr:col>
      <xdr:colOff>639295</xdr:colOff>
      <xdr:row>39</xdr:row>
      <xdr:rowOff>26992</xdr:rowOff>
    </xdr:to>
    <xdr:graphicFrame macro="">
      <xdr:nvGraphicFramePr>
        <xdr:cNvPr id="14" name="CO2IndustrialByFuelType" descr="CO2 emissions from MA Industrial sector by fuel type for 1991-2023 showing total, natural gas., distillate fuel, motor gas, residual fuel, coking coal, and 15 other minor fuel types">
          <a:extLst>
            <a:ext uri="{FF2B5EF4-FFF2-40B4-BE49-F238E27FC236}">
              <a16:creationId xmlns:a16="http://schemas.microsoft.com/office/drawing/2014/main" id="{6E36E6B6-269D-488C-81EB-14343D8B9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22</xdr:row>
      <xdr:rowOff>0</xdr:rowOff>
    </xdr:from>
    <xdr:to>
      <xdr:col>11</xdr:col>
      <xdr:colOff>9525</xdr:colOff>
      <xdr:row>42</xdr:row>
      <xdr:rowOff>143441</xdr:rowOff>
    </xdr:to>
    <xdr:graphicFrame macro="">
      <xdr:nvGraphicFramePr>
        <xdr:cNvPr id="15" name="CO2FuelCombustionBySector" descr="Fuel combustion CO2 emissions from MA by sector for 1991-2023 showing transportation, residential, commercial, in-state electric power, and industrial.">
          <a:extLst>
            <a:ext uri="{FF2B5EF4-FFF2-40B4-BE49-F238E27FC236}">
              <a16:creationId xmlns:a16="http://schemas.microsoft.com/office/drawing/2014/main" id="{4E068F3B-B710-4C13-96E1-FE7EECB265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0</xdr:colOff>
      <xdr:row>22</xdr:row>
      <xdr:rowOff>0</xdr:rowOff>
    </xdr:from>
    <xdr:to>
      <xdr:col>21</xdr:col>
      <xdr:colOff>434975</xdr:colOff>
      <xdr:row>42</xdr:row>
      <xdr:rowOff>140266</xdr:rowOff>
    </xdr:to>
    <xdr:graphicFrame macro="">
      <xdr:nvGraphicFramePr>
        <xdr:cNvPr id="3" name="CO2FuelCombTotalandSectors" descr="Fuel combustion CO2 emissions from MA by sector for 1991-2023 showing transportation, residential, commercial, in-state electric power, and industrial.">
          <a:extLst>
            <a:ext uri="{FF2B5EF4-FFF2-40B4-BE49-F238E27FC236}">
              <a16:creationId xmlns:a16="http://schemas.microsoft.com/office/drawing/2014/main" id="{F22E6FFA-D83C-4BD5-B3DD-FE13C58696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25405</xdr:colOff>
      <xdr:row>4</xdr:row>
      <xdr:rowOff>47623</xdr:rowOff>
    </xdr:from>
    <xdr:to>
      <xdr:col>8</xdr:col>
      <xdr:colOff>800100</xdr:colOff>
      <xdr:row>20</xdr:row>
      <xdr:rowOff>142874</xdr:rowOff>
    </xdr:to>
    <xdr:graphicFrame macro="">
      <xdr:nvGraphicFramePr>
        <xdr:cNvPr id="2" name="CO2FromInStatePowerPlants" descr="CO2 emissions from MA in-state power plants by fuel type for 1991-2023 showing total, natural gas, coal, distillate fuel and residual fuel.">
          <a:extLst>
            <a:ext uri="{FF2B5EF4-FFF2-40B4-BE49-F238E27FC236}">
              <a16:creationId xmlns:a16="http://schemas.microsoft.com/office/drawing/2014/main" id="{4BAF67F3-6B42-655C-65F9-E8E025A182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11</xdr:col>
      <xdr:colOff>619125</xdr:colOff>
      <xdr:row>20</xdr:row>
      <xdr:rowOff>228599</xdr:rowOff>
    </xdr:to>
    <xdr:graphicFrame macro="">
      <xdr:nvGraphicFramePr>
        <xdr:cNvPr id="4" name="CH4andN2OStationaryCombustion" descr="MA CH4 and N2O emissions from Stationary Combustion for 1991-2023 showing total and residential, commercial, electric power and industrial sectors.">
          <a:extLst>
            <a:ext uri="{FF2B5EF4-FFF2-40B4-BE49-F238E27FC236}">
              <a16:creationId xmlns:a16="http://schemas.microsoft.com/office/drawing/2014/main" id="{8595937F-B7AA-4810-B511-CE1F421DB6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4</xdr:row>
      <xdr:rowOff>0</xdr:rowOff>
    </xdr:from>
    <xdr:to>
      <xdr:col>24</xdr:col>
      <xdr:colOff>485630</xdr:colOff>
      <xdr:row>20</xdr:row>
      <xdr:rowOff>220374</xdr:rowOff>
    </xdr:to>
    <xdr:graphicFrame macro="">
      <xdr:nvGraphicFramePr>
        <xdr:cNvPr id="5" name="CH4andN2OMobileandTotalFuelCOmb" descr="MA CH4 and N2O emissions from Transportation and Stationary Combustion for 1991-2023.">
          <a:extLst>
            <a:ext uri="{FF2B5EF4-FFF2-40B4-BE49-F238E27FC236}">
              <a16:creationId xmlns:a16="http://schemas.microsoft.com/office/drawing/2014/main" id="{30EFBB82-B3E7-483A-825D-2E58506F75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7ACC60D-549B-48E3-8A43-838B9CDAFE7A}" name="ContentsOrderofWorksheets" displayName="ContentsOrderofWorksheets" ref="A22:B43" totalsRowShown="0" headerRowDxfId="5311">
  <autoFilter ref="A22:B43" xr:uid="{37ACC60D-549B-48E3-8A43-838B9CDAFE7A}">
    <filterColumn colId="0" hiddenButton="1"/>
    <filterColumn colId="1" hiddenButton="1"/>
  </autoFilter>
  <tableColumns count="2">
    <tableColumn id="1" xr3:uid="{977B7B1D-83D0-4791-A6E8-7BF49DE00750}" name="Order of Worksheets and links" dataDxfId="5310" dataCellStyle="Hyperlink"/>
    <tableColumn id="2" xr3:uid="{76D70204-4EE9-4028-9C67-FD41AF42B0F4}" name="Information on Worksheet" dataDxfId="5309"/>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A724069A-C0D6-4EB5-BB2A-E39040EB6304}" name="MAAdjustableEmissionsByGas" displayName="MAAdjustableEmissionsByGas" ref="A61:AI69" totalsRowShown="0" headerRowDxfId="5208" dataDxfId="5206" headerRowBorderDxfId="5207">
  <autoFilter ref="A61:AI69" xr:uid="{A724069A-C0D6-4EB5-BB2A-E39040EB630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5324806B-CB2F-4F5C-8F63-8AEF273C3264}" name="Gas" dataDxfId="5205"/>
    <tableColumn id="2" xr3:uid="{C386F816-CA65-4114-8100-99447D5B9442}" name="1990" dataDxfId="5204"/>
    <tableColumn id="3" xr3:uid="{69614D15-74E9-447D-AA9D-9DAD2A125220}" name="1991" dataDxfId="5203"/>
    <tableColumn id="4" xr3:uid="{ABD86BD3-4B2C-49E2-85B0-9ED3E0B1C6A0}" name="1992" dataDxfId="5202"/>
    <tableColumn id="5" xr3:uid="{0B959EDC-ABDE-448C-A015-2B5078256C8E}" name="1993" dataDxfId="5201"/>
    <tableColumn id="6" xr3:uid="{347B16A5-25BC-4BCC-BDFB-B7D8A5C6A0E3}" name="1994" dataDxfId="5200"/>
    <tableColumn id="7" xr3:uid="{E05EDF43-B798-4B77-8DA2-86A54429574D}" name="1995" dataDxfId="5199"/>
    <tableColumn id="8" xr3:uid="{DEFAE769-FCE2-4C40-855D-5CD352A06FA9}" name="1996" dataDxfId="5198"/>
    <tableColumn id="9" xr3:uid="{07CBE398-DA7D-4D1B-B4AE-1D80B367E9C6}" name="1997" dataDxfId="5197"/>
    <tableColumn id="10" xr3:uid="{99BCCF81-C7EC-47DA-A8A3-C85C0AA2CCC8}" name="1998" dataDxfId="5196"/>
    <tableColumn id="11" xr3:uid="{E873E8BB-5AA5-4E71-89ED-66470F98BAAB}" name="1999" dataDxfId="5195"/>
    <tableColumn id="12" xr3:uid="{0100A584-4AEB-4E9C-BDB3-930732BA1B7F}" name="2000" dataDxfId="5194"/>
    <tableColumn id="13" xr3:uid="{F7F7B3EC-A856-4CE2-8857-6D57815B81B4}" name="2001" dataDxfId="5193"/>
    <tableColumn id="14" xr3:uid="{658EF25D-E79D-4E97-A131-51724EB10759}" name="2002" dataDxfId="5192"/>
    <tableColumn id="15" xr3:uid="{80D18D60-694B-43DA-B9DF-A26F12322916}" name="2003" dataDxfId="5191"/>
    <tableColumn id="16" xr3:uid="{95BFC7FD-F6A7-4D03-8F81-00CD1DEE7EEF}" name="2004" dataDxfId="5190"/>
    <tableColumn id="17" xr3:uid="{6AA60BA2-630A-4E60-AF5A-5262F8C0F0A5}" name="2005" dataDxfId="5189"/>
    <tableColumn id="18" xr3:uid="{ED96FF2A-5060-4414-9AB5-2B72758ED595}" name="2006" dataDxfId="5188"/>
    <tableColumn id="19" xr3:uid="{CFEBCAD5-3653-4ACC-971E-711203E18F5A}" name="2007" dataDxfId="5187"/>
    <tableColumn id="20" xr3:uid="{1CF33CEB-8CF5-4779-B0F6-678B9955B72D}" name="2008" dataDxfId="5186"/>
    <tableColumn id="21" xr3:uid="{9AA48C2E-DCAE-458B-B7E5-4FE2CA62FFEA}" name="2009" dataDxfId="5185"/>
    <tableColumn id="22" xr3:uid="{A0210F17-D2C9-4FF2-8B89-C5C360484287}" name="2010" dataDxfId="5184"/>
    <tableColumn id="23" xr3:uid="{2A98F6C2-29ED-4E7B-8C13-10F9E95C2C59}" name="2011" dataDxfId="5183"/>
    <tableColumn id="24" xr3:uid="{1E805955-4BEB-420D-B2A3-7100148F7349}" name="2012" dataDxfId="5182"/>
    <tableColumn id="25" xr3:uid="{5EA790C0-C97B-462D-9726-A5D956D76519}" name="2013" dataDxfId="5181"/>
    <tableColumn id="26" xr3:uid="{725776C3-533D-467E-9DA0-11CCF211DA49}" name="2014" dataDxfId="5180"/>
    <tableColumn id="27" xr3:uid="{4B37AB22-2C8A-4FA7-BD55-6F7B2C4458C3}" name="2015" dataDxfId="5179"/>
    <tableColumn id="28" xr3:uid="{642FB160-6868-4060-A8E0-0C8278F6B8AF}" name="2016" dataDxfId="5178"/>
    <tableColumn id="29" xr3:uid="{BC330F66-7362-4D22-AE01-53828EAD4859}" name="2017" dataDxfId="5177"/>
    <tableColumn id="30" xr3:uid="{7A21068C-FD4F-49CF-9D1C-C430DD08D28B}" name="2018" dataDxfId="5176"/>
    <tableColumn id="31" xr3:uid="{24759D11-C3C5-4963-BA09-90327388A6E1}" name="2019" dataDxfId="5175"/>
    <tableColumn id="32" xr3:uid="{AADAAE1A-8AC0-4222-AE1C-4B89DFC84259}" name="2020" dataDxfId="5174"/>
    <tableColumn id="33" xr3:uid="{E368C57D-7704-4BAF-A484-3345BEDA8E63}" name="2021" dataDxfId="5173"/>
    <tableColumn id="34" xr3:uid="{D87ADBFD-89C0-462B-BD5E-81A2BB5CD4CB}" name="2022" dataDxfId="5172"/>
    <tableColumn id="35" xr3:uid="{AC78697B-0F2B-4E8C-8736-E7E59910CC68}" name="2023" dataDxfId="5171"/>
  </tableColumns>
  <tableStyleInfo name="TableStyleMedium1"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9" xr:uid="{F81DC453-5BAD-4172-B4F8-3C5D60DE4657}" name="NaturalGasSystemEmissionsMMTCO2e" displayName="NaturalGasSystemEmissionsMMTCO2e" ref="A57:AJ62" totalsRowShown="0" headerRowDxfId="2366" dataDxfId="2364" headerRowBorderDxfId="2365" tableBorderDxfId="2363" headerRowCellStyle="Normal_Coal Module_7.23" dataCellStyle="Comma">
  <autoFilter ref="A57:AJ62" xr:uid="{F81DC453-5BAD-4172-B4F8-3C5D60DE465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E1A331A2-B8A3-4C80-8663-D0B922E3842F}" name="Segment" dataDxfId="2362" dataCellStyle="Normal_Coal Module_7.23"/>
    <tableColumn id="2" xr3:uid="{1251EB0C-2748-4A0E-828E-7762AA7DB8EA}" name="Units" dataDxfId="2361" dataCellStyle="Normal_Coal Module_7.23"/>
    <tableColumn id="3" xr3:uid="{9A8D9A6D-86DE-41F9-A720-E13CA91DCE4E}" name="1990" dataDxfId="2360" dataCellStyle="Comma"/>
    <tableColumn id="4" xr3:uid="{EB69F450-AC3B-43DD-921C-8A45AD898962}" name="1991" dataDxfId="2359" dataCellStyle="Comma"/>
    <tableColumn id="5" xr3:uid="{04FC19FE-4C11-4E15-BDAE-4FFBD70A0ABA}" name="1992" dataDxfId="2358" dataCellStyle="Comma"/>
    <tableColumn id="6" xr3:uid="{E7CAA740-9FED-435E-BB9E-E20B4D5C77BE}" name="1993" dataDxfId="2357" dataCellStyle="Comma"/>
    <tableColumn id="7" xr3:uid="{81B9C58A-F7E8-4AB0-8B9B-48B8D6F058BE}" name="1994" dataDxfId="2356" dataCellStyle="Comma"/>
    <tableColumn id="8" xr3:uid="{53B75EFD-87FC-4E40-8146-9B7E5185906D}" name="1995" dataDxfId="2355" dataCellStyle="Comma"/>
    <tableColumn id="9" xr3:uid="{19B103C5-70D4-4372-9683-89B884EE8445}" name="1996" dataDxfId="2354" dataCellStyle="Comma"/>
    <tableColumn id="10" xr3:uid="{1541005C-94BA-4785-8184-D6A664C15F05}" name="1997" dataDxfId="2353" dataCellStyle="Comma"/>
    <tableColumn id="11" xr3:uid="{8C9F6B1B-EA8C-489B-862D-CDB5D10ACF20}" name="1998" dataDxfId="2352" dataCellStyle="Comma"/>
    <tableColumn id="12" xr3:uid="{88753183-81FC-4048-8A6E-07508D4E93C6}" name="1999" dataDxfId="2351" dataCellStyle="Comma"/>
    <tableColumn id="13" xr3:uid="{56D8E797-B7DB-417E-A6F4-64780124929A}" name="2000" dataDxfId="2350" dataCellStyle="Comma"/>
    <tableColumn id="14" xr3:uid="{A1D24925-CD1C-40BE-9E70-9E66F2BCFDE6}" name="2001" dataDxfId="2349" dataCellStyle="Comma"/>
    <tableColumn id="15" xr3:uid="{D1990CCB-1C6F-4D7A-9A65-D191C9ACD136}" name="2002" dataDxfId="2348" dataCellStyle="Comma"/>
    <tableColumn id="16" xr3:uid="{E0FF865B-9DF1-47BB-A4C8-5F2DCB246CE6}" name="2003" dataDxfId="2347" dataCellStyle="Comma"/>
    <tableColumn id="17" xr3:uid="{92229E90-00E4-4F54-B62D-9E9F0736C16E}" name="2004" dataDxfId="2346" dataCellStyle="Comma"/>
    <tableColumn id="18" xr3:uid="{F7314E9A-22CA-43A0-8F55-B2949F6A76C6}" name="2005" dataDxfId="2345" dataCellStyle="Comma"/>
    <tableColumn id="19" xr3:uid="{7383D16F-4AB1-4E9A-ADC1-9235B0FA9308}" name="2006" dataDxfId="2344" dataCellStyle="Comma"/>
    <tableColumn id="20" xr3:uid="{438EE17D-13FA-496C-A80F-36FAD9EDB24F}" name="2007" dataDxfId="2343" dataCellStyle="Comma"/>
    <tableColumn id="21" xr3:uid="{B8BAFA71-1D74-4EC7-9680-EA995FAF3D3A}" name="2008" dataDxfId="2342" dataCellStyle="Comma"/>
    <tableColumn id="22" xr3:uid="{13BEC6FE-8EC0-495F-869B-A87C52003FE9}" name="2009" dataDxfId="2341" dataCellStyle="Comma"/>
    <tableColumn id="23" xr3:uid="{1C1C52F3-44E6-4600-9D6C-DDCF6A087D45}" name="2010" dataDxfId="2340" dataCellStyle="Comma"/>
    <tableColumn id="24" xr3:uid="{FD972FBD-C6A9-43E9-9B50-68DCC0B5857F}" name="2011" dataDxfId="2339" dataCellStyle="Comma"/>
    <tableColumn id="25" xr3:uid="{F0A9371E-1E4F-4F6D-A1E4-A00FE015E2DC}" name="2012" dataDxfId="2338" dataCellStyle="Comma"/>
    <tableColumn id="26" xr3:uid="{3459AA9B-A08E-4F26-85BB-B1004EE1F8EB}" name="2013" dataDxfId="2337" dataCellStyle="Comma"/>
    <tableColumn id="27" xr3:uid="{065C2AD8-006D-4774-B49E-1A5BF533F4C1}" name="2014" dataDxfId="2336" dataCellStyle="Comma"/>
    <tableColumn id="28" xr3:uid="{88A6CE51-2E77-437A-83C9-269729197E6A}" name="2015" dataDxfId="2335" dataCellStyle="Comma"/>
    <tableColumn id="29" xr3:uid="{278DE724-A22B-4BC2-81E3-C9FBB0B260DB}" name="2016" dataDxfId="2334" dataCellStyle="Comma"/>
    <tableColumn id="30" xr3:uid="{8C9EC4A7-F37B-4CA6-913C-EFBD848F23F4}" name="2017" dataDxfId="2333" dataCellStyle="Comma"/>
    <tableColumn id="31" xr3:uid="{664E7CAD-AFE5-435A-ACC7-B61019EAA066}" name="2018" dataDxfId="2332" dataCellStyle="Comma"/>
    <tableColumn id="32" xr3:uid="{AE177BFF-8364-4E0A-9A6A-AD3DFB0826E9}" name="2019" dataDxfId="2331" dataCellStyle="Comma"/>
    <tableColumn id="33" xr3:uid="{ED594A60-E1ED-4974-BCFE-EEFCC4F4E647}" name="2020" dataDxfId="2330" dataCellStyle="Comma"/>
    <tableColumn id="34" xr3:uid="{1D95F228-0923-49FA-AA5A-2236A7B2CD27}" name="2021" dataDxfId="2329" dataCellStyle="Comma"/>
    <tableColumn id="35" xr3:uid="{D34A0B0A-86FE-4461-A37D-C78D652ACF40}" name="2022" dataDxfId="2328" dataCellStyle="Comma"/>
    <tableColumn id="36" xr3:uid="{5133E47F-4E21-49A6-80B5-22E592298778}" name="2023" dataDxfId="2327" dataCellStyle="Comma"/>
  </tableColumns>
  <tableStyleInfo name="TableStyleLight1"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0" xr:uid="{29BC9E38-9D00-4436-8E7D-8D2F036D6C3F}" name="NaturalGasSystemEmissionsMTCH4" displayName="NaturalGasSystemEmissionsMTCH4" ref="A65:AJ70" totalsRowShown="0" headerRowDxfId="2326" headerRowBorderDxfId="2325" tableBorderDxfId="2324" headerRowCellStyle="Normal_Coal Module_7.23">
  <autoFilter ref="A65:AJ70" xr:uid="{29BC9E38-9D00-4436-8E7D-8D2F036D6C3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4A88CBFA-B1B6-4A0E-837D-C3BD409D181C}" name="Segment" dataDxfId="2323"/>
    <tableColumn id="2" xr3:uid="{08637647-1D3B-4C7F-8C84-05559807044C}" name="Units" dataDxfId="2322" dataCellStyle="Normal_Coal Module_7.23"/>
    <tableColumn id="3" xr3:uid="{66F2B759-A4D0-40D1-9A82-B6E6033FF855}" name="1990"/>
    <tableColumn id="4" xr3:uid="{69F37085-5A50-441E-B59D-8639D4F665D2}" name="1991"/>
    <tableColumn id="5" xr3:uid="{9393A878-A740-440C-9E6D-8714D3BCA04C}" name="1992"/>
    <tableColumn id="6" xr3:uid="{1CF41909-9990-42DB-AA32-8B9BAF961C66}" name="1993"/>
    <tableColumn id="7" xr3:uid="{A84050D2-74FB-4220-963E-7A3321672AE3}" name="1994"/>
    <tableColumn id="8" xr3:uid="{B567DB6F-7750-4650-84B8-6EBDFDF84911}" name="1995"/>
    <tableColumn id="9" xr3:uid="{661B5307-18F1-42D1-938B-3D484C6A0D1E}" name="1996"/>
    <tableColumn id="10" xr3:uid="{38658235-22DC-453B-BD55-945DB2BBCD6B}" name="1997"/>
    <tableColumn id="11" xr3:uid="{C7623D98-23C2-4A7C-AC3F-EB986FA34E2A}" name="1998"/>
    <tableColumn id="12" xr3:uid="{2E90932A-BA83-4E55-B9D0-DDBE2BBCE01E}" name="1999"/>
    <tableColumn id="13" xr3:uid="{0092BABA-3F85-4B09-88EF-2A30B99B1671}" name="2000"/>
    <tableColumn id="14" xr3:uid="{1DFE4273-93BE-4A09-A0C8-CCC065F5494B}" name="2001"/>
    <tableColumn id="15" xr3:uid="{E2BE68C1-B1CA-4E38-80A2-44B93202CD49}" name="2002"/>
    <tableColumn id="16" xr3:uid="{027F25E7-C1F7-4092-9F57-F3048A0B1622}" name="2003"/>
    <tableColumn id="17" xr3:uid="{4161235F-4760-4E13-8EB9-5594FD9D72A4}" name="2004"/>
    <tableColumn id="18" xr3:uid="{9B14B345-7B50-4BD6-9CC0-6FF4546450F3}" name="2005"/>
    <tableColumn id="19" xr3:uid="{0DD085AF-B573-4606-A889-8957E2091F9B}" name="2006"/>
    <tableColumn id="20" xr3:uid="{B15AEF60-F382-497A-B0AE-2AF36CD03961}" name="2007"/>
    <tableColumn id="21" xr3:uid="{F42B7DE4-6011-4789-883A-304850CE47C2}" name="2008"/>
    <tableColumn id="22" xr3:uid="{47E2BD02-3E0C-40F9-A827-B59D33C24CBB}" name="2009"/>
    <tableColumn id="23" xr3:uid="{C6A39831-C7BD-48E9-A59E-84C41BED069F}" name="2010"/>
    <tableColumn id="24" xr3:uid="{FDB9B57B-7992-44B1-9333-136A79D07C31}" name="2011"/>
    <tableColumn id="25" xr3:uid="{410E5BE6-CFD4-4DF2-A6D9-9AB591F15FA1}" name="2012"/>
    <tableColumn id="26" xr3:uid="{AAA3625B-5A89-42B2-9E5B-5A3AABE8610A}" name="2013"/>
    <tableColumn id="27" xr3:uid="{7517E90C-1BCE-4A10-B145-C5AE2D94B68B}" name="2014"/>
    <tableColumn id="28" xr3:uid="{06C4A495-481A-44AA-901F-AE8CAD1B43DE}" name="2015"/>
    <tableColumn id="29" xr3:uid="{16CAEF6A-53EA-464A-8E7F-C6AA3D9D1DEE}" name="2016"/>
    <tableColumn id="30" xr3:uid="{E132241A-FAC3-4EB6-BB04-CB3F6CFDAD36}" name="2017"/>
    <tableColumn id="31" xr3:uid="{3C4C2895-1A5F-4F64-94AC-04D164AB88B5}" name="2018"/>
    <tableColumn id="32" xr3:uid="{84F1194F-D849-4296-9752-595140C89BBB}" name="2019"/>
    <tableColumn id="33" xr3:uid="{923C08DF-9261-49D4-A422-51547F5573A4}" name="2020"/>
    <tableColumn id="34" xr3:uid="{0D706E80-EB58-4D80-9482-67FC486B49A9}" name="2021"/>
    <tableColumn id="35" xr3:uid="{BEE98117-4BB6-4ACB-8EA3-B430C4D4A4D1}" name="2022"/>
    <tableColumn id="36" xr3:uid="{C2168FD0-8C2C-45A5-9E39-47A29995F178}" name="2023"/>
  </tableColumns>
  <tableStyleInfo name="TableStyleLight1"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1" xr:uid="{AE225B96-E0D6-4BC2-B659-D3D8C9078F27}" name="NaturalGasSystemEmissionsMTCO2" displayName="NaturalGasSystemEmissionsMTCO2" ref="A73:AJ78" totalsRowShown="0" headerRowDxfId="2321" dataDxfId="2319" headerRowBorderDxfId="2320" tableBorderDxfId="2318" headerRowCellStyle="Normal_Coal Module_7.23" dataCellStyle="Comma">
  <autoFilter ref="A73:AJ78" xr:uid="{AE225B96-E0D6-4BC2-B659-D3D8C9078F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E0036CCC-0671-4263-857C-25605D76A46D}" name="Segment" dataDxfId="2317"/>
    <tableColumn id="2" xr3:uid="{18FEA491-2ED3-4455-9C38-9798FF101691}" name="Units" dataDxfId="2316"/>
    <tableColumn id="3" xr3:uid="{F1435344-BD48-4FDE-B1D4-8CB5334B25F7}" name="1990" dataDxfId="2315" dataCellStyle="Comma"/>
    <tableColumn id="4" xr3:uid="{CAFD6DCD-6F29-4279-8105-153AE33E3052}" name="1991" dataDxfId="2314" dataCellStyle="Comma"/>
    <tableColumn id="5" xr3:uid="{EA5D9A27-59B8-4E4B-BF63-4A73B84787F0}" name="1992" dataDxfId="2313" dataCellStyle="Comma"/>
    <tableColumn id="6" xr3:uid="{76B20B52-D61A-4664-8ED5-D68635584EE5}" name="1993" dataDxfId="2312" dataCellStyle="Comma"/>
    <tableColumn id="7" xr3:uid="{2BECE588-2579-40EC-A4EF-B0A0981C0E30}" name="1994" dataDxfId="2311" dataCellStyle="Comma"/>
    <tableColumn id="8" xr3:uid="{645CB239-BDE9-44AE-9287-67310EFB2D79}" name="1995" dataDxfId="2310" dataCellStyle="Comma"/>
    <tableColumn id="9" xr3:uid="{631501FC-B5F7-4A9A-BE29-963EE66D033F}" name="1996" dataDxfId="2309" dataCellStyle="Comma"/>
    <tableColumn id="10" xr3:uid="{469E920F-DFA0-4C0F-84B1-FB4FEF531E28}" name="1997" dataDxfId="2308" dataCellStyle="Comma"/>
    <tableColumn id="11" xr3:uid="{6B48F873-44B5-432B-A5AD-B5D049517122}" name="1998" dataDxfId="2307" dataCellStyle="Comma"/>
    <tableColumn id="12" xr3:uid="{281ABEB0-0F65-4067-9A83-F160FD54C906}" name="1999" dataDxfId="2306" dataCellStyle="Comma"/>
    <tableColumn id="13" xr3:uid="{1619C702-91E0-4775-9656-BE5D90233F17}" name="2000" dataDxfId="2305" dataCellStyle="Comma"/>
    <tableColumn id="14" xr3:uid="{A5EA62C4-B154-41CF-A46B-B7BA712FCFB5}" name="2001" dataDxfId="2304" dataCellStyle="Comma"/>
    <tableColumn id="15" xr3:uid="{4F29AFBE-9882-4764-822B-A02F576900DA}" name="2002" dataDxfId="2303" dataCellStyle="Comma"/>
    <tableColumn id="16" xr3:uid="{BF5184AC-925D-4D0F-9565-7952D830F46A}" name="2003" dataDxfId="2302" dataCellStyle="Comma"/>
    <tableColumn id="17" xr3:uid="{CE7EB393-2903-4A1C-901C-578CEEBF1E1B}" name="2004" dataDxfId="2301" dataCellStyle="Comma"/>
    <tableColumn id="18" xr3:uid="{A16C28CB-89D9-4286-BE85-A4879C3B27C1}" name="2005" dataDxfId="2300" dataCellStyle="Comma"/>
    <tableColumn id="19" xr3:uid="{AD870620-CFD0-4C9C-BBA4-768C07595CE5}" name="2006" dataDxfId="2299" dataCellStyle="Comma"/>
    <tableColumn id="20" xr3:uid="{A646BA42-34D7-46A4-80E1-5EC1D8C3E93F}" name="2007" dataDxfId="2298" dataCellStyle="Comma"/>
    <tableColumn id="21" xr3:uid="{4297E4AE-A739-4351-99A7-338872FD524C}" name="2008" dataDxfId="2297" dataCellStyle="Comma"/>
    <tableColumn id="22" xr3:uid="{55C6A7E2-EB68-45FB-9B75-5212B3F77415}" name="2009" dataDxfId="2296" dataCellStyle="Comma"/>
    <tableColumn id="23" xr3:uid="{6A451F48-4AC6-4CA0-88E3-DAB4FB0BF92C}" name="2010" dataDxfId="2295" dataCellStyle="Comma"/>
    <tableColumn id="24" xr3:uid="{97D94A70-0126-42C0-96B5-93747A4B23D8}" name="2011" dataDxfId="2294" dataCellStyle="Comma"/>
    <tableColumn id="25" xr3:uid="{B156937B-B795-47E2-A398-6CC41868965A}" name="2012" dataDxfId="2293" dataCellStyle="Comma"/>
    <tableColumn id="26" xr3:uid="{D1496234-1267-4FF9-8362-6C67900241C8}" name="2013" dataDxfId="2292" dataCellStyle="Comma"/>
    <tableColumn id="27" xr3:uid="{7D55F30F-A4F3-4CAE-8DDE-350D8F2918D7}" name="2014" dataDxfId="2291" dataCellStyle="Comma"/>
    <tableColumn id="28" xr3:uid="{2E4A6406-A621-4A0F-9AC1-4CFB1BFB3E98}" name="2015" dataDxfId="2290" dataCellStyle="Comma"/>
    <tableColumn id="29" xr3:uid="{5D81A13B-5B98-4905-987D-DCD47602E627}" name="2016" dataDxfId="2289" dataCellStyle="Comma"/>
    <tableColumn id="30" xr3:uid="{B0AB4A79-0414-43F1-AC93-F269B8C9156F}" name="2017" dataDxfId="2288" dataCellStyle="Comma"/>
    <tableColumn id="31" xr3:uid="{D18903B3-CE37-456F-ACF9-E7125EDC88E5}" name="2018" dataDxfId="2287" dataCellStyle="Comma"/>
    <tableColumn id="32" xr3:uid="{1AF1323D-A7EE-48C4-88B6-3D69912BF54C}" name="2019" dataDxfId="2286" dataCellStyle="Comma"/>
    <tableColumn id="33" xr3:uid="{C6DEA6BC-9753-48DD-B468-77C6EAB759BC}" name="2020" dataDxfId="2285" dataCellStyle="Comma"/>
    <tableColumn id="34" xr3:uid="{E7F80B26-4655-4491-9FA7-799412D70E5C}" name="2021" dataDxfId="2284" dataCellStyle="Comma"/>
    <tableColumn id="35" xr3:uid="{63DDD925-B0E5-4B12-8F25-4BA041989410}" name="2022" dataDxfId="2283" dataCellStyle="Comma"/>
    <tableColumn id="36" xr3:uid="{80BFBE26-B843-405A-B3DD-AB05DCA601CD}" name="2023" dataDxfId="2282" dataCellStyle="Comma"/>
  </tableColumns>
  <tableStyleInfo name="TableStyleLight1"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E7E3B39D-C99F-4206-A9F8-20C3D811DE4E}" name="NGIPCCAR4100YearGWPandConversionFactors" displayName="NGIPCCAR4100YearGWPandConversionFactors" ref="A539:B542" totalsRowShown="0" headerRowDxfId="2281" headerRowBorderDxfId="2280" tableBorderDxfId="2279">
  <autoFilter ref="A539:B542" xr:uid="{E7E3B39D-C99F-4206-A9F8-20C3D811DE4E}">
    <filterColumn colId="0" hiddenButton="1"/>
    <filterColumn colId="1" hiddenButton="1"/>
  </autoFilter>
  <tableColumns count="2">
    <tableColumn id="1" xr3:uid="{E015FDB2-3096-4289-942F-7DAE1639EFB6}" name="Item" dataDxfId="2278"/>
    <tableColumn id="2" xr3:uid="{E8802138-5D1E-4C32-9F83-C2D646192C3F}" name="Value" dataDxfId="2277"/>
  </tableColumns>
  <tableStyleInfo name="TableStyleLight1"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47874EA1-6BBB-4373-8E3A-9EE1AF8A5BF5}" name="DATAforNGDistributionandPostMeter" displayName="DATAforNGDistributionandPostMeter" ref="A82:D85" totalsRowShown="0" headerRowDxfId="2276" headerRowBorderDxfId="2275" tableBorderDxfId="2274">
  <autoFilter ref="A82:D85" xr:uid="{47874EA1-6BBB-4373-8E3A-9EE1AF8A5BF5}">
    <filterColumn colId="0" hiddenButton="1"/>
    <filterColumn colId="1" hiddenButton="1"/>
    <filterColumn colId="2" hiddenButton="1"/>
    <filterColumn colId="3" hiddenButton="1"/>
  </autoFilter>
  <tableColumns count="4">
    <tableColumn id="1" xr3:uid="{2F2B08CA-A6A5-4CD2-820D-57802AC65BAE}" name="Year(s)"/>
    <tableColumn id="2" xr3:uid="{67C438EF-3FB9-4E7D-91D9-CB08C7526282}" name="Data Source"/>
    <tableColumn id="3" xr3:uid="{06AEC22D-5F0C-41F8-A3D4-C036350BCC1A}" name="Version"/>
    <tableColumn id="4" xr3:uid="{1A702F35-C889-41B2-9332-5AED67243F4E}" name="Update Date"/>
  </tableColumns>
  <tableStyleInfo name="TableStyleLight1"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91A4C96C-253C-4213-8322-ABE974577FAD}" name="NGTransmissionMilesofPipeline" displayName="NGTransmissionMilesofPipeline" ref="A53:AJ55" totalsRowShown="0" headerRowDxfId="2273" dataDxfId="2272" tableBorderDxfId="2271">
  <autoFilter ref="A53:AJ55" xr:uid="{91A4C96C-253C-4213-8322-ABE974577FA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19C94902-8E88-4A3E-869B-989BACD3E619}" name="Pipeline (Transmission)" dataDxfId="2270"/>
    <tableColumn id="2" xr3:uid="{5743DB68-5E8B-49C6-9358-FD4B50298F89}" name="Units" dataDxfId="2269"/>
    <tableColumn id="3" xr3:uid="{0C662EE4-8643-4900-9B49-E11EDF547EF0}" name="1990" dataDxfId="2268"/>
    <tableColumn id="4" xr3:uid="{B20921A4-0A19-42A5-A945-361A0F4262B1}" name="1991" dataDxfId="2267"/>
    <tableColumn id="5" xr3:uid="{CDB9CB45-504B-4878-8D3F-B9DA8366A6B5}" name="1992" dataDxfId="2266"/>
    <tableColumn id="6" xr3:uid="{8F214A54-99FE-4E9E-BB9D-D17A25DBD48E}" name="1993" dataDxfId="2265"/>
    <tableColumn id="7" xr3:uid="{CA64BA34-3752-4B1E-9B4A-E4984DB4651C}" name="1994" dataDxfId="2264"/>
    <tableColumn id="8" xr3:uid="{3C2A499D-2202-4C44-956A-9E33E2E27042}" name="1995" dataDxfId="2263"/>
    <tableColumn id="9" xr3:uid="{8DB14136-6E90-4CA1-B765-A5E8BF838614}" name="1996" dataDxfId="2262"/>
    <tableColumn id="10" xr3:uid="{769B24FA-3F7B-4496-B2E2-16EC6E9D58B7}" name="1997" dataDxfId="2261"/>
    <tableColumn id="11" xr3:uid="{EC285BC5-1D11-479B-A0BE-EDDE403DE417}" name="1998" dataDxfId="2260"/>
    <tableColumn id="12" xr3:uid="{296F6FD8-0511-4588-B845-1DA163188AC3}" name="1999" dataDxfId="2259"/>
    <tableColumn id="13" xr3:uid="{3AF48B48-F03F-4F26-B716-0C70F26B6DCC}" name="2000" dataDxfId="2258"/>
    <tableColumn id="14" xr3:uid="{163DDD17-D4B0-4A54-B2FE-B94CA4BB155C}" name="2001" dataDxfId="2257"/>
    <tableColumn id="15" xr3:uid="{C600D5B7-4A54-47B1-ABA3-0935FDF35495}" name="2002" dataDxfId="2256"/>
    <tableColumn id="16" xr3:uid="{B245BE10-485E-4E07-B35F-4B22C4F65212}" name="2003" dataDxfId="2255"/>
    <tableColumn id="17" xr3:uid="{B08EF9D7-C854-48D7-9AF8-69B7D4DB43EB}" name="2004" dataDxfId="2254"/>
    <tableColumn id="18" xr3:uid="{826A5424-BF2D-4822-B649-D4AEFE947006}" name="2005" dataDxfId="2253"/>
    <tableColumn id="19" xr3:uid="{BFC35EC1-EC52-4F09-8BF1-9A54CC0EF3AE}" name="2006" dataDxfId="2252"/>
    <tableColumn id="20" xr3:uid="{F9E73177-2617-4679-8207-BFB3609579A3}" name="2007" dataDxfId="2251"/>
    <tableColumn id="21" xr3:uid="{442E39D2-AB86-4FA3-82D7-2DC951B04EC4}" name="2008" dataDxfId="2250"/>
    <tableColumn id="22" xr3:uid="{32CEDDCE-EA84-401A-B738-2B97CFF57F60}" name="2009" dataDxfId="2249"/>
    <tableColumn id="23" xr3:uid="{AE8D2E12-A426-4912-9D3C-556FC681A642}" name="2010" dataDxfId="2248"/>
    <tableColumn id="24" xr3:uid="{3EF01E53-A3B6-4051-85E8-0A9851E05D26}" name="2011" dataDxfId="2247"/>
    <tableColumn id="25" xr3:uid="{16B33B0D-74B6-48B8-A960-05A4270913DE}" name="2012" dataDxfId="2246"/>
    <tableColumn id="26" xr3:uid="{F9A1A1EA-3D75-4184-A062-D999BFA703AD}" name="2013" dataDxfId="2245"/>
    <tableColumn id="27" xr3:uid="{0673ED32-038F-4D7C-B3B0-73DC908EBB0D}" name="2014" dataDxfId="2244"/>
    <tableColumn id="28" xr3:uid="{6D59C5A3-5DC4-49A0-A6F0-17E5BD60A47F}" name="2015" dataDxfId="2243"/>
    <tableColumn id="29" xr3:uid="{400C3B87-0FF1-4954-A44C-F24C646E4A15}" name="2016" dataDxfId="2242"/>
    <tableColumn id="30" xr3:uid="{C9ECC11E-1C0E-4203-AB9E-ACE9008A221C}" name="2017" dataDxfId="2241"/>
    <tableColumn id="31" xr3:uid="{6E486216-3575-4E8D-9A19-5EE7A98AB06D}" name="2018" dataDxfId="2240"/>
    <tableColumn id="32" xr3:uid="{B60E5B0B-8506-4AC9-BF27-CBA6D819943C}" name="2019" dataDxfId="2239"/>
    <tableColumn id="33" xr3:uid="{ACB7D66A-D3FC-4382-9B2D-52174F662D8E}" name="2020" dataDxfId="2238"/>
    <tableColumn id="34" xr3:uid="{F71C46F6-5A4E-465C-9B9B-315EB150F170}" name="2021" dataDxfId="2237"/>
    <tableColumn id="35" xr3:uid="{B9566BDC-F015-4A2B-B8B6-E46E9D64828C}" name="2022" dataDxfId="2236"/>
    <tableColumn id="36" xr3:uid="{F032ABDC-0837-4873-8366-FCC0A1503A27}" name="2023" dataDxfId="2235"/>
  </tableColumns>
  <tableStyleInfo name="TableStyleLight1"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50372717-6C69-4305-92E3-49D89A1B4C5A}" name="NGTransmissionCompressorStations" displayName="NGTransmissionCompressorStations" ref="A58:AJ64" totalsRowShown="0" headerRowDxfId="2234" dataDxfId="2232" headerRowBorderDxfId="2233" tableBorderDxfId="2231">
  <autoFilter ref="A58:AJ64" xr:uid="{50372717-6C69-4305-92E3-49D89A1B4C5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A4880DB0-89F6-466F-A254-8B20D68B7736}" name="Stations/Compressor Types" dataDxfId="2230"/>
    <tableColumn id="2" xr3:uid="{3EC14A83-737A-40AE-96B0-9CA0D1CD9C87}" name="Units" dataDxfId="2229"/>
    <tableColumn id="3" xr3:uid="{4E0B351D-001D-414B-9C59-21704CE2CE1F}" name="1990" dataDxfId="2228"/>
    <tableColumn id="4" xr3:uid="{90FE0F33-4A04-443A-8024-BF69E75566C6}" name="1991" dataDxfId="2227"/>
    <tableColumn id="5" xr3:uid="{24777B1D-E0BD-4561-8AE9-7FB7D23D6556}" name="1992" dataDxfId="2226"/>
    <tableColumn id="6" xr3:uid="{C6387BBD-8D37-41D5-9A17-389058210CBA}" name="1993" dataDxfId="2225"/>
    <tableColumn id="7" xr3:uid="{9E045502-ACC5-4659-B705-34D3785A2353}" name="1994" dataDxfId="2224"/>
    <tableColumn id="8" xr3:uid="{1586091F-A674-4F4A-BB57-3E099ADBBCDC}" name="1995" dataDxfId="2223"/>
    <tableColumn id="9" xr3:uid="{933F6210-B87C-43BC-832C-123A32AF2154}" name="1996" dataDxfId="2222"/>
    <tableColumn id="10" xr3:uid="{76126C52-E059-4710-A0C8-C6698B248202}" name="1997" dataDxfId="2221"/>
    <tableColumn id="11" xr3:uid="{8BC72C0F-78E2-4F4F-A1C4-3296FBCADA2A}" name="1998" dataDxfId="2220"/>
    <tableColumn id="12" xr3:uid="{F520CFCA-12C4-4B68-856C-80824CED34C3}" name="1999" dataDxfId="2219"/>
    <tableColumn id="13" xr3:uid="{3118489D-F396-44E8-BB0F-96CCD6027313}" name="2000" dataDxfId="2218"/>
    <tableColumn id="14" xr3:uid="{93BB9688-7BEB-45CD-B272-CCF622BF5D5E}" name="2001" dataDxfId="2217"/>
    <tableColumn id="15" xr3:uid="{9DCC14AC-7CC6-44AF-9566-1A4DD67A10AA}" name="2002" dataDxfId="2216"/>
    <tableColumn id="16" xr3:uid="{37289EC2-3415-4733-B610-A38D21C98882}" name="2003" dataDxfId="2215"/>
    <tableColumn id="17" xr3:uid="{AFDF0298-333E-4284-BD7B-DB65149D83AE}" name="2004" dataDxfId="2214"/>
    <tableColumn id="18" xr3:uid="{172DA2D3-CEE0-4219-B5C9-92FBAE99B462}" name="2005" dataDxfId="2213"/>
    <tableColumn id="19" xr3:uid="{BE922FB4-6751-426E-BD0C-AF836B282DEF}" name="2006" dataDxfId="2212"/>
    <tableColumn id="20" xr3:uid="{2B924282-EF5D-4DB1-8561-220152C7366F}" name="2007" dataDxfId="2211"/>
    <tableColumn id="21" xr3:uid="{6B3F922E-5D6A-41C8-9359-DC2593BD0985}" name="2008" dataDxfId="2210"/>
    <tableColumn id="22" xr3:uid="{3CA33E12-92FB-4EC2-8A44-13E0979FDC15}" name="2009" dataDxfId="2209"/>
    <tableColumn id="23" xr3:uid="{5F9BF1D6-95BA-4FAA-A5FC-656152D0A5E9}" name="2010" dataDxfId="2208"/>
    <tableColumn id="24" xr3:uid="{66926095-499E-4C70-A71E-29A6D7920E41}" name="2011" dataDxfId="2207"/>
    <tableColumn id="25" xr3:uid="{CB64729E-C6C7-423F-AFF0-2996FB8E8750}" name="2012" dataDxfId="2206"/>
    <tableColumn id="26" xr3:uid="{7141627F-B613-489B-B030-C05E52751896}" name="2013" dataDxfId="2205"/>
    <tableColumn id="27" xr3:uid="{92D98712-9CC9-48C5-A066-B9E66841DBC4}" name="2014" dataDxfId="2204"/>
    <tableColumn id="28" xr3:uid="{6D680863-A157-47BE-BA4E-29E81686B273}" name="2015" dataDxfId="2203"/>
    <tableColumn id="29" xr3:uid="{63DF75DE-7417-4723-8683-3D58FC31B876}" name="2016" dataDxfId="2202"/>
    <tableColumn id="30" xr3:uid="{AD5DD2D7-CF92-4EB9-8B03-42CCCCE5E513}" name="2017" dataDxfId="2201"/>
    <tableColumn id="31" xr3:uid="{D5F68DB0-E630-408C-9700-6D9715D9DB58}" name="2018" dataDxfId="2200"/>
    <tableColumn id="32" xr3:uid="{749CC8DC-59DA-414C-AA65-8A5DB79C9C63}" name="2019" dataDxfId="2199"/>
    <tableColumn id="33" xr3:uid="{102A80C7-DA29-42BD-AF95-1B93ED3314BA}" name="2020" dataDxfId="2198"/>
    <tableColumn id="34" xr3:uid="{1A887BC1-5750-4D60-8BE7-FF6503FEEEA1}" name="2021" dataDxfId="2197"/>
    <tableColumn id="35" xr3:uid="{59ECBDA9-8262-4D4E-95BF-E6E4B8FEE37F}" name="2022" dataDxfId="2196"/>
    <tableColumn id="36" xr3:uid="{6BF50AE5-7431-484B-A229-10DB15CA762C}" name="2023" dataDxfId="2195"/>
  </tableColumns>
  <tableStyleInfo name="TableStyleLight1"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6B744730-3DF8-4B5A-BDFC-AD7EB5366322}" name="NGTransmissionPneumaticeDevices" displayName="NGTransmissionPneumaticeDevices" ref="A73:AJ78" totalsRowShown="0" headerRowDxfId="2194" dataDxfId="2192" headerRowBorderDxfId="2193" tableBorderDxfId="2191">
  <autoFilter ref="A73:AJ78" xr:uid="{6B744730-3DF8-4B5A-BDFC-AD7EB536632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5599BD70-72D6-4DC1-8871-D5991CB2781A}" name="Devices/Controller Type" dataDxfId="2190"/>
    <tableColumn id="2" xr3:uid="{756EB5E0-32EA-4CAD-8C1A-A0CB42D1909D}" name="Units" dataDxfId="2189"/>
    <tableColumn id="3" xr3:uid="{A47F4705-2A05-4688-AD04-5D58B16EE10A}" name="1990" dataDxfId="2188"/>
    <tableColumn id="4" xr3:uid="{2C6FD62D-82EA-472A-AEC6-4953816FA1A1}" name="1991" dataDxfId="2187"/>
    <tableColumn id="5" xr3:uid="{675444E1-B7B5-4D04-B64B-0FC1B0926D3B}" name="1992" dataDxfId="2186"/>
    <tableColumn id="6" xr3:uid="{58C88D4C-940F-4563-A8E3-9300D6D3D0A5}" name="1993" dataDxfId="2185"/>
    <tableColumn id="7" xr3:uid="{6BC3CDC4-A87B-4B44-9A66-1FC2A4C658EF}" name="1994" dataDxfId="2184"/>
    <tableColumn id="8" xr3:uid="{4D680E50-5372-4F64-94A5-6B2537981847}" name="1995" dataDxfId="2183"/>
    <tableColumn id="9" xr3:uid="{E26E9CF9-809E-42EC-A0E6-6C300D258B56}" name="1996" dataDxfId="2182"/>
    <tableColumn id="10" xr3:uid="{088C11F1-9153-4227-A53B-9CB6991B3A11}" name="1997" dataDxfId="2181"/>
    <tableColumn id="11" xr3:uid="{8B74F737-6199-4BC3-8B35-EAE338E01009}" name="1998" dataDxfId="2180"/>
    <tableColumn id="12" xr3:uid="{0EAB2E98-8DBE-4A5F-BDF8-32CFD6192EC4}" name="1999" dataDxfId="2179"/>
    <tableColumn id="13" xr3:uid="{B57A725E-0A41-4D8F-BF99-CF88290A73D4}" name="2000" dataDxfId="2178"/>
    <tableColumn id="14" xr3:uid="{0626DAF0-BEE0-490B-B3EB-7FBDBE6E99D6}" name="2001" dataDxfId="2177"/>
    <tableColumn id="15" xr3:uid="{3C6B80DC-A19F-47DA-A757-9A7FCE13A035}" name="2002" dataDxfId="2176"/>
    <tableColumn id="16" xr3:uid="{C62450DC-7B2A-45B2-8626-1A2735702F38}" name="2003" dataDxfId="2175"/>
    <tableColumn id="17" xr3:uid="{BB329E56-BEBD-4E0E-95BA-CC9CDCA18EF3}" name="2004" dataDxfId="2174"/>
    <tableColumn id="18" xr3:uid="{E6E665F5-0C87-4064-BB2D-CF9D65C101B2}" name="2005" dataDxfId="2173"/>
    <tableColumn id="19" xr3:uid="{B10048BC-6F66-49A2-9960-4AD6C57528E7}" name="2006" dataDxfId="2172"/>
    <tableColumn id="20" xr3:uid="{A56F5262-D04F-4F35-96F9-4B890035C7DA}" name="2007" dataDxfId="2171"/>
    <tableColumn id="21" xr3:uid="{54E2E74C-7DD8-49DC-A42A-E922C6EFCF90}" name="2008" dataDxfId="2170"/>
    <tableColumn id="22" xr3:uid="{BFEDAFD6-4A67-4579-BBD2-C67F41728469}" name="2009" dataDxfId="2169"/>
    <tableColumn id="23" xr3:uid="{8D6BB5F3-2C49-432F-923C-BEA186F67D9B}" name="2010" dataDxfId="2168"/>
    <tableColumn id="24" xr3:uid="{F0875A56-1279-4E67-97C1-CB3480881B59}" name="2011" dataDxfId="2167"/>
    <tableColumn id="25" xr3:uid="{EA2DC070-8B16-4507-98D1-5183FBD6867E}" name="2012" dataDxfId="2166"/>
    <tableColumn id="26" xr3:uid="{379FC483-DBB2-4F42-84BA-565394F6F535}" name="2013" dataDxfId="2165"/>
    <tableColumn id="27" xr3:uid="{82C1440B-D2EF-4B3F-8848-5C5A39AFB9CE}" name="2014" dataDxfId="2164"/>
    <tableColumn id="28" xr3:uid="{FEE9A3EE-2283-49D2-9DA6-7AD8827557CD}" name="2015" dataDxfId="2163"/>
    <tableColumn id="29" xr3:uid="{C9DDB49F-AC9C-4E70-A11E-521CBF4B9197}" name="2016" dataDxfId="2162"/>
    <tableColumn id="30" xr3:uid="{BED7BC6F-E805-4A74-837A-C5880DC74F68}" name="2017" dataDxfId="2161"/>
    <tableColumn id="31" xr3:uid="{22D57A6F-C07D-4D69-8F9F-DD4046BFF05D}" name="2018" dataDxfId="2160"/>
    <tableColumn id="32" xr3:uid="{55170573-E8AD-4B93-B306-5C14E52DE7EA}" name="2019" dataDxfId="2159"/>
    <tableColumn id="33" xr3:uid="{F74860EE-5C7A-466D-96EF-E8D2C5A48A5A}" name="2020" dataDxfId="2158"/>
    <tableColumn id="34" xr3:uid="{98CF0D12-ECDE-4124-B775-64002F4F7EF4}" name="2021" dataDxfId="2157"/>
    <tableColumn id="35" xr3:uid="{228CB2FB-4EB4-46E8-8A61-C50BAEC221F9}" name="2022" dataDxfId="2156"/>
    <tableColumn id="36" xr3:uid="{CD7E5690-245F-4786-92E5-30D7D76835E6}" name="2023" dataDxfId="2155"/>
  </tableColumns>
  <tableStyleInfo name="TableStyleLight1"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BD0BC932-AE88-48D2-A04E-9739EA2B2CA0}" name="NGTransmissionLNGStorage" displayName="NGTransmissionLNGStorage" ref="A85:AJ87" totalsRowShown="0" headerRowDxfId="2154" dataDxfId="2153" tableBorderDxfId="2152">
  <autoFilter ref="A85:AJ87" xr:uid="{BD0BC932-AE88-48D2-A04E-9739EA2B2CA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FACCFE11-BD03-444C-8E7B-7FD6FA68C4B2}" name="Stations" dataDxfId="2151"/>
    <tableColumn id="2" xr3:uid="{07DC1E36-0133-4E62-BE95-AC20F43DEA5D}" name="Units" dataDxfId="2150"/>
    <tableColumn id="3" xr3:uid="{D84D7222-02C8-43AC-95DB-1079E33AEE10}" name="1990" dataDxfId="2149"/>
    <tableColumn id="4" xr3:uid="{0EA21085-4BAD-440D-BA89-7D4E75E7C2D7}" name="1991" dataDxfId="2148"/>
    <tableColumn id="5" xr3:uid="{98DCF1F2-89F8-4DB2-AE25-7DFC1A5F323D}" name="1992" dataDxfId="2147"/>
    <tableColumn id="6" xr3:uid="{EF970949-2966-4770-BE29-E823937648CE}" name="1993" dataDxfId="2146"/>
    <tableColumn id="7" xr3:uid="{47BC7527-A19E-4DD2-B21A-34CDFEBF54C0}" name="1994" dataDxfId="2145"/>
    <tableColumn id="8" xr3:uid="{17F0E14E-B417-4343-8154-3C2C4C45126F}" name="1995" dataDxfId="2144"/>
    <tableColumn id="9" xr3:uid="{5B0A8EEA-B631-4044-9AC0-D9424D46E633}" name="1996" dataDxfId="2143"/>
    <tableColumn id="10" xr3:uid="{06816FC1-B285-429F-80FC-CD8EC9909CCE}" name="1997" dataDxfId="2142"/>
    <tableColumn id="11" xr3:uid="{3CBA9C0F-5BB1-430F-8C31-5A46FCAF750E}" name="1998" dataDxfId="2141"/>
    <tableColumn id="12" xr3:uid="{949129C1-89A4-403B-83ED-006A3B360795}" name="1999" dataDxfId="2140"/>
    <tableColumn id="13" xr3:uid="{9A3BA48E-D5DD-4F80-8E82-29AB309B99A4}" name="2000" dataDxfId="2139"/>
    <tableColumn id="14" xr3:uid="{D8FA90D5-6272-420A-8090-19F0A589AE00}" name="2001" dataDxfId="2138"/>
    <tableColumn id="15" xr3:uid="{1A1CF164-D8F9-4713-9C49-99B6CD8B64FD}" name="2002" dataDxfId="2137"/>
    <tableColumn id="16" xr3:uid="{0977C2D3-4F3D-4B22-AFB2-6818F038B9D7}" name="2003" dataDxfId="2136"/>
    <tableColumn id="17" xr3:uid="{DBAF2336-B9FF-4EC8-9760-2A0320F61F14}" name="2004" dataDxfId="2135"/>
    <tableColumn id="18" xr3:uid="{D860B2BD-9054-49D9-91D3-ADCCF9D53342}" name="2005" dataDxfId="2134"/>
    <tableColumn id="19" xr3:uid="{418DFED0-3E11-45AA-A4C0-79CFAE623401}" name="2006" dataDxfId="2133"/>
    <tableColumn id="20" xr3:uid="{5DBF3005-B813-48E4-8BE9-4B0385C5856C}" name="2007" dataDxfId="2132"/>
    <tableColumn id="21" xr3:uid="{C876C913-148D-4235-8B62-20425E17E448}" name="2008" dataDxfId="2131"/>
    <tableColumn id="22" xr3:uid="{1FBADB8D-A0F8-466A-BD3F-A7A7B26CA678}" name="2009" dataDxfId="2130"/>
    <tableColumn id="23" xr3:uid="{D73A63C9-119A-45EC-8213-DFB32C9D4FB0}" name="2010" dataDxfId="2129"/>
    <tableColumn id="24" xr3:uid="{30B4CE8B-F177-4304-80F3-10AE459D546F}" name="2011" dataDxfId="2128"/>
    <tableColumn id="25" xr3:uid="{4B4B4851-54BE-4CB0-BF0E-2359B999A718}" name="2012" dataDxfId="2127"/>
    <tableColumn id="26" xr3:uid="{B47F6580-E7B0-429D-9A1D-FA509220468D}" name="2013" dataDxfId="2126"/>
    <tableColumn id="27" xr3:uid="{80CE9DA0-AAF0-4C77-8EC5-0CD9892B808A}" name="2014" dataDxfId="2125"/>
    <tableColumn id="28" xr3:uid="{7390FF29-A196-4D17-B224-B024391A9344}" name="2015" dataDxfId="2124"/>
    <tableColumn id="29" xr3:uid="{C2A5E830-18B8-4725-8C95-35E0ACA53A8C}" name="2016" dataDxfId="2123"/>
    <tableColumn id="30" xr3:uid="{792BDD60-1403-400D-9638-D0B9B5459812}" name="2017" dataDxfId="2122"/>
    <tableColumn id="31" xr3:uid="{4F83C82A-635D-41E3-8396-3ED555400117}" name="2018" dataDxfId="2121"/>
    <tableColumn id="32" xr3:uid="{28951B1F-B9D4-4EF7-B2B8-87DEAE632662}" name="2019" dataDxfId="2120"/>
    <tableColumn id="33" xr3:uid="{07EEA671-6CB2-4095-B757-7A39B07AAA45}" name="2020" dataDxfId="2119"/>
    <tableColumn id="34" xr3:uid="{B836ECB3-4715-482A-8B5B-FA525BE027CD}" name="2021" dataDxfId="2118"/>
    <tableColumn id="35" xr3:uid="{41F76E62-C0A8-4E6D-9D9C-FA95C768242E}" name="2022" dataDxfId="2117"/>
    <tableColumn id="36" xr3:uid="{2BC59106-7018-4ADF-89B4-9FE643ABE0F1}" name="2023" dataDxfId="2116"/>
  </tableColumns>
  <tableStyleInfo name="TableStyleLight1"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DAB70BB2-31E1-48E1-AC4C-EDA7912CBBD7}" name="NGTransmissionLNGImportTerminals" displayName="NGTransmissionLNGImportTerminals" ref="A93:AJ95" totalsRowShown="0" headerRowDxfId="2115" dataDxfId="2113" headerRowBorderDxfId="2114" tableBorderDxfId="2112">
  <autoFilter ref="A93:AJ95" xr:uid="{DAB70BB2-31E1-48E1-AC4C-EDA7912CBBD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38A80DE2-72CB-42A5-B35F-52B831B85842}" name="Terminals" dataDxfId="2111"/>
    <tableColumn id="2" xr3:uid="{B096C922-70C9-4F56-A491-441816FB4E2E}" name="Units" dataDxfId="2110"/>
    <tableColumn id="3" xr3:uid="{D74665C1-382C-4CF4-80AF-8DAF4FDB3D1F}" name="1990" dataDxfId="2109"/>
    <tableColumn id="4" xr3:uid="{1BA7DB5D-19C7-43F5-BF0A-EF923CBDD38C}" name="1991" dataDxfId="2108"/>
    <tableColumn id="5" xr3:uid="{7F0E15FD-60EC-43B8-9599-DFA936E84DBF}" name="1992" dataDxfId="2107"/>
    <tableColumn id="6" xr3:uid="{2454D816-74FF-4B0F-9CCA-5D8F3D46B7BD}" name="1993" dataDxfId="2106"/>
    <tableColumn id="7" xr3:uid="{64FEB824-99E4-40FA-82B7-CAAB0EE50B91}" name="1994" dataDxfId="2105"/>
    <tableColumn id="8" xr3:uid="{55FD5F5A-3393-4A46-9D94-44F982531FBC}" name="1995" dataDxfId="2104"/>
    <tableColumn id="9" xr3:uid="{51B10B13-05DC-4647-A041-F40F63529A85}" name="1996" dataDxfId="2103"/>
    <tableColumn id="10" xr3:uid="{BAE1D173-62E3-4FE1-8A47-624E59C2D63E}" name="1997" dataDxfId="2102"/>
    <tableColumn id="11" xr3:uid="{970C601D-CF54-43CB-B1BE-C123C71CCF48}" name="1998" dataDxfId="2101"/>
    <tableColumn id="12" xr3:uid="{480EBC60-1394-4B63-A9CC-0E1FE9AAFBDF}" name="1999" dataDxfId="2100"/>
    <tableColumn id="13" xr3:uid="{225C70E1-9361-41CE-9F79-974912E117AA}" name="2000" dataDxfId="2099"/>
    <tableColumn id="14" xr3:uid="{3C901127-FBFB-47E8-8EA3-03A3A82B554E}" name="2001" dataDxfId="2098"/>
    <tableColumn id="15" xr3:uid="{80D8DDC4-CCC5-440E-B08D-7CF41F62E820}" name="2002" dataDxfId="2097"/>
    <tableColumn id="16" xr3:uid="{7322CDD4-9C4B-423D-AA2B-927970AC0F89}" name="2003" dataDxfId="2096"/>
    <tableColumn id="17" xr3:uid="{BE327423-55D2-4B02-A079-6E7531DCF793}" name="2004" dataDxfId="2095"/>
    <tableColumn id="18" xr3:uid="{CF3614E5-467F-44A3-B80C-AE389FBCA52C}" name="2005" dataDxfId="2094"/>
    <tableColumn id="19" xr3:uid="{A77B696A-6967-4521-9516-3DC95E8AFEC5}" name="2006" dataDxfId="2093"/>
    <tableColumn id="20" xr3:uid="{3EBAB427-891F-435F-9B64-EE60C23EB595}" name="2007" dataDxfId="2092"/>
    <tableColumn id="21" xr3:uid="{809F9772-D4CD-4F9F-8460-40ABF23F81BB}" name="2008" dataDxfId="2091"/>
    <tableColumn id="22" xr3:uid="{BC09A3FF-3802-42CD-83A2-FB104B52A3E6}" name="2009" dataDxfId="2090"/>
    <tableColumn id="23" xr3:uid="{1074A920-76BC-41C9-9BF6-260C0B9B728F}" name="2010" dataDxfId="2089"/>
    <tableColumn id="24" xr3:uid="{88260C9E-5174-4F57-A279-A15D844A72E0}" name="2011" dataDxfId="2088"/>
    <tableColumn id="25" xr3:uid="{25608CFB-FC96-4CFC-9589-0406AE2CFA9D}" name="2012" dataDxfId="2087"/>
    <tableColumn id="26" xr3:uid="{D99E288F-5E52-438A-97D4-E1FAF7E05235}" name="2013" dataDxfId="2086"/>
    <tableColumn id="27" xr3:uid="{E7157D16-2EDF-468D-BFD2-5BCB4206E03E}" name="2014" dataDxfId="2085"/>
    <tableColumn id="28" xr3:uid="{CD906E85-800F-4902-BE2E-FFB672981362}" name="2015" dataDxfId="2084"/>
    <tableColumn id="29" xr3:uid="{88219569-D4AC-4947-83B7-8B6A52D7CDA6}" name="2016" dataDxfId="2083"/>
    <tableColumn id="30" xr3:uid="{409AE697-5E0E-4430-8D4F-DF3D60DB1BDC}" name="2017" dataDxfId="2082"/>
    <tableColumn id="31" xr3:uid="{FAC51F7C-8312-4511-AFFA-152603484507}" name="2018" dataDxfId="2081"/>
    <tableColumn id="32" xr3:uid="{4DAAA6AD-9BE8-4487-A573-8145F3651FED}" name="2019" dataDxfId="2080"/>
    <tableColumn id="33" xr3:uid="{E3867CE3-9979-4FF0-9EDC-E871DF28B93E}" name="2020" dataDxfId="2079"/>
    <tableColumn id="34" xr3:uid="{29186D09-7201-4E74-A265-836B246C5887}" name="2021" dataDxfId="2078"/>
    <tableColumn id="35" xr3:uid="{2AD9E7EA-C3E8-4FAF-956D-508ABB9588F3}" name="2022" dataDxfId="2077"/>
    <tableColumn id="36" xr3:uid="{59286EED-E76F-4EE4-90FF-917B8964882E}" name="2023" dataDxfId="2076"/>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1" xr:uid="{65F71624-A370-408F-8E72-F5D988523CCA}" name="IPCCReportsAndGWPs" displayName="IPCCReportsAndGWPs" ref="A7:D15" totalsRowShown="0" headerRowDxfId="5170">
  <autoFilter ref="A7:D15" xr:uid="{65F71624-A370-408F-8E72-F5D988523CCA}">
    <filterColumn colId="0" hiddenButton="1"/>
    <filterColumn colId="1" hiddenButton="1"/>
    <filterColumn colId="2" hiddenButton="1"/>
    <filterColumn colId="3" hiddenButton="1"/>
  </autoFilter>
  <tableColumns count="4">
    <tableColumn id="1" xr3:uid="{9E1A6953-A2E9-4857-BA9B-631AA4461613}" name="Year, IPCC Report and Time Horizon" dataDxfId="5169"/>
    <tableColumn id="2" xr3:uid="{36006D1E-CB76-4675-BA0A-548DDF826910}" name="CH4 GWPs"/>
    <tableColumn id="3" xr3:uid="{341633D9-36BA-4380-8C1F-9EB01C7F7D47}" name="N2O GWPs"/>
    <tableColumn id="4" xr3:uid="{56DF2056-C9A2-4D06-922F-58A0B1734990}" name="SF6 GWPs"/>
  </tableColumns>
  <tableStyleInfo name="TableStyleLight1"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2D5D7E4-4947-4A70-9F0B-208BAF1B0F61}" name="NGTransmissionCH4kgEFsPipelineandVenting" displayName="NGTransmissionCH4kgEFsPipelineandVenting" ref="A102:AJ105" totalsRowShown="0" headerRowDxfId="2075">
  <autoFilter ref="A102:AJ105" xr:uid="{02D5D7E4-4947-4A70-9F0B-208BAF1B0F6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C077E953-7064-48F5-96D8-BF699612CEC8}" name="Pipeline and Pipeline Venting"/>
    <tableColumn id="2" xr3:uid="{9A3FAF79-2F66-478C-8FA4-8FD8FFCA223B}" name="Units" dataDxfId="2074"/>
    <tableColumn id="3" xr3:uid="{2D519767-8184-430C-87BE-4202BCD63357}" name="1990" dataDxfId="2073"/>
    <tableColumn id="4" xr3:uid="{6C85624D-C24D-4811-9E53-23B96420E8EB}" name="1991" dataDxfId="2072"/>
    <tableColumn id="5" xr3:uid="{82FB0EBE-289E-41EB-92B7-D1BAF3439E13}" name="1992" dataDxfId="2071"/>
    <tableColumn id="6" xr3:uid="{EFD87FD7-A236-4979-96CD-87206BCD2432}" name="1993" dataDxfId="2070"/>
    <tableColumn id="7" xr3:uid="{0EDB8CA9-8437-4C17-AE3B-E2FC51978788}" name="1994" dataDxfId="2069"/>
    <tableColumn id="8" xr3:uid="{FBEA36AD-470E-4482-A8F2-10CC021CA4BF}" name="1995" dataDxfId="2068"/>
    <tableColumn id="9" xr3:uid="{2BF28CE1-3FC4-4CA8-8B36-80C20154C4F3}" name="1996" dataDxfId="2067"/>
    <tableColumn id="10" xr3:uid="{601814F4-FD60-4D4D-AB9C-9CAA6F5986EF}" name="1997" dataDxfId="2066"/>
    <tableColumn id="11" xr3:uid="{AC47D2B2-3B9B-4827-A249-A1210E6C6C52}" name="1998" dataDxfId="2065"/>
    <tableColumn id="12" xr3:uid="{B31C84A7-9646-4167-91D1-ED62CCF3487A}" name="1999" dataDxfId="2064"/>
    <tableColumn id="13" xr3:uid="{E5688095-C586-403A-B70E-B3E310BB9574}" name="2000" dataDxfId="2063"/>
    <tableColumn id="14" xr3:uid="{41180209-25DD-4AC5-A690-FD94DEB55EE9}" name="2001" dataDxfId="2062"/>
    <tableColumn id="15" xr3:uid="{5D08E33A-F76B-41EB-A808-8F3429963906}" name="2002" dataDxfId="2061"/>
    <tableColumn id="16" xr3:uid="{78D53A12-6510-4E37-B7B9-6CE64F869642}" name="2003" dataDxfId="2060"/>
    <tableColumn id="17" xr3:uid="{F20E8DD9-6E45-43CF-A6EB-2DC4112197D3}" name="2004" dataDxfId="2059"/>
    <tableColumn id="18" xr3:uid="{531CAB82-2774-49DC-8A02-ACD898EC8092}" name="2005" dataDxfId="2058"/>
    <tableColumn id="19" xr3:uid="{2BA4A11E-A192-4573-8E3A-E4F51980ECF4}" name="2006" dataDxfId="2057"/>
    <tableColumn id="20" xr3:uid="{AC7D1399-D951-4C93-AC6F-3D85E880A54B}" name="2007" dataDxfId="2056"/>
    <tableColumn id="21" xr3:uid="{F4973AA5-86B6-40B1-9C8A-A2C5BC8386DD}" name="2008" dataDxfId="2055"/>
    <tableColumn id="22" xr3:uid="{FA63BAA6-2379-4949-B46F-C6A7DF758D70}" name="2009" dataDxfId="2054"/>
    <tableColumn id="23" xr3:uid="{60CD0BA5-5134-4F56-9850-38AA2CC9DA9B}" name="2010" dataDxfId="2053"/>
    <tableColumn id="24" xr3:uid="{5C77C112-1562-486A-A51E-098A57580D56}" name="2011" dataDxfId="2052"/>
    <tableColumn id="25" xr3:uid="{A5B42CE4-4632-4396-BD32-69D65F964F8D}" name="2012" dataDxfId="2051"/>
    <tableColumn id="26" xr3:uid="{17B43C30-8C74-4C5F-BDDB-0590B8E3DFA6}" name="2013" dataDxfId="2050"/>
    <tableColumn id="27" xr3:uid="{5F670BD4-F5B9-476C-85BC-D8B20F68CC12}" name="2014" dataDxfId="2049"/>
    <tableColumn id="28" xr3:uid="{B5CF9C60-E2B6-48C1-A738-2E8071327635}" name="2015" dataDxfId="2048"/>
    <tableColumn id="29" xr3:uid="{0A8F4B7F-60F5-4C6F-8656-F541AE87CD2D}" name="2016" dataDxfId="2047"/>
    <tableColumn id="30" xr3:uid="{7B548A85-5629-4A81-B524-95C7A319647A}" name="2017" dataDxfId="2046"/>
    <tableColumn id="31" xr3:uid="{66D01A9C-EEA9-4DB2-8D39-9D34EFFAC86F}" name="2018" dataDxfId="2045"/>
    <tableColumn id="32" xr3:uid="{6E10D78D-0C68-45A1-A47A-76E5278F2BCC}" name="2019" dataDxfId="2044"/>
    <tableColumn id="33" xr3:uid="{288DAA4A-13BF-48EA-AA40-D5D8837EB55C}" name="2020" dataDxfId="2043"/>
    <tableColumn id="34" xr3:uid="{02FFD2A3-6985-47C9-9F95-6A50C4FE3CA3}" name="2021"/>
    <tableColumn id="35" xr3:uid="{2E31F2B1-9EA4-448B-9BFC-FE426F0085B0}" name="2022"/>
    <tableColumn id="36" xr3:uid="{C667E863-9C06-4F01-A972-BEE6C37D1926}" name="2023"/>
  </tableColumns>
  <tableStyleInfo name="TableStyleLight1"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1DCB92D8-2432-483B-ACB7-B3A03F79ADCB}" name="NGTransmissionCH4kgEFsCompressorsandStation" displayName="NGTransmissionCH4kgEFsCompressorsandStation" ref="A108:AJ115" totalsRowShown="0" headerRowDxfId="2042" dataDxfId="2040" headerRowBorderDxfId="2041" tableBorderDxfId="2039">
  <autoFilter ref="A108:AJ115" xr:uid="{1DCB92D8-2432-483B-ACB7-B3A03F79ADC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49CECCCA-FCEF-4C57-A711-5645F3323B75}" name="Stations/Compressor Types/Venting" dataDxfId="2038"/>
    <tableColumn id="2" xr3:uid="{7386404E-12E2-4794-A4BB-84D553E88A66}" name="Units" dataDxfId="2037"/>
    <tableColumn id="3" xr3:uid="{2115731D-ECCB-488E-847C-FB4AC02B2B84}" name="1990" dataDxfId="2036"/>
    <tableColumn id="4" xr3:uid="{F2F729B7-AE61-4782-9C9E-70996E7A5462}" name="1991" dataDxfId="2035"/>
    <tableColumn id="5" xr3:uid="{95C50730-1B08-43D2-AAFF-870678C21519}" name="1992" dataDxfId="2034"/>
    <tableColumn id="6" xr3:uid="{9DDF8833-7D44-454B-977F-8D2D2DBACF12}" name="1993" dataDxfId="2033"/>
    <tableColumn id="7" xr3:uid="{FC80A57C-0033-4187-906E-B225DB77F2E1}" name="1994" dataDxfId="2032"/>
    <tableColumn id="8" xr3:uid="{67ED032B-2F6A-4BA1-9919-BD05A084045B}" name="1995" dataDxfId="2031"/>
    <tableColumn id="9" xr3:uid="{0CAA378C-9E16-458A-89C1-FE5642BC41C3}" name="1996" dataDxfId="2030"/>
    <tableColumn id="10" xr3:uid="{05395C0C-4C5B-43AC-9C71-F5827D1BF9E7}" name="1997" dataDxfId="2029"/>
    <tableColumn id="11" xr3:uid="{38676173-7B21-4FBB-85E6-6CADE6C0C594}" name="1998" dataDxfId="2028"/>
    <tableColumn id="12" xr3:uid="{353F28D5-434C-452A-8D3D-E9C3EE86D206}" name="1999" dataDxfId="2027"/>
    <tableColumn id="13" xr3:uid="{6F677719-7323-4F9D-A9DA-57E24FF50942}" name="2000" dataDxfId="2026"/>
    <tableColumn id="14" xr3:uid="{57091F31-00EA-4541-BDCB-D2042531F261}" name="2001" dataDxfId="2025"/>
    <tableColumn id="15" xr3:uid="{41EEC613-E7BC-4237-8C73-13F921E6C765}" name="2002" dataDxfId="2024"/>
    <tableColumn id="16" xr3:uid="{C227C05B-9BE9-4E79-B0C0-AEFF2F241DB5}" name="2003" dataDxfId="2023"/>
    <tableColumn id="17" xr3:uid="{217416FB-B6F0-40D5-9739-F02C3176E0C0}" name="2004" dataDxfId="2022"/>
    <tableColumn id="18" xr3:uid="{2EB451A1-0D98-4A67-BE7E-9C3333FC5974}" name="2005" dataDxfId="2021"/>
    <tableColumn id="19" xr3:uid="{397AC879-F06D-4D42-92DE-65CA45DEB903}" name="2006" dataDxfId="2020"/>
    <tableColumn id="20" xr3:uid="{0E7C00D6-F318-4842-9649-A96C1456B475}" name="2007" dataDxfId="2019"/>
    <tableColumn id="21" xr3:uid="{03A32D9A-C7D0-437B-B535-6CFEA0630A55}" name="2008" dataDxfId="2018"/>
    <tableColumn id="22" xr3:uid="{D25E5C54-6920-4472-A170-CE3FF5E4A2DF}" name="2009" dataDxfId="2017"/>
    <tableColumn id="23" xr3:uid="{E2A21F34-2CE2-4749-9633-E1B9D667E6BF}" name="2010" dataDxfId="2016"/>
    <tableColumn id="24" xr3:uid="{599CA603-25D9-447F-92C4-DAD209BF8947}" name="2011" dataDxfId="2015"/>
    <tableColumn id="25" xr3:uid="{DCAA91D7-2017-4208-8D80-A0F6513E6395}" name="2012" dataDxfId="2014"/>
    <tableColumn id="26" xr3:uid="{769D7A73-D318-471A-A72B-62B9C78AAA87}" name="2013" dataDxfId="2013"/>
    <tableColumn id="27" xr3:uid="{E72ADD2A-8099-4838-B556-AAABC8A550EF}" name="2014" dataDxfId="2012"/>
    <tableColumn id="28" xr3:uid="{212D6E43-D226-409A-8DD7-994D0FF470FA}" name="2015" dataDxfId="2011"/>
    <tableColumn id="29" xr3:uid="{C5EBE3DA-549A-4C72-A6D9-AE0ACF6F2ED5}" name="2016" dataDxfId="2010"/>
    <tableColumn id="30" xr3:uid="{51082710-1830-4CBD-9B0F-D1B5CEC51B6B}" name="2017" dataDxfId="2009"/>
    <tableColumn id="31" xr3:uid="{F8C6941E-40D2-481D-A212-9ED447D9CC41}" name="2018" dataDxfId="2008"/>
    <tableColumn id="32" xr3:uid="{C4F5FA36-174D-401E-AA2C-B42E904D9586}" name="2019" dataDxfId="2007"/>
    <tableColumn id="33" xr3:uid="{8A7C7352-871E-4F1E-A7CF-CDC68F04D184}" name="2020" dataDxfId="2006"/>
    <tableColumn id="34" xr3:uid="{E4998F8B-CECD-4AB3-873E-8A1AB63087BF}" name="2021" dataDxfId="2005"/>
    <tableColumn id="35" xr3:uid="{8FE415BA-5BEB-4D07-97A5-B9981E2F1FBF}" name="2022" dataDxfId="2004"/>
    <tableColumn id="36" xr3:uid="{DA9D548B-45EA-469B-A16E-FA9F0EE0E3F1}" name="2023" dataDxfId="2003"/>
  </tableColumns>
  <tableStyleInfo name="TableStyleLight1"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17BD7000-A4D7-4A35-8799-A966B6D10F62}" name="NGTransmissionCH4kgEFsPneumaticeDevices" displayName="NGTransmissionCH4kgEFsPneumaticeDevices" ref="A118:AJ123" totalsRowShown="0" headerRowDxfId="2002" dataDxfId="2000" headerRowBorderDxfId="2001" tableBorderDxfId="1999">
  <autoFilter ref="A118:AJ123" xr:uid="{17BD7000-A4D7-4A35-8799-A966B6D10F6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3B99537B-E728-4B15-AC55-63928A480194}" name="Devices/Controller Type" dataDxfId="1998"/>
    <tableColumn id="2" xr3:uid="{155DDD96-88B7-4865-9B33-8022DC063736}" name="Units" dataDxfId="1997"/>
    <tableColumn id="3" xr3:uid="{5F3CD394-26E8-431E-A045-7ADCD41A27B8}" name="1990" dataDxfId="1996"/>
    <tableColumn id="4" xr3:uid="{88377AF9-1602-45CD-BA78-E88E37CE64CD}" name="1991" dataDxfId="1995"/>
    <tableColumn id="5" xr3:uid="{C0B94905-08AD-4228-B64F-0BEDC1628611}" name="1992" dataDxfId="1994"/>
    <tableColumn id="6" xr3:uid="{73AC547D-0142-44CC-A937-2CD3644680B8}" name="1993" dataDxfId="1993"/>
    <tableColumn id="7" xr3:uid="{BDC767B2-6449-4981-A839-16A635DF5443}" name="1994" dataDxfId="1992"/>
    <tableColumn id="8" xr3:uid="{C76EC2D9-FB1A-4E99-BD0B-5591BB2224C7}" name="1995" dataDxfId="1991"/>
    <tableColumn id="9" xr3:uid="{451D89E3-DA53-4DAE-BAF9-BADD1CBB0962}" name="1996" dataDxfId="1990"/>
    <tableColumn id="10" xr3:uid="{65CB7152-3F38-4B5C-B225-8D86DE52DEF3}" name="1997" dataDxfId="1989"/>
    <tableColumn id="11" xr3:uid="{9EF7A054-9603-4113-9949-85AFEF9A4C59}" name="1998" dataDxfId="1988"/>
    <tableColumn id="12" xr3:uid="{5CD08983-3987-4024-BFEF-66507AB4454E}" name="1999" dataDxfId="1987"/>
    <tableColumn id="13" xr3:uid="{AE5B0682-BA98-4486-8721-0078373B1EBE}" name="2000" dataDxfId="1986"/>
    <tableColumn id="14" xr3:uid="{6A6B22B4-FD41-485C-814C-7A174BFB3519}" name="2001" dataDxfId="1985"/>
    <tableColumn id="15" xr3:uid="{991BD8C1-92A4-4D8B-90DA-7B610AF195D2}" name="2002" dataDxfId="1984"/>
    <tableColumn id="16" xr3:uid="{E473BD11-7A5F-46F1-9EC9-3AC8378B1B88}" name="2003" dataDxfId="1983"/>
    <tableColumn id="17" xr3:uid="{7DA5FB49-A97B-41D6-829D-45139A97919B}" name="2004" dataDxfId="1982"/>
    <tableColumn id="18" xr3:uid="{9DB6270A-63E1-4253-AC57-A66748297F20}" name="2005" dataDxfId="1981"/>
    <tableColumn id="19" xr3:uid="{0002374B-18C3-4A83-9E4C-3DF5EBD01E28}" name="2006" dataDxfId="1980"/>
    <tableColumn id="20" xr3:uid="{F6A8B844-317E-479D-9E6E-7A43E51B2068}" name="2007" dataDxfId="1979"/>
    <tableColumn id="21" xr3:uid="{6EEDE3E7-E636-4149-875C-B688DC3D3B7D}" name="2008" dataDxfId="1978"/>
    <tableColumn id="22" xr3:uid="{503166BF-0D2A-480C-89CC-29DD5B39E316}" name="2009" dataDxfId="1977"/>
    <tableColumn id="23" xr3:uid="{EECC5EFF-FBB4-4342-A0C8-5F00C9134A5C}" name="2010" dataDxfId="1976"/>
    <tableColumn id="24" xr3:uid="{C331C9E5-D5B9-4293-867A-2531FB180D21}" name="2011" dataDxfId="1975"/>
    <tableColumn id="25" xr3:uid="{004634CE-50AC-4847-A3E5-3472471F9C74}" name="2012" dataDxfId="1974"/>
    <tableColumn id="26" xr3:uid="{F7D1F6BA-07CA-4F0B-846A-E2B387F97967}" name="2013" dataDxfId="1973"/>
    <tableColumn id="27" xr3:uid="{E11DBB59-5C2D-427F-BE6C-9CEF4617F1FC}" name="2014" dataDxfId="1972"/>
    <tableColumn id="28" xr3:uid="{1A1AA0A7-C14C-4267-8261-96FE0FA90AC1}" name="2015" dataDxfId="1971"/>
    <tableColumn id="29" xr3:uid="{A978A155-7394-4957-9D2E-E2B1C71DCF16}" name="2016" dataDxfId="1970"/>
    <tableColumn id="30" xr3:uid="{B6BB9DC6-F8D4-40F2-A371-93D3F4FEB343}" name="2017" dataDxfId="1969"/>
    <tableColumn id="31" xr3:uid="{0BADFF39-69A1-4CA1-8B6C-C8CE3BD911C1}" name="2018" dataDxfId="1968"/>
    <tableColumn id="32" xr3:uid="{F64AD042-269B-4797-A6CA-C845E7D6BDD1}" name="2019" dataDxfId="1967"/>
    <tableColumn id="33" xr3:uid="{3196E1A8-4363-478D-A093-DACADD973801}" name="2020" dataDxfId="1966"/>
    <tableColumn id="34" xr3:uid="{4D45195B-4308-4950-93EA-1C05FA8B5A0B}" name="2021" dataDxfId="1965"/>
    <tableColumn id="35" xr3:uid="{39C45E74-760A-405C-A3BC-7462259CC4BE}" name="2022" dataDxfId="1964"/>
    <tableColumn id="36" xr3:uid="{FC4EE9EE-E587-41E1-ACFF-65737E141F65}" name="2023" dataDxfId="1963"/>
  </tableColumns>
  <tableStyleInfo name="TableStyleLight1"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5B40AC1A-0A6E-40CF-9E22-93E1FCF29186}" name="NGTransmissionCH4kgEFsLNGStorage" displayName="NGTransmissionCH4kgEFsLNGStorage" ref="A126:AJ129" totalsRowShown="0" headerRowDxfId="1962" dataDxfId="1961">
  <autoFilter ref="A126:AJ129" xr:uid="{5B40AC1A-0A6E-40CF-9E22-93E1FCF2918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3E3BAFDA-4CDD-447B-A7CB-99B96900592D}" name="LNG Storage Leaks/Blowdowns" dataDxfId="1960"/>
    <tableColumn id="2" xr3:uid="{AD6ABBE0-663A-4DEC-8028-9EE2C5151580}" name="Units" dataDxfId="1959"/>
    <tableColumn id="3" xr3:uid="{8B38180B-73DA-4A7E-AC32-B4DBF404D8FF}" name="1990" dataDxfId="1958"/>
    <tableColumn id="4" xr3:uid="{2BD7B1A0-0BCD-4FD1-AA1C-3DB95013AFBF}" name="1991" dataDxfId="1957"/>
    <tableColumn id="5" xr3:uid="{D9848A03-F99D-4983-9844-A8823D87ACBA}" name="1992" dataDxfId="1956"/>
    <tableColumn id="6" xr3:uid="{CE4EF2A7-7298-4CFF-9C96-4A55CAC48FDD}" name="1993" dataDxfId="1955"/>
    <tableColumn id="7" xr3:uid="{67C49BF0-6E5A-45E2-9E3C-9E5DEA7F89FE}" name="1994" dataDxfId="1954"/>
    <tableColumn id="8" xr3:uid="{0671389F-70C8-46E3-9D88-D4B7B7152B07}" name="1995" dataDxfId="1953"/>
    <tableColumn id="9" xr3:uid="{CEFA902A-3E17-44BD-8907-4D241D930165}" name="1996" dataDxfId="1952"/>
    <tableColumn id="10" xr3:uid="{AEF7318F-C082-4F33-A4D6-DB5FE2750875}" name="1997" dataDxfId="1951"/>
    <tableColumn id="11" xr3:uid="{6BFD20CF-7564-47E8-A1DB-672F2B9981F2}" name="1998" dataDxfId="1950"/>
    <tableColumn id="12" xr3:uid="{5D365E49-047D-4E51-BF30-BDB83F919892}" name="1999" dataDxfId="1949"/>
    <tableColumn id="13" xr3:uid="{75297E6A-ECB6-43EE-AA36-928AAE2603EC}" name="2000" dataDxfId="1948"/>
    <tableColumn id="14" xr3:uid="{FD020755-6CDC-4AC4-A0D7-C71652172416}" name="2001" dataDxfId="1947"/>
    <tableColumn id="15" xr3:uid="{F8EE6AEB-B255-466E-AC42-3FEFF0EFDAFF}" name="2002" dataDxfId="1946"/>
    <tableColumn id="16" xr3:uid="{E845B002-4A21-4E4E-A796-DE0EBFB9DD05}" name="2003" dataDxfId="1945"/>
    <tableColumn id="17" xr3:uid="{BF4B9F2B-763D-4069-A4B1-70B781B10010}" name="2004" dataDxfId="1944"/>
    <tableColumn id="18" xr3:uid="{5A5A82D8-FE62-4A15-AC09-7C96505B3627}" name="2005" dataDxfId="1943"/>
    <tableColumn id="19" xr3:uid="{2176D943-51FF-46AF-BFE9-01F82AA705AC}" name="2006" dataDxfId="1942"/>
    <tableColumn id="20" xr3:uid="{655050ED-4462-4694-A7C1-499C8B21FBE3}" name="2007" dataDxfId="1941"/>
    <tableColumn id="21" xr3:uid="{C86E8B84-A84C-466F-BA7D-5A98EE2AEC83}" name="2008" dataDxfId="1940"/>
    <tableColumn id="22" xr3:uid="{3B90A19D-E36B-4D25-AE09-3DCF207D5494}" name="2009" dataDxfId="1939"/>
    <tableColumn id="23" xr3:uid="{B1A3A7AB-1A0C-4DD0-9606-269BDD219456}" name="2010" dataDxfId="1938"/>
    <tableColumn id="24" xr3:uid="{0E3C1D90-BB65-4976-95D1-C1A4D90AEFCB}" name="2011" dataDxfId="1937"/>
    <tableColumn id="25" xr3:uid="{F67CFCC0-BCA1-40E9-AE30-7C74E235C4A6}" name="2012" dataDxfId="1936"/>
    <tableColumn id="26" xr3:uid="{491EB2AA-D284-42C8-AD8D-372D2D21687D}" name="2013" dataDxfId="1935"/>
    <tableColumn id="27" xr3:uid="{50D5FE74-5C93-48CA-AFD2-6A42DC319D27}" name="2014" dataDxfId="1934"/>
    <tableColumn id="28" xr3:uid="{0B6323BA-2DDB-4BF7-B8CB-9A80516D965E}" name="2015" dataDxfId="1933"/>
    <tableColumn id="29" xr3:uid="{1730C4B6-C3BB-4993-89A7-65568120CADF}" name="2016" dataDxfId="1932"/>
    <tableColumn id="30" xr3:uid="{489F0A28-38E0-4095-B9F5-4CA9A84F3840}" name="2017" dataDxfId="1931"/>
    <tableColumn id="31" xr3:uid="{697B51C1-653E-4FE7-AB30-5B00D16FAEF0}" name="2018" dataDxfId="1930"/>
    <tableColumn id="32" xr3:uid="{AACDCBF5-52F9-4E7E-99BE-9D9ECA33FCD7}" name="2019" dataDxfId="1929"/>
    <tableColumn id="33" xr3:uid="{BB69A238-5466-4150-9FEB-EC54500E4E1E}" name="2020" dataDxfId="1928"/>
    <tableColumn id="34" xr3:uid="{2537FF78-E0E0-47B3-8D96-C961414F21B7}" name="2021" dataDxfId="1927"/>
    <tableColumn id="35" xr3:uid="{49BDBBB0-3777-4DF2-A69E-C6FA0D7F54EF}" name="2022" dataDxfId="1926"/>
    <tableColumn id="36" xr3:uid="{04F98CD9-F108-42EE-A603-1F32923EC222}" name="2023" dataDxfId="1925"/>
  </tableColumns>
  <tableStyleInfo name="TableStyleLight1"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BC50BF54-8BDB-45C2-B215-1159B2FD8751}" name="NGTransmissionCH4kgEFsLNGImportTerminals" displayName="NGTransmissionCH4kgEFsLNGImportTerminals" ref="A132:AJ135" totalsRowShown="0" headerRowDxfId="1924" dataDxfId="1923">
  <autoFilter ref="A132:AJ135" xr:uid="{BC50BF54-8BDB-45C2-B215-1159B2FD875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DDFE43F6-542A-483E-A985-9C4F52C54F02}" name="LNG Import Terminal Leaks/Blowdowns" dataDxfId="1922"/>
    <tableColumn id="2" xr3:uid="{D9901F1A-0EF6-47A3-BC51-A261BEF9309E}" name="Units" dataDxfId="1921"/>
    <tableColumn id="3" xr3:uid="{665C452F-445C-4E0C-8C99-1BD19099F98C}" name="1990"/>
    <tableColumn id="4" xr3:uid="{59B1F4D2-EEC6-471C-9E0D-4009BE7B792F}" name="1991"/>
    <tableColumn id="5" xr3:uid="{0EA3AA26-75B0-4E1D-96E9-7C9C8AF75D50}" name="1992"/>
    <tableColumn id="6" xr3:uid="{4F2005ED-C7B6-4647-8F6B-DD4A9257ECA7}" name="1993"/>
    <tableColumn id="7" xr3:uid="{29A3BCED-5ED6-4E2A-9BAA-D71433CC89EB}" name="1994"/>
    <tableColumn id="8" xr3:uid="{4F87AB5C-C4B1-43FC-B97D-0271D3A12C82}" name="1995"/>
    <tableColumn id="9" xr3:uid="{D7016F6F-6E90-4DFA-AF04-C9178F892FDA}" name="1996"/>
    <tableColumn id="10" xr3:uid="{0C45C201-AB61-43C6-BB95-A1F673EC72F2}" name="1997"/>
    <tableColumn id="11" xr3:uid="{AC7DA714-F728-4F5B-A203-34C30175104E}" name="1998"/>
    <tableColumn id="12" xr3:uid="{C1A9049C-E495-4244-8FB0-A90E4206B545}" name="1999"/>
    <tableColumn id="13" xr3:uid="{0D421ACB-657A-4256-9EF2-9970F2875F68}" name="2000"/>
    <tableColumn id="14" xr3:uid="{200ADC17-6DF7-4938-A197-166D72E0E1DB}" name="2001"/>
    <tableColumn id="15" xr3:uid="{9DE30D2D-1080-481E-BB41-760E49A357F8}" name="2002"/>
    <tableColumn id="16" xr3:uid="{26C325B3-E081-404B-9C9A-546B4D555190}" name="2003"/>
    <tableColumn id="17" xr3:uid="{FE83AAA9-4697-49CC-8071-BE22C274D78E}" name="2004"/>
    <tableColumn id="18" xr3:uid="{6527D3ED-3AA1-4164-B438-5CDE522C4ADB}" name="2005"/>
    <tableColumn id="19" xr3:uid="{B766523B-0589-433D-8033-01B8ACD01501}" name="2006"/>
    <tableColumn id="20" xr3:uid="{6663DBE2-1FDA-4F18-BF14-12CF498DD2C0}" name="2007"/>
    <tableColumn id="21" xr3:uid="{C43391B0-722F-4B92-B91C-B7A1EBE5519F}" name="2008"/>
    <tableColumn id="22" xr3:uid="{EC25A504-44F1-4257-BDBD-75CEE3432A38}" name="2009"/>
    <tableColumn id="23" xr3:uid="{AA2F4D2E-7C48-47BE-8EDE-98768C000D1E}" name="2010"/>
    <tableColumn id="24" xr3:uid="{7FD084CB-E6C8-4DF1-85A5-E37F6A91DBF2}" name="2011"/>
    <tableColumn id="25" xr3:uid="{A8626E49-7B9D-4743-AF92-B33D1F9F3FF9}" name="2012"/>
    <tableColumn id="26" xr3:uid="{919AE7A9-9ED0-4117-AC42-AA744C63E042}" name="2013"/>
    <tableColumn id="27" xr3:uid="{7825B6EC-2784-4225-8576-4D38A6EF1FF9}" name="2014"/>
    <tableColumn id="28" xr3:uid="{C0AE0C63-1294-42C0-A8D3-C304B8D0EC12}" name="2015"/>
    <tableColumn id="29" xr3:uid="{C18D3C79-9C23-44CE-AE4C-350CDFF31BB2}" name="2016"/>
    <tableColumn id="30" xr3:uid="{325280D2-7236-49D6-9A0F-4B3C608E05ED}" name="2017"/>
    <tableColumn id="31" xr3:uid="{3F15B973-5BD3-4955-B71A-4CB65B10500A}" name="2018"/>
    <tableColumn id="32" xr3:uid="{190B5CD7-7733-45B5-8CBF-38A3D76FEE43}" name="2019"/>
    <tableColumn id="33" xr3:uid="{2D1D2D4A-65B6-47F0-B644-B4934CB3E2DE}" name="2020" dataDxfId="1920"/>
    <tableColumn id="34" xr3:uid="{EAB8E123-957C-40EA-88DF-834A5EE047DC}" name="2021" dataDxfId="1919"/>
    <tableColumn id="35" xr3:uid="{18D39D5B-DBCB-4311-85AF-AAE0F9BB48E8}" name="2022" dataDxfId="1918"/>
    <tableColumn id="36" xr3:uid="{2A664A0D-86DC-4A05-9C4E-D32BCE226727}" name="2023" dataDxfId="1917"/>
  </tableColumns>
  <tableStyleInfo name="TableStyleLight1"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69186B1D-4F92-40C6-B019-B30D2A95AE1A}" name="NGTransmissionCH4mtEFsPipelineandVenting" displayName="NGTransmissionCH4mtEFsPipelineandVenting" ref="A138:AJ141" totalsRowShown="0" headerRowDxfId="1916" dataDxfId="1914" headerRowBorderDxfId="1915" tableBorderDxfId="1913" totalsRowBorderDxfId="1912">
  <autoFilter ref="A138:AJ141" xr:uid="{69186B1D-4F92-40C6-B019-B30D2A95AE1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3FB3423A-DC2C-4006-8A7E-582E5BA33828}" name="Pipeline and Pipeline Venting"/>
    <tableColumn id="2" xr3:uid="{746632CC-5A27-4A2B-8ED4-F5D6F91DAC74}" name="Units" dataDxfId="1911"/>
    <tableColumn id="3" xr3:uid="{FE149802-58D9-4837-BCCF-47ADBC1C522C}" name="1990" dataDxfId="1910">
      <calculatedColumnFormula>C103*#REF!</calculatedColumnFormula>
    </tableColumn>
    <tableColumn id="4" xr3:uid="{89AF4863-714E-4E0D-879C-40E3C0EB4942}" name="1991" dataDxfId="1909">
      <calculatedColumnFormula>D103*#REF!</calculatedColumnFormula>
    </tableColumn>
    <tableColumn id="5" xr3:uid="{3C1529A2-7E9C-4912-A05C-135D3FC52C00}" name="1992" dataDxfId="1908">
      <calculatedColumnFormula>E103*#REF!</calculatedColumnFormula>
    </tableColumn>
    <tableColumn id="6" xr3:uid="{166A91C5-8CA6-4696-9F9A-949810F3851A}" name="1993" dataDxfId="1907">
      <calculatedColumnFormula>F103*#REF!</calculatedColumnFormula>
    </tableColumn>
    <tableColumn id="7" xr3:uid="{3F83E34C-E3A5-4B1D-AE6F-131D00582990}" name="1994" dataDxfId="1906">
      <calculatedColumnFormula>G103*#REF!</calculatedColumnFormula>
    </tableColumn>
    <tableColumn id="8" xr3:uid="{6F612799-BC6E-405A-ABEF-E8CA060CF65A}" name="1995" dataDxfId="1905">
      <calculatedColumnFormula>H103*#REF!</calculatedColumnFormula>
    </tableColumn>
    <tableColumn id="9" xr3:uid="{1B85075A-18BF-4DDA-B7D0-FA49A60920A0}" name="1996" dataDxfId="1904">
      <calculatedColumnFormula>I103*#REF!</calculatedColumnFormula>
    </tableColumn>
    <tableColumn id="10" xr3:uid="{2B3D447D-710E-4D88-B8FD-113F58CAF4E1}" name="1997" dataDxfId="1903">
      <calculatedColumnFormula>J103*#REF!</calculatedColumnFormula>
    </tableColumn>
    <tableColumn id="11" xr3:uid="{4CF124D4-96F2-444E-B124-FCADA6F4B808}" name="1998" dataDxfId="1902">
      <calculatedColumnFormula>K103*#REF!</calculatedColumnFormula>
    </tableColumn>
    <tableColumn id="12" xr3:uid="{DC7CED0D-4BE8-4807-98C4-675490C9C356}" name="1999" dataDxfId="1901">
      <calculatedColumnFormula>L103*#REF!</calculatedColumnFormula>
    </tableColumn>
    <tableColumn id="13" xr3:uid="{B0549182-C21F-46EE-90A8-2CB5B7F39C5B}" name="2000" dataDxfId="1900">
      <calculatedColumnFormula>M103*#REF!</calculatedColumnFormula>
    </tableColumn>
    <tableColumn id="14" xr3:uid="{FC7EA3B4-EBAA-4D18-A05C-9E836882DB86}" name="2001" dataDxfId="1899">
      <calculatedColumnFormula>N103*#REF!</calculatedColumnFormula>
    </tableColumn>
    <tableColumn id="15" xr3:uid="{620FEEEA-D630-4824-AECE-6563C0F3A076}" name="2002" dataDxfId="1898">
      <calculatedColumnFormula>O103*#REF!</calculatedColumnFormula>
    </tableColumn>
    <tableColumn id="16" xr3:uid="{BA518DBE-D27A-4D95-973D-E4878096879E}" name="2003" dataDxfId="1897">
      <calculatedColumnFormula>P103*#REF!</calculatedColumnFormula>
    </tableColumn>
    <tableColumn id="17" xr3:uid="{426ED784-162B-4198-BB06-066A5C135EC9}" name="2004" dataDxfId="1896">
      <calculatedColumnFormula>Q103*#REF!</calculatedColumnFormula>
    </tableColumn>
    <tableColumn id="18" xr3:uid="{B5F3473E-1F39-4A77-8716-18B0EA5BA868}" name="2005" dataDxfId="1895">
      <calculatedColumnFormula>R103*#REF!</calculatedColumnFormula>
    </tableColumn>
    <tableColumn id="19" xr3:uid="{7D41CB3F-ADCE-4362-B6C7-38D67F830BA7}" name="2006" dataDxfId="1894">
      <calculatedColumnFormula>S103*#REF!</calculatedColumnFormula>
    </tableColumn>
    <tableColumn id="20" xr3:uid="{B868BA3C-2D89-487C-B88D-BCA4F9232F98}" name="2007" dataDxfId="1893">
      <calculatedColumnFormula>T103*#REF!</calculatedColumnFormula>
    </tableColumn>
    <tableColumn id="21" xr3:uid="{76051DFA-5D8D-4FA2-8049-D67E5027EC13}" name="2008" dataDxfId="1892">
      <calculatedColumnFormula>U103*#REF!</calculatedColumnFormula>
    </tableColumn>
    <tableColumn id="22" xr3:uid="{AC02BBCF-A935-4F54-B614-C3EA3B9FB181}" name="2009" dataDxfId="1891">
      <calculatedColumnFormula>V103*#REF!</calculatedColumnFormula>
    </tableColumn>
    <tableColumn id="23" xr3:uid="{673C87CB-C494-4D89-9E09-7F7CEF10515E}" name="2010" dataDxfId="1890">
      <calculatedColumnFormula>W103*#REF!</calculatedColumnFormula>
    </tableColumn>
    <tableColumn id="24" xr3:uid="{D73BB166-098C-417C-97E8-DB8B2BAC2F63}" name="2011" dataDxfId="1889">
      <calculatedColumnFormula>X103*#REF!</calculatedColumnFormula>
    </tableColumn>
    <tableColumn id="25" xr3:uid="{40C0685B-87AB-40CB-8EEA-714F14ED82BB}" name="2012" dataDxfId="1888">
      <calculatedColumnFormula>Y103*#REF!</calculatedColumnFormula>
    </tableColumn>
    <tableColumn id="26" xr3:uid="{CE1FD32A-BE5E-4F82-9A76-C7422C24AA2C}" name="2013" dataDxfId="1887">
      <calculatedColumnFormula>Z103*#REF!</calculatedColumnFormula>
    </tableColumn>
    <tableColumn id="27" xr3:uid="{00C1BF38-18EE-48BF-A4E7-8624C04816AB}" name="2014" dataDxfId="1886">
      <calculatedColumnFormula>AA103*#REF!</calculatedColumnFormula>
    </tableColumn>
    <tableColumn id="28" xr3:uid="{EACF2A51-4DE7-4FC5-98DA-FCAC7CBA6DB0}" name="2015" dataDxfId="1885">
      <calculatedColumnFormula>AB103*#REF!</calculatedColumnFormula>
    </tableColumn>
    <tableColumn id="29" xr3:uid="{3E52D7B3-5EC0-49CA-B925-37A65DAB6822}" name="2016" dataDxfId="1884">
      <calculatedColumnFormula>AC103*#REF!</calculatedColumnFormula>
    </tableColumn>
    <tableColumn id="30" xr3:uid="{ACEA3FA9-D6ED-41A2-951B-0A5ABCAA135D}" name="2017" dataDxfId="1883">
      <calculatedColumnFormula>AD103*#REF!</calculatedColumnFormula>
    </tableColumn>
    <tableColumn id="31" xr3:uid="{9B6E9BCE-C202-496D-9DB1-D7834EDDE8B1}" name="2018" dataDxfId="1882">
      <calculatedColumnFormula>AE103*#REF!</calculatedColumnFormula>
    </tableColumn>
    <tableColumn id="32" xr3:uid="{66C96249-4775-439F-B922-818C23861C14}" name="2019" dataDxfId="1881">
      <calculatedColumnFormula>AF103*#REF!</calculatedColumnFormula>
    </tableColumn>
    <tableColumn id="33" xr3:uid="{BC7170E5-361E-44C3-A480-AE0830C49011}" name="2020" dataDxfId="1880">
      <calculatedColumnFormula>AG103*#REF!</calculatedColumnFormula>
    </tableColumn>
    <tableColumn id="34" xr3:uid="{06B29FB4-EF03-4C46-AB29-B965BEAC87A7}" name="2021" dataDxfId="1879">
      <calculatedColumnFormula>AH103*#REF!</calculatedColumnFormula>
    </tableColumn>
    <tableColumn id="35" xr3:uid="{B8ECDB47-537B-45D2-89A8-897B0C7A3EFD}" name="2022" dataDxfId="1878">
      <calculatedColumnFormula>AI103*#REF!</calculatedColumnFormula>
    </tableColumn>
    <tableColumn id="36" xr3:uid="{1231FEF8-75CC-4A94-A06A-355212DEF28D}" name="2023" dataDxfId="1877">
      <calculatedColumnFormula>AJ103*#REF!</calculatedColumnFormula>
    </tableColumn>
  </tableColumns>
  <tableStyleInfo name="TableStyleLight1"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C56FAA59-83C6-42A5-93CF-D6DC9A48BE39}" name="NGTransmissionCH4mtEFsCompressorsandStation" displayName="NGTransmissionCH4mtEFsCompressorsandStation" ref="A144:AJ151" totalsRowShown="0" headerRowDxfId="1876" dataDxfId="1874" headerRowBorderDxfId="1875" tableBorderDxfId="1873">
  <autoFilter ref="A144:AJ151" xr:uid="{C56FAA59-83C6-42A5-93CF-D6DC9A48BE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4ECE84D1-1320-4915-9717-7F4181434766}" name="Stations/Compressor Types/Venting"/>
    <tableColumn id="2" xr3:uid="{C0D6604F-9232-4064-9E66-B720C3485CDF}" name="Units" dataDxfId="1872"/>
    <tableColumn id="3" xr3:uid="{644A3BA0-169D-4A2E-85F5-62514B37E702}" name="1990" dataDxfId="1871">
      <calculatedColumnFormula>C109*#REF!</calculatedColumnFormula>
    </tableColumn>
    <tableColumn id="4" xr3:uid="{7D0D20F6-7CE7-4A1C-9B3E-35FBB201EB3C}" name="1991" dataDxfId="1870">
      <calculatedColumnFormula>D109*#REF!</calculatedColumnFormula>
    </tableColumn>
    <tableColumn id="5" xr3:uid="{3EDF3D2D-6360-4310-96D9-8C4B4CA75DC6}" name="1992" dataDxfId="1869">
      <calculatedColumnFormula>E109*#REF!</calculatedColumnFormula>
    </tableColumn>
    <tableColumn id="6" xr3:uid="{DB46F4CC-36BF-4C2C-88C1-DB1109958B54}" name="1993" dataDxfId="1868">
      <calculatedColumnFormula>F109*#REF!</calculatedColumnFormula>
    </tableColumn>
    <tableColumn id="7" xr3:uid="{BCC08537-B4FB-4406-A4A4-CC2D2E132FE4}" name="1994" dataDxfId="1867">
      <calculatedColumnFormula>G109*#REF!</calculatedColumnFormula>
    </tableColumn>
    <tableColumn id="8" xr3:uid="{F7379673-F405-45E1-B6B0-8506B1DB3047}" name="1995" dataDxfId="1866">
      <calculatedColumnFormula>H109*#REF!</calculatedColumnFormula>
    </tableColumn>
    <tableColumn id="9" xr3:uid="{CFC7FD02-9293-4D1F-B411-051B2FBCACF5}" name="1996" dataDxfId="1865">
      <calculatedColumnFormula>I109*#REF!</calculatedColumnFormula>
    </tableColumn>
    <tableColumn id="10" xr3:uid="{3FD0E0D0-6644-4828-8B4A-F58602CB19AF}" name="1997" dataDxfId="1864">
      <calculatedColumnFormula>J109*#REF!</calculatedColumnFormula>
    </tableColumn>
    <tableColumn id="11" xr3:uid="{362FC47F-2684-4E3E-9499-B7A4AB16C38D}" name="1998" dataDxfId="1863">
      <calculatedColumnFormula>K109*#REF!</calculatedColumnFormula>
    </tableColumn>
    <tableColumn id="12" xr3:uid="{3B64B3D7-8B5A-45A6-9F75-60463C7DB413}" name="1999" dataDxfId="1862">
      <calculatedColumnFormula>L109*#REF!</calculatedColumnFormula>
    </tableColumn>
    <tableColumn id="13" xr3:uid="{EA65512C-845E-4BB3-AB41-8981EE379E1A}" name="2000" dataDxfId="1861">
      <calculatedColumnFormula>M109*#REF!</calculatedColumnFormula>
    </tableColumn>
    <tableColumn id="14" xr3:uid="{7F55AC57-12A5-4C9C-A2D8-8441A700C784}" name="2001" dataDxfId="1860">
      <calculatedColumnFormula>N109*#REF!</calculatedColumnFormula>
    </tableColumn>
    <tableColumn id="15" xr3:uid="{DB6E04C1-0B94-4497-94DD-E5EF04EC2B2E}" name="2002" dataDxfId="1859">
      <calculatedColumnFormula>O109*#REF!</calculatedColumnFormula>
    </tableColumn>
    <tableColumn id="16" xr3:uid="{3D180E63-21C1-474A-81EE-ED3CB05CA5A6}" name="2003" dataDxfId="1858">
      <calculatedColumnFormula>P109*#REF!</calculatedColumnFormula>
    </tableColumn>
    <tableColumn id="17" xr3:uid="{32F30736-1041-4100-A27E-7C9001AF5EF3}" name="2004" dataDxfId="1857">
      <calculatedColumnFormula>Q109*#REF!</calculatedColumnFormula>
    </tableColumn>
    <tableColumn id="18" xr3:uid="{A00EDDC8-5074-451D-9821-BAB217A58180}" name="2005" dataDxfId="1856">
      <calculatedColumnFormula>R109*#REF!</calculatedColumnFormula>
    </tableColumn>
    <tableColumn id="19" xr3:uid="{0A80F996-5035-41AA-99B7-B4AF8A2F6E07}" name="2006" dataDxfId="1855">
      <calculatedColumnFormula>S109*#REF!</calculatedColumnFormula>
    </tableColumn>
    <tableColumn id="20" xr3:uid="{32176CE9-C979-439F-922E-FF1D1B615F22}" name="2007" dataDxfId="1854">
      <calculatedColumnFormula>T109*#REF!</calculatedColumnFormula>
    </tableColumn>
    <tableColumn id="21" xr3:uid="{B5EE4643-7F22-4B46-B742-4BF461A3FC9F}" name="2008" dataDxfId="1853">
      <calculatedColumnFormula>U109*#REF!</calculatedColumnFormula>
    </tableColumn>
    <tableColumn id="22" xr3:uid="{95ABB910-4A97-43C2-A8B1-D2010CAE02DE}" name="2009" dataDxfId="1852">
      <calculatedColumnFormula>V109*#REF!</calculatedColumnFormula>
    </tableColumn>
    <tableColumn id="23" xr3:uid="{4199E892-53AD-4E8C-A92E-0B351FE94B3C}" name="2010" dataDxfId="1851">
      <calculatedColumnFormula>W109*#REF!</calculatedColumnFormula>
    </tableColumn>
    <tableColumn id="24" xr3:uid="{FB65DE68-6FDD-445E-AEA2-76E546647A77}" name="2011" dataDxfId="1850">
      <calculatedColumnFormula>X109*#REF!</calculatedColumnFormula>
    </tableColumn>
    <tableColumn id="25" xr3:uid="{F04239F0-093C-49D1-A07A-8FFB6E9CC6C5}" name="2012" dataDxfId="1849">
      <calculatedColumnFormula>Y109*#REF!</calculatedColumnFormula>
    </tableColumn>
    <tableColumn id="26" xr3:uid="{9B5316A1-CD72-4205-AEE2-192482BA4878}" name="2013" dataDxfId="1848">
      <calculatedColumnFormula>Z109*#REF!</calculatedColumnFormula>
    </tableColumn>
    <tableColumn id="27" xr3:uid="{129E4724-A80A-46FB-920B-E924360DB970}" name="2014" dataDxfId="1847">
      <calculatedColumnFormula>AA109*#REF!</calculatedColumnFormula>
    </tableColumn>
    <tableColumn id="28" xr3:uid="{26B3C848-B2B1-46F2-B49D-DB136DC8278D}" name="2015" dataDxfId="1846">
      <calculatedColumnFormula>AB109*#REF!</calculatedColumnFormula>
    </tableColumn>
    <tableColumn id="29" xr3:uid="{A958D979-81D3-46C8-89A8-BDB296613493}" name="2016" dataDxfId="1845">
      <calculatedColumnFormula>AC109*#REF!</calculatedColumnFormula>
    </tableColumn>
    <tableColumn id="30" xr3:uid="{393261F5-D9D6-4585-B1E0-EB1AF53779AE}" name="2017" dataDxfId="1844">
      <calculatedColumnFormula>AD109*#REF!</calculatedColumnFormula>
    </tableColumn>
    <tableColumn id="31" xr3:uid="{A0DEBF99-7F4A-4F2E-8F98-7A9DFF33964A}" name="2018" dataDxfId="1843">
      <calculatedColumnFormula>AE109*#REF!</calculatedColumnFormula>
    </tableColumn>
    <tableColumn id="32" xr3:uid="{712DCEAB-B7FB-4A2B-B718-5F3740A713A9}" name="2019" dataDxfId="1842">
      <calculatedColumnFormula>AF109*#REF!</calculatedColumnFormula>
    </tableColumn>
    <tableColumn id="33" xr3:uid="{924FCAC8-F078-4067-8EA6-DD408942787B}" name="2020" dataDxfId="1841">
      <calculatedColumnFormula>AG109*#REF!</calculatedColumnFormula>
    </tableColumn>
    <tableColumn id="34" xr3:uid="{4F2C2BCD-48A8-460F-8CE0-8EFFFF8D2CD8}" name="2021" dataDxfId="1840">
      <calculatedColumnFormula>AH109*#REF!</calculatedColumnFormula>
    </tableColumn>
    <tableColumn id="35" xr3:uid="{6A985074-139A-44BD-B59C-6E0A40D9C8DE}" name="2022" dataDxfId="1839">
      <calculatedColumnFormula>AI109*#REF!</calculatedColumnFormula>
    </tableColumn>
    <tableColumn id="36" xr3:uid="{ECF7BAA1-64FC-4607-AD0B-BC08578C7815}" name="2023" dataDxfId="1838">
      <calculatedColumnFormula>AJ109*#REF!</calculatedColumnFormula>
    </tableColumn>
  </tableColumns>
  <tableStyleInfo name="TableStyleLight1"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F0B25F4B-B874-42DC-93AD-B25D79FF7D3D}" name="NGTransmissionCH4mtEFsPneumaticeDevices" displayName="NGTransmissionCH4mtEFsPneumaticeDevices" ref="A154:AJ159" totalsRowShown="0" headerRowDxfId="1837" dataDxfId="1835" headerRowBorderDxfId="1836" tableBorderDxfId="1834">
  <autoFilter ref="A154:AJ159" xr:uid="{F0B25F4B-B874-42DC-93AD-B25D79FF7D3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751380A1-522E-4F8A-9A03-43EBFC811612}" name="Devices/Controller Type" dataDxfId="1833"/>
    <tableColumn id="2" xr3:uid="{A05E9023-E7AD-4924-9E53-066BAAAD7B85}" name="Units" dataDxfId="1832"/>
    <tableColumn id="3" xr3:uid="{DDF095A0-85D5-4290-AD54-4289CD4C5437}" name="1990" dataDxfId="1831">
      <calculatedColumnFormula>C119*#REF!</calculatedColumnFormula>
    </tableColumn>
    <tableColumn id="4" xr3:uid="{B80D0E4A-69E1-45E1-AF73-1D54474A7E99}" name="1991" dataDxfId="1830">
      <calculatedColumnFormula>D119*#REF!</calculatedColumnFormula>
    </tableColumn>
    <tableColumn id="5" xr3:uid="{6CC2BC16-28CC-45C9-BE8E-AE2C0BBE416C}" name="1992" dataDxfId="1829">
      <calculatedColumnFormula>E119*#REF!</calculatedColumnFormula>
    </tableColumn>
    <tableColumn id="6" xr3:uid="{404716E3-D807-4898-BB73-CDC91CED9384}" name="1993" dataDxfId="1828">
      <calculatedColumnFormula>F119*#REF!</calculatedColumnFormula>
    </tableColumn>
    <tableColumn id="7" xr3:uid="{07DFEFAD-9D8F-4D10-8E9C-D7D83E9CD1DD}" name="1994" dataDxfId="1827">
      <calculatedColumnFormula>G119*#REF!</calculatedColumnFormula>
    </tableColumn>
    <tableColumn id="8" xr3:uid="{9E053639-7D71-47E0-952B-43BEA8CCAD5F}" name="1995" dataDxfId="1826">
      <calculatedColumnFormula>H119*#REF!</calculatedColumnFormula>
    </tableColumn>
    <tableColumn id="9" xr3:uid="{6A12EE66-18DF-41C8-86D6-36A4B8581BF5}" name="1996" dataDxfId="1825">
      <calculatedColumnFormula>I119*#REF!</calculatedColumnFormula>
    </tableColumn>
    <tableColumn id="10" xr3:uid="{C1D2929E-427D-4D2E-AD1A-E4720835F593}" name="1997" dataDxfId="1824">
      <calculatedColumnFormula>J119*#REF!</calculatedColumnFormula>
    </tableColumn>
    <tableColumn id="11" xr3:uid="{3E082EFD-39A4-42D6-B07D-64AD2DFC2D79}" name="1998" dataDxfId="1823">
      <calculatedColumnFormula>K119*#REF!</calculatedColumnFormula>
    </tableColumn>
    <tableColumn id="12" xr3:uid="{C0D10B15-53B5-4990-8AD6-24784D91A2DE}" name="1999" dataDxfId="1822">
      <calculatedColumnFormula>L119*#REF!</calculatedColumnFormula>
    </tableColumn>
    <tableColumn id="13" xr3:uid="{0A5D13F5-6670-4F4C-811E-FFBAF46010C5}" name="2000" dataDxfId="1821">
      <calculatedColumnFormula>M119*#REF!</calculatedColumnFormula>
    </tableColumn>
    <tableColumn id="14" xr3:uid="{F4FA2644-07AA-440F-9B8C-4CD86257B03E}" name="2001" dataDxfId="1820">
      <calculatedColumnFormula>N119*#REF!</calculatedColumnFormula>
    </tableColumn>
    <tableColumn id="15" xr3:uid="{059183BC-2D53-4056-9239-F887CF83D2CD}" name="2002" dataDxfId="1819">
      <calculatedColumnFormula>O119*#REF!</calculatedColumnFormula>
    </tableColumn>
    <tableColumn id="16" xr3:uid="{53193B6A-273A-439B-94EA-28DE0911BF8B}" name="2003" dataDxfId="1818">
      <calculatedColumnFormula>P119*#REF!</calculatedColumnFormula>
    </tableColumn>
    <tableColumn id="17" xr3:uid="{90C9967B-AB5A-4217-B65D-E735E7CC6B6A}" name="2004" dataDxfId="1817">
      <calculatedColumnFormula>Q119*#REF!</calculatedColumnFormula>
    </tableColumn>
    <tableColumn id="18" xr3:uid="{235DCA75-A2C4-4F86-A3F7-6766F2162381}" name="2005" dataDxfId="1816">
      <calculatedColumnFormula>R119*#REF!</calculatedColumnFormula>
    </tableColumn>
    <tableColumn id="19" xr3:uid="{E6053F52-2284-442F-B22E-DA32DEA463B3}" name="2006" dataDxfId="1815">
      <calculatedColumnFormula>S119*#REF!</calculatedColumnFormula>
    </tableColumn>
    <tableColumn id="20" xr3:uid="{DAD3C424-D7CF-484C-83E7-B42126ACAC3F}" name="2007" dataDxfId="1814">
      <calculatedColumnFormula>T119*#REF!</calculatedColumnFormula>
    </tableColumn>
    <tableColumn id="21" xr3:uid="{934F3AFC-2D9E-471E-BB1E-65B2BDEDE7C6}" name="2008" dataDxfId="1813">
      <calculatedColumnFormula>U119*#REF!</calculatedColumnFormula>
    </tableColumn>
    <tableColumn id="22" xr3:uid="{EDBA5298-EFEE-4AF4-BEBF-020624A32A91}" name="2009" dataDxfId="1812">
      <calculatedColumnFormula>V119*#REF!</calculatedColumnFormula>
    </tableColumn>
    <tableColumn id="23" xr3:uid="{73A4F38E-1DCB-49B7-A5D3-92D2E5798ED6}" name="2010" dataDxfId="1811">
      <calculatedColumnFormula>W119*#REF!</calculatedColumnFormula>
    </tableColumn>
    <tableColumn id="24" xr3:uid="{F7F87BDA-B8A6-4F5A-A2FB-4802574B683C}" name="2011" dataDxfId="1810">
      <calculatedColumnFormula>X119*#REF!</calculatedColumnFormula>
    </tableColumn>
    <tableColumn id="25" xr3:uid="{8DD69DE2-184A-4F8A-A037-4574B75196E3}" name="2012" dataDxfId="1809">
      <calculatedColumnFormula>Y119*#REF!</calculatedColumnFormula>
    </tableColumn>
    <tableColumn id="26" xr3:uid="{B13451E5-E7BC-4860-ABE9-E9334C8684A3}" name="2013" dataDxfId="1808">
      <calculatedColumnFormula>Z119*#REF!</calculatedColumnFormula>
    </tableColumn>
    <tableColumn id="27" xr3:uid="{86BA888C-A199-4DA1-9590-6A78C2ED1796}" name="2014" dataDxfId="1807">
      <calculatedColumnFormula>AA119*#REF!</calculatedColumnFormula>
    </tableColumn>
    <tableColumn id="28" xr3:uid="{1638399E-35FA-470E-ACDD-E516A3155894}" name="2015" dataDxfId="1806">
      <calculatedColumnFormula>AB119*#REF!</calculatedColumnFormula>
    </tableColumn>
    <tableColumn id="29" xr3:uid="{5D91E8AB-DC63-41B2-AD93-61412AA50CE5}" name="2016" dataDxfId="1805">
      <calculatedColumnFormula>AC119*#REF!</calculatedColumnFormula>
    </tableColumn>
    <tableColumn id="30" xr3:uid="{38CACC61-994C-4719-9959-AA0902D7B7A6}" name="2017" dataDxfId="1804">
      <calculatedColumnFormula>AD119*#REF!</calculatedColumnFormula>
    </tableColumn>
    <tableColumn id="31" xr3:uid="{6598414A-C401-4EFE-BA7F-E1580A88BADD}" name="2018" dataDxfId="1803">
      <calculatedColumnFormula>AE119*#REF!</calculatedColumnFormula>
    </tableColumn>
    <tableColumn id="32" xr3:uid="{3E59047E-DBF4-4BC7-AC8F-D6B82439E402}" name="2019" dataDxfId="1802">
      <calculatedColumnFormula>AF119*#REF!</calculatedColumnFormula>
    </tableColumn>
    <tableColumn id="33" xr3:uid="{CA93C1D8-CCBD-49E5-A14B-171AC3A93DDB}" name="2020" dataDxfId="1801">
      <calculatedColumnFormula>AG119*#REF!</calculatedColumnFormula>
    </tableColumn>
    <tableColumn id="34" xr3:uid="{119BFDE1-16D1-4BF4-BE9E-82B5BDB37C11}" name="2021" dataDxfId="1800">
      <calculatedColumnFormula>AH119*#REF!</calculatedColumnFormula>
    </tableColumn>
    <tableColumn id="35" xr3:uid="{076FF1CD-8978-4266-BBCF-065D5E8F18A4}" name="2022" dataDxfId="1799">
      <calculatedColumnFormula>AI119*#REF!</calculatedColumnFormula>
    </tableColumn>
    <tableColumn id="36" xr3:uid="{AE1A37B6-555E-44EE-B2B2-2C53E901B1F6}" name="2023" dataDxfId="1798">
      <calculatedColumnFormula>AJ119*#REF!</calculatedColumnFormula>
    </tableColumn>
  </tableColumns>
  <tableStyleInfo name="TableStyleLight1"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48C9920F-D5A7-4682-BD1F-A4007F5703AF}" name="NGTransmissionCH4mtEFsLNGStorage" displayName="NGTransmissionCH4mtEFsLNGStorage" ref="A162:AJ165" totalsRowShown="0" headerRowDxfId="1797" dataDxfId="1795" headerRowBorderDxfId="1796" tableBorderDxfId="1794">
  <autoFilter ref="A162:AJ165" xr:uid="{48C9920F-D5A7-4682-BD1F-A4007F5703A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CF80081D-AC8B-4558-AAA1-A2A2111D4BF5}" name="LNG Storage Leaks/Blowdowns" dataDxfId="1793"/>
    <tableColumn id="2" xr3:uid="{F931D74E-1ED8-46B2-96C6-68F871681B89}" name="Units" dataDxfId="1792"/>
    <tableColumn id="3" xr3:uid="{8AA77856-3933-41F7-92FE-582599850268}" name="1990" dataDxfId="1791">
      <calculatedColumnFormula>C127*#REF!</calculatedColumnFormula>
    </tableColumn>
    <tableColumn id="4" xr3:uid="{EEF0E7B1-A62E-4D36-BF05-E22F15272C8F}" name="1991" dataDxfId="1790">
      <calculatedColumnFormula>D127*#REF!</calculatedColumnFormula>
    </tableColumn>
    <tableColumn id="5" xr3:uid="{E1C5CE10-CCD2-41CB-AB89-7F294FBEDCB9}" name="1992" dataDxfId="1789">
      <calculatedColumnFormula>E127*#REF!</calculatedColumnFormula>
    </tableColumn>
    <tableColumn id="6" xr3:uid="{094A3B34-AD69-4B12-8958-141A99B53450}" name="1993" dataDxfId="1788">
      <calculatedColumnFormula>F127*#REF!</calculatedColumnFormula>
    </tableColumn>
    <tableColumn id="7" xr3:uid="{19765935-8107-443E-A589-AC2967102B6E}" name="1994" dataDxfId="1787">
      <calculatedColumnFormula>G127*#REF!</calculatedColumnFormula>
    </tableColumn>
    <tableColumn id="8" xr3:uid="{E1E2D9B9-7AE5-48AF-B73F-D0ECB225940B}" name="1995" dataDxfId="1786">
      <calculatedColumnFormula>H127*#REF!</calculatedColumnFormula>
    </tableColumn>
    <tableColumn id="9" xr3:uid="{5CF73AD9-7E05-4A37-8AE2-480C7F60C0E0}" name="1996" dataDxfId="1785">
      <calculatedColumnFormula>I127*#REF!</calculatedColumnFormula>
    </tableColumn>
    <tableColumn id="10" xr3:uid="{52F07F87-9188-455D-8AEB-C363E02960B2}" name="1997" dataDxfId="1784">
      <calculatedColumnFormula>J127*#REF!</calculatedColumnFormula>
    </tableColumn>
    <tableColumn id="11" xr3:uid="{FDC91F1A-2D58-4B63-93DD-10377AA8719A}" name="1998" dataDxfId="1783">
      <calculatedColumnFormula>K127*#REF!</calculatedColumnFormula>
    </tableColumn>
    <tableColumn id="12" xr3:uid="{C4E0BFB4-EBFB-4A93-A8B5-EEDB442230A5}" name="1999" dataDxfId="1782">
      <calculatedColumnFormula>L127*#REF!</calculatedColumnFormula>
    </tableColumn>
    <tableColumn id="13" xr3:uid="{A912B9D9-EF05-4B43-BB9E-E19EF4506A17}" name="2000" dataDxfId="1781">
      <calculatedColumnFormula>M127*#REF!</calculatedColumnFormula>
    </tableColumn>
    <tableColumn id="14" xr3:uid="{BFD56C48-3463-4213-8ABD-9FEDC358E42B}" name="2001" dataDxfId="1780">
      <calculatedColumnFormula>N127*#REF!</calculatedColumnFormula>
    </tableColumn>
    <tableColumn id="15" xr3:uid="{3C8C4FDB-DBE1-42CE-BC69-54384567FFBA}" name="2002" dataDxfId="1779">
      <calculatedColumnFormula>O127*#REF!</calculatedColumnFormula>
    </tableColumn>
    <tableColumn id="16" xr3:uid="{6198FB62-37AE-4850-BD23-A78C9B78164B}" name="2003" dataDxfId="1778">
      <calculatedColumnFormula>P127*#REF!</calculatedColumnFormula>
    </tableColumn>
    <tableColumn id="17" xr3:uid="{4B9427B7-9ED7-42A1-B231-5B0ECA0D5820}" name="2004" dataDxfId="1777">
      <calculatedColumnFormula>Q127*#REF!</calculatedColumnFormula>
    </tableColumn>
    <tableColumn id="18" xr3:uid="{9DC095DE-F328-4B78-8F8A-A9B24B6C5EF7}" name="2005" dataDxfId="1776">
      <calculatedColumnFormula>R127*#REF!</calculatedColumnFormula>
    </tableColumn>
    <tableColumn id="19" xr3:uid="{7AD9F173-DF71-45B9-8115-97755821B167}" name="2006" dataDxfId="1775">
      <calculatedColumnFormula>S127*#REF!</calculatedColumnFormula>
    </tableColumn>
    <tableColumn id="20" xr3:uid="{09546659-7246-4D98-A3BE-211EB479D47A}" name="2007" dataDxfId="1774">
      <calculatedColumnFormula>T127*#REF!</calculatedColumnFormula>
    </tableColumn>
    <tableColumn id="21" xr3:uid="{FB1B8A56-FD98-4C19-AE82-40F48AF822D5}" name="2008" dataDxfId="1773">
      <calculatedColumnFormula>U127*#REF!</calculatedColumnFormula>
    </tableColumn>
    <tableColumn id="22" xr3:uid="{9F92278F-704E-443B-BFD6-36A7EF0ADE54}" name="2009" dataDxfId="1772">
      <calculatedColumnFormula>V127*#REF!</calculatedColumnFormula>
    </tableColumn>
    <tableColumn id="23" xr3:uid="{E85A9DFC-1EC7-4CC3-9422-678D40DFDE0A}" name="2010" dataDxfId="1771">
      <calculatedColumnFormula>W127*#REF!</calculatedColumnFormula>
    </tableColumn>
    <tableColumn id="24" xr3:uid="{7095F7BC-30DA-4FC3-9A76-96FB73B80891}" name="2011" dataDxfId="1770">
      <calculatedColumnFormula>X127*#REF!</calculatedColumnFormula>
    </tableColumn>
    <tableColumn id="25" xr3:uid="{5BD3E7F3-89FF-49C0-9757-50E019387FF3}" name="2012" dataDxfId="1769">
      <calculatedColumnFormula>Y127*#REF!</calculatedColumnFormula>
    </tableColumn>
    <tableColumn id="26" xr3:uid="{258FB1C6-7AD4-4B34-B783-83CE141A14F1}" name="2013" dataDxfId="1768">
      <calculatedColumnFormula>Z127*#REF!</calculatedColumnFormula>
    </tableColumn>
    <tableColumn id="27" xr3:uid="{C7769180-DF4D-4835-817A-16BE3EDDE5E6}" name="2014" dataDxfId="1767">
      <calculatedColumnFormula>AA127*#REF!</calculatedColumnFormula>
    </tableColumn>
    <tableColumn id="28" xr3:uid="{853D56CC-086B-4ACB-BD68-9BBFCDEBA6B3}" name="2015" dataDxfId="1766">
      <calculatedColumnFormula>AB127*#REF!</calculatedColumnFormula>
    </tableColumn>
    <tableColumn id="29" xr3:uid="{251DCE68-DA87-45BA-A141-F5CFC4D90ACD}" name="2016" dataDxfId="1765">
      <calculatedColumnFormula>AC127*#REF!</calculatedColumnFormula>
    </tableColumn>
    <tableColumn id="30" xr3:uid="{0032FB41-932C-43C2-AB76-A3662E7D7AA5}" name="2017" dataDxfId="1764">
      <calculatedColumnFormula>AD127*#REF!</calculatedColumnFormula>
    </tableColumn>
    <tableColumn id="31" xr3:uid="{A080F89A-2FE4-4C2C-B24C-1E5BF462683F}" name="2018" dataDxfId="1763">
      <calculatedColumnFormula>AE127*#REF!</calculatedColumnFormula>
    </tableColumn>
    <tableColumn id="32" xr3:uid="{335E3AE1-AD8F-47E0-ABD3-44592AC0C3E7}" name="2019" dataDxfId="1762">
      <calculatedColumnFormula>AF127*#REF!</calculatedColumnFormula>
    </tableColumn>
    <tableColumn id="33" xr3:uid="{B3989C4A-2030-460B-839C-5B210BA1619C}" name="2020" dataDxfId="1761">
      <calculatedColumnFormula>AG127*#REF!</calculatedColumnFormula>
    </tableColumn>
    <tableColumn id="34" xr3:uid="{8ED4FB45-6109-4E62-B51A-8DB7E1BB3F7E}" name="2021" dataDxfId="1760">
      <calculatedColumnFormula>AH127*#REF!</calculatedColumnFormula>
    </tableColumn>
    <tableColumn id="35" xr3:uid="{81BD0719-524E-4337-B2B6-921F75DDBC18}" name="2022" dataDxfId="1759">
      <calculatedColumnFormula>AI127*#REF!</calculatedColumnFormula>
    </tableColumn>
    <tableColumn id="36" xr3:uid="{BEA10C42-3A69-4B61-B942-F0B821624B93}" name="2023" dataDxfId="1758">
      <calculatedColumnFormula>AJ127*#REF!</calculatedColumnFormula>
    </tableColumn>
  </tableColumns>
  <tableStyleInfo name="TableStyleLight1"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5B28D99B-80BC-4BCE-BAF8-E1724C8BF0E6}" name="NGTransmissionCH4mtEFsLNGImportTerminals" displayName="NGTransmissionCH4mtEFsLNGImportTerminals" ref="A168:AJ171" totalsRowShown="0" headerRowDxfId="1757" dataDxfId="1755" headerRowBorderDxfId="1756" tableBorderDxfId="1754">
  <autoFilter ref="A168:AJ171" xr:uid="{5B28D99B-80BC-4BCE-BAF8-E1724C8BF0E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9324B10B-3BFD-4898-921A-AD611A3EC846}" name="LNG Import Terminal Leaks/Blowdowns" dataDxfId="1753"/>
    <tableColumn id="2" xr3:uid="{6CB3A279-85E9-41BE-979B-A5EE18EFA70A}" name="Units" dataDxfId="1752"/>
    <tableColumn id="3" xr3:uid="{0F822D89-97D0-4863-A890-3A73097813E1}" name="1990" dataDxfId="1751">
      <calculatedColumnFormula>C133*#REF!</calculatedColumnFormula>
    </tableColumn>
    <tableColumn id="4" xr3:uid="{E1A0C670-BFD0-4184-AFE5-97994121AA3C}" name="1991" dataDxfId="1750">
      <calculatedColumnFormula>D133*#REF!</calculatedColumnFormula>
    </tableColumn>
    <tableColumn id="5" xr3:uid="{85D65386-0EE0-456C-B3FD-271BCE4ACDCD}" name="1992" dataDxfId="1749">
      <calculatedColumnFormula>E133*#REF!</calculatedColumnFormula>
    </tableColumn>
    <tableColumn id="6" xr3:uid="{56190C64-3706-4527-BEBE-6DC798C718B8}" name="1993" dataDxfId="1748">
      <calculatedColumnFormula>F133*#REF!</calculatedColumnFormula>
    </tableColumn>
    <tableColumn id="7" xr3:uid="{BCA19B50-C949-439B-BADE-522158B404D3}" name="1994" dataDxfId="1747">
      <calculatedColumnFormula>G133*#REF!</calculatedColumnFormula>
    </tableColumn>
    <tableColumn id="8" xr3:uid="{8053A7A5-3406-4744-A1BC-232437C8E940}" name="1995" dataDxfId="1746">
      <calculatedColumnFormula>H133*#REF!</calculatedColumnFormula>
    </tableColumn>
    <tableColumn id="9" xr3:uid="{037BFBBB-3E2A-446A-9BFF-57F9137F85CB}" name="1996" dataDxfId="1745">
      <calculatedColumnFormula>I133*#REF!</calculatedColumnFormula>
    </tableColumn>
    <tableColumn id="10" xr3:uid="{8892FB8F-512B-44A7-A7B4-77638D03D6D6}" name="1997" dataDxfId="1744">
      <calculatedColumnFormula>J133*#REF!</calculatedColumnFormula>
    </tableColumn>
    <tableColumn id="11" xr3:uid="{A5A59F14-30EB-47F9-B477-07B283CB8D5A}" name="1998" dataDxfId="1743">
      <calculatedColumnFormula>K133*#REF!</calculatedColumnFormula>
    </tableColumn>
    <tableColumn id="12" xr3:uid="{16216B6E-6316-441C-AD3E-EBFDC77BFB9B}" name="1999" dataDxfId="1742">
      <calculatedColumnFormula>L133*#REF!</calculatedColumnFormula>
    </tableColumn>
    <tableColumn id="13" xr3:uid="{9C2CE144-EAFE-4B56-AA75-BB726D73B087}" name="2000" dataDxfId="1741">
      <calculatedColumnFormula>M133*#REF!</calculatedColumnFormula>
    </tableColumn>
    <tableColumn id="14" xr3:uid="{9123CF9E-C958-4A28-85CF-D383764DBE64}" name="2001" dataDxfId="1740">
      <calculatedColumnFormula>N133*#REF!</calculatedColumnFormula>
    </tableColumn>
    <tableColumn id="15" xr3:uid="{7EA23894-71F8-4ADC-B579-525D46A55A95}" name="2002" dataDxfId="1739">
      <calculatedColumnFormula>O133*#REF!</calculatedColumnFormula>
    </tableColumn>
    <tableColumn id="16" xr3:uid="{800CB7D3-2F1B-4911-858E-5169655FFBA1}" name="2003" dataDxfId="1738">
      <calculatedColumnFormula>P133*#REF!</calculatedColumnFormula>
    </tableColumn>
    <tableColumn id="17" xr3:uid="{6B10EF24-4B50-4494-A1B4-697A3B8B1DE5}" name="2004" dataDxfId="1737">
      <calculatedColumnFormula>Q133*#REF!</calculatedColumnFormula>
    </tableColumn>
    <tableColumn id="18" xr3:uid="{49198706-CF89-4739-AF31-0AB5D9177005}" name="2005" dataDxfId="1736">
      <calculatedColumnFormula>R133*#REF!</calculatedColumnFormula>
    </tableColumn>
    <tableColumn id="19" xr3:uid="{3198358D-BCE7-4CB1-84FD-92BC790CCB4C}" name="2006" dataDxfId="1735">
      <calculatedColumnFormula>S133*#REF!</calculatedColumnFormula>
    </tableColumn>
    <tableColumn id="20" xr3:uid="{6E34F687-AC64-4A27-A075-CC301D5323E1}" name="2007" dataDxfId="1734">
      <calculatedColumnFormula>T133*#REF!</calculatedColumnFormula>
    </tableColumn>
    <tableColumn id="21" xr3:uid="{0350901C-A540-445C-98E2-A57175BC92E6}" name="2008" dataDxfId="1733">
      <calculatedColumnFormula>U133*#REF!</calculatedColumnFormula>
    </tableColumn>
    <tableColumn id="22" xr3:uid="{152664C7-A241-44B8-89E7-83C8ACD253AB}" name="2009" dataDxfId="1732">
      <calculatedColumnFormula>V133*#REF!</calculatedColumnFormula>
    </tableColumn>
    <tableColumn id="23" xr3:uid="{D92DC2C5-EDCA-4EC0-BABD-B5B150EF15CC}" name="2010" dataDxfId="1731">
      <calculatedColumnFormula>W133*#REF!</calculatedColumnFormula>
    </tableColumn>
    <tableColumn id="24" xr3:uid="{336D2646-2A5C-48AC-B736-914E1C1C3488}" name="2011" dataDxfId="1730">
      <calculatedColumnFormula>X133*#REF!</calculatedColumnFormula>
    </tableColumn>
    <tableColumn id="25" xr3:uid="{D33DC134-A92C-4B34-9299-AE18DAF3D9EE}" name="2012" dataDxfId="1729">
      <calculatedColumnFormula>Y133*#REF!</calculatedColumnFormula>
    </tableColumn>
    <tableColumn id="26" xr3:uid="{DC61E08F-0B41-4447-9CC4-15EAC7E95D13}" name="2013" dataDxfId="1728">
      <calculatedColumnFormula>Z133*#REF!</calculatedColumnFormula>
    </tableColumn>
    <tableColumn id="27" xr3:uid="{93BD295C-0630-4043-BA7E-39B472D2E159}" name="2014" dataDxfId="1727">
      <calculatedColumnFormula>AA133*#REF!</calculatedColumnFormula>
    </tableColumn>
    <tableColumn id="28" xr3:uid="{D8806138-8DE8-4021-9905-8982AD0C1B96}" name="2015" dataDxfId="1726">
      <calculatedColumnFormula>AB133*#REF!</calculatedColumnFormula>
    </tableColumn>
    <tableColumn id="29" xr3:uid="{D80F316F-42EF-417F-AE23-D84F24744256}" name="2016" dataDxfId="1725">
      <calculatedColumnFormula>AC133*#REF!</calculatedColumnFormula>
    </tableColumn>
    <tableColumn id="30" xr3:uid="{BE20334D-910E-4CF7-AAED-C39CFD90176F}" name="2017" dataDxfId="1724">
      <calculatedColumnFormula>AD133*#REF!</calculatedColumnFormula>
    </tableColumn>
    <tableColumn id="31" xr3:uid="{B8537E7F-79E5-47BE-AAE3-07E305139D06}" name="2018" dataDxfId="1723">
      <calculatedColumnFormula>AE133*#REF!</calculatedColumnFormula>
    </tableColumn>
    <tableColumn id="32" xr3:uid="{BB2A045E-5534-4955-AB2E-E03106FB512D}" name="2019" dataDxfId="1722">
      <calculatedColumnFormula>AF133*#REF!</calculatedColumnFormula>
    </tableColumn>
    <tableColumn id="33" xr3:uid="{25BF9D48-CEC8-4123-8508-A6E982C78122}" name="2020" dataDxfId="1721">
      <calculatedColumnFormula>AG133*#REF!</calculatedColumnFormula>
    </tableColumn>
    <tableColumn id="34" xr3:uid="{19137907-62CB-4C8A-B140-3D79F770D1AA}" name="2021" dataDxfId="1720">
      <calculatedColumnFormula>AH133*#REF!</calculatedColumnFormula>
    </tableColumn>
    <tableColumn id="35" xr3:uid="{66DD9A95-8A72-4586-AB4E-A6B26716D210}" name="2022" dataDxfId="1719">
      <calculatedColumnFormula>AI133*#REF!</calculatedColumnFormula>
    </tableColumn>
    <tableColumn id="36" xr3:uid="{4AD4D20B-E0E3-4815-A189-D5F027AF47BB}" name="2023" dataDxfId="1718">
      <calculatedColumnFormula>AJ133*#REF!</calculatedColumnFormula>
    </tableColumn>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4" xr:uid="{953726D9-A95F-4CC5-A616-CD452634F017}" name="AdjustableGWPMAGHGEmissionsByGasasPercentOFTotal2023" displayName="AdjustableGWPMAGHGEmissionsByGasasPercentOFTotal2023" ref="R36:T43" totalsRowShown="0" headerRowDxfId="5168" headerRowBorderDxfId="5167" tableBorderDxfId="5166">
  <autoFilter ref="R36:T43" xr:uid="{953726D9-A95F-4CC5-A616-CD452634F017}">
    <filterColumn colId="0" hiddenButton="1"/>
    <filterColumn colId="1" hiddenButton="1"/>
    <filterColumn colId="2" hiddenButton="1"/>
  </autoFilter>
  <tableColumns count="3">
    <tableColumn id="1" xr3:uid="{CC508C69-12B5-413D-A635-6E2F0942AB5E}" name="MMTCO2e" dataDxfId="5165"/>
    <tableColumn id="2" xr3:uid="{435F378A-EB75-43A1-AF2C-5A3A1DE62625}" name="Percent" dataDxfId="5164" dataCellStyle="Percent"/>
    <tableColumn id="3" xr3:uid="{268C499E-E949-451C-9CF6-EE9ABFFB9BCD}" name="Gas" dataDxfId="5163"/>
  </tableColumns>
  <tableStyleInfo name="TableStyleLight1"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63E2F4DE-2F23-4D8C-9BE6-3FBBD674A0FA}" name="NGTransmissionEmissionsMTCH4PipelineandVenting" displayName="NGTransmissionEmissionsMTCH4PipelineandVenting" ref="A175:AJ178" totalsRowShown="0" headerRowDxfId="1717" tableBorderDxfId="1716">
  <autoFilter ref="A175:AJ178" xr:uid="{63E2F4DE-2F23-4D8C-9BE6-3FBBD674A0F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D3218071-73F3-4FEC-9817-9A08AF09DD74}" name="Pipeline and Pipeline Venting" dataDxfId="1715"/>
    <tableColumn id="2" xr3:uid="{F8042ABD-6ED6-4467-BD8A-523DBD4CA505}" name="Units" dataDxfId="1714"/>
    <tableColumn id="3" xr3:uid="{7EED65F3-D759-409B-83D5-872C4B6D3985}" name="1990" dataDxfId="1713">
      <calculatedColumnFormula>C53*C139</calculatedColumnFormula>
    </tableColumn>
    <tableColumn id="4" xr3:uid="{EBBEB8F6-EAC7-4DE8-B4E3-DCE3B18C013A}" name="1991" dataDxfId="1712">
      <calculatedColumnFormula>D53*D139</calculatedColumnFormula>
    </tableColumn>
    <tableColumn id="5" xr3:uid="{B91F1B73-1050-49B5-8BE8-3360D7273244}" name="1992" dataDxfId="1711">
      <calculatedColumnFormula>E53*E139</calculatedColumnFormula>
    </tableColumn>
    <tableColumn id="6" xr3:uid="{61EF7128-F251-4EE3-97E0-32B8C70BEB19}" name="1993" dataDxfId="1710">
      <calculatedColumnFormula>F53*F139</calculatedColumnFormula>
    </tableColumn>
    <tableColumn id="7" xr3:uid="{9787C9AE-70F4-4D7D-B3F2-A6E491419585}" name="1994" dataDxfId="1709">
      <calculatedColumnFormula>G53*G139</calculatedColumnFormula>
    </tableColumn>
    <tableColumn id="8" xr3:uid="{FF557129-F7FA-4713-8F08-F14857BCC3F1}" name="1995" dataDxfId="1708">
      <calculatedColumnFormula>H53*H139</calculatedColumnFormula>
    </tableColumn>
    <tableColumn id="9" xr3:uid="{321CE5CC-0457-4E58-8625-62D5A2DE3172}" name="1996" dataDxfId="1707">
      <calculatedColumnFormula>I53*I139</calculatedColumnFormula>
    </tableColumn>
    <tableColumn id="10" xr3:uid="{2EA24113-DDD8-4E1D-8C5E-65D19BCCA105}" name="1997" dataDxfId="1706">
      <calculatedColumnFormula>J53*J139</calculatedColumnFormula>
    </tableColumn>
    <tableColumn id="11" xr3:uid="{D31D45A7-E8AD-4374-8B9A-D9E74B4DD251}" name="1998" dataDxfId="1705">
      <calculatedColumnFormula>K53*K139</calculatedColumnFormula>
    </tableColumn>
    <tableColumn id="12" xr3:uid="{448D232A-398B-436D-986A-15E9DF38A8CD}" name="1999" dataDxfId="1704">
      <calculatedColumnFormula>L53*L139</calculatedColumnFormula>
    </tableColumn>
    <tableColumn id="13" xr3:uid="{E595B1C2-C742-4FA5-8B85-3F05AEE6F647}" name="2000" dataDxfId="1703">
      <calculatedColumnFormula>M53*M139</calculatedColumnFormula>
    </tableColumn>
    <tableColumn id="14" xr3:uid="{83D17675-2CE3-4DE6-ACE4-0DC971837EEF}" name="2001" dataDxfId="1702">
      <calculatedColumnFormula>N53*N139</calculatedColumnFormula>
    </tableColumn>
    <tableColumn id="15" xr3:uid="{D5344B03-8B42-4061-B8D0-2BBD0255FFAC}" name="2002" dataDxfId="1701">
      <calculatedColumnFormula>O53*O139</calculatedColumnFormula>
    </tableColumn>
    <tableColumn id="16" xr3:uid="{9FB9032B-048C-4AAF-903D-279D5FA003C0}" name="2003" dataDxfId="1700">
      <calculatedColumnFormula>P53*P139</calculatedColumnFormula>
    </tableColumn>
    <tableColumn id="17" xr3:uid="{FFCF675E-7195-4184-8B35-08BDEC7C38A9}" name="2004" dataDxfId="1699">
      <calculatedColumnFormula>Q53*Q139</calculatedColumnFormula>
    </tableColumn>
    <tableColumn id="18" xr3:uid="{C21CAC68-3923-4B6F-9B5D-434A5483D7A6}" name="2005" dataDxfId="1698">
      <calculatedColumnFormula>R53*R139</calculatedColumnFormula>
    </tableColumn>
    <tableColumn id="19" xr3:uid="{14B5C0B4-B31F-485A-97D3-D5C3DF31A7BF}" name="2006" dataDxfId="1697">
      <calculatedColumnFormula>S53*S139</calculatedColumnFormula>
    </tableColumn>
    <tableColumn id="20" xr3:uid="{0EA03D7B-2FAD-48FA-B310-7845893BA28F}" name="2007" dataDxfId="1696">
      <calculatedColumnFormula>T53*T139</calculatedColumnFormula>
    </tableColumn>
    <tableColumn id="21" xr3:uid="{966FFED9-AAF4-4554-848A-120ACC3F1EC4}" name="2008" dataDxfId="1695">
      <calculatedColumnFormula>U53*U139</calculatedColumnFormula>
    </tableColumn>
    <tableColumn id="22" xr3:uid="{AD1181AD-B151-45F9-8226-2B0ED0DECCD0}" name="2009" dataDxfId="1694">
      <calculatedColumnFormula>V53*V139</calculatedColumnFormula>
    </tableColumn>
    <tableColumn id="23" xr3:uid="{03F3616C-ED36-4998-BBF4-BC4C6E52DFC7}" name="2010" dataDxfId="1693">
      <calculatedColumnFormula>W53*W139</calculatedColumnFormula>
    </tableColumn>
    <tableColumn id="24" xr3:uid="{EF60B6EB-6757-4B2A-99ED-881DB5E5376D}" name="2011" dataDxfId="1692">
      <calculatedColumnFormula>X53*X139</calculatedColumnFormula>
    </tableColumn>
    <tableColumn id="25" xr3:uid="{53E91912-CC72-4ABE-A1FF-686700F71BB5}" name="2012" dataDxfId="1691">
      <calculatedColumnFormula>Y53*Y139</calculatedColumnFormula>
    </tableColumn>
    <tableColumn id="26" xr3:uid="{F1B66E6C-0AB0-49C4-B410-809702D10724}" name="2013" dataDxfId="1690">
      <calculatedColumnFormula>Z53*Z139</calculatedColumnFormula>
    </tableColumn>
    <tableColumn id="27" xr3:uid="{F43D345A-3B3F-4044-9D70-3F78724FF5F3}" name="2014" dataDxfId="1689">
      <calculatedColumnFormula>AA53*AA139</calculatedColumnFormula>
    </tableColumn>
    <tableColumn id="28" xr3:uid="{1FA56AEF-7AA3-488A-9342-BDE929FF738A}" name="2015" dataDxfId="1688">
      <calculatedColumnFormula>AB53*AB139</calculatedColumnFormula>
    </tableColumn>
    <tableColumn id="29" xr3:uid="{28C32BFA-3AF7-40FE-BD28-D6FA1C350A6D}" name="2016">
      <calculatedColumnFormula>(AC53-AC395)*AC139+AC397</calculatedColumnFormula>
    </tableColumn>
    <tableColumn id="30" xr3:uid="{E077C59E-81F4-40EB-9082-48187FF7EECC}" name="2017">
      <calculatedColumnFormula>(AD53-AD395)*AD139+AD397</calculatedColumnFormula>
    </tableColumn>
    <tableColumn id="31" xr3:uid="{9E58B87C-59C4-4681-BF4E-50509628AF0F}" name="2018">
      <calculatedColumnFormula>(AE53-AE395)*AE139+AE397</calculatedColumnFormula>
    </tableColumn>
    <tableColumn id="32" xr3:uid="{E6D8488B-A92A-445F-9A4A-59F965857AE0}" name="2019">
      <calculatedColumnFormula>(AF53-AF395)*AF139+AF397</calculatedColumnFormula>
    </tableColumn>
    <tableColumn id="33" xr3:uid="{A39D6F31-B6FD-48CD-9C34-DFB62849F4F6}" name="2020">
      <calculatedColumnFormula>(AG53-AG395)*AG139+AG397</calculatedColumnFormula>
    </tableColumn>
    <tableColumn id="34" xr3:uid="{DFBB6D74-9052-434D-88B7-4709EA8A4CCC}" name="2021">
      <calculatedColumnFormula>(AH53-AH395)*AH139+AH397</calculatedColumnFormula>
    </tableColumn>
    <tableColumn id="35" xr3:uid="{B503474A-F82F-47AC-A938-D6C5A33095CF}" name="2022">
      <calculatedColumnFormula>(AI53-AI395)*AI139+AI397</calculatedColumnFormula>
    </tableColumn>
    <tableColumn id="36" xr3:uid="{05AFA811-462E-4510-A840-885C6FF41E66}" name="2023">
      <calculatedColumnFormula>(AJ53-AJ395)*AJ139+AJ397</calculatedColumnFormula>
    </tableColumn>
  </tableColumns>
  <tableStyleInfo name="TableStyleLight2"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8C497B56-D579-475B-8DF1-AEAAE2377EBC}" name="NGTransmissionEmissionsMTCH4CompressorsandStations" displayName="NGTransmissionEmissionsMTCH4CompressorsandStations" ref="A183:AJ191" totalsRowShown="0" headerRowDxfId="1687" dataDxfId="1685" headerRowBorderDxfId="1686" tableBorderDxfId="1684">
  <autoFilter ref="A183:AJ191" xr:uid="{8C497B56-D579-475B-8DF1-AEAAE2377EB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EAACCEF0-CF04-41C8-93F1-D41CD04D907B}" name="Stations, Compressors and Venting" dataDxfId="1683"/>
    <tableColumn id="2" xr3:uid="{3FDC51AD-B9D3-413E-B353-BD17FC3AC520}" name="Units" dataDxfId="1682"/>
    <tableColumn id="3" xr3:uid="{9B2957AC-5DE6-4504-82F1-4127592CCEB7}" name="1990" dataDxfId="1681"/>
    <tableColumn id="4" xr3:uid="{AA876778-4A77-452C-B4E7-6AAF19CDA5A3}" name="1991" dataDxfId="1680"/>
    <tableColumn id="5" xr3:uid="{40E47BE8-9854-41D6-96E8-A9186F371F7B}" name="1992" dataDxfId="1679"/>
    <tableColumn id="6" xr3:uid="{61A6D52E-91A6-4795-B3F6-541AD4233855}" name="1993" dataDxfId="1678"/>
    <tableColumn id="7" xr3:uid="{DE4FAF25-56F3-44A8-BC28-C84C3BB87117}" name="1994" dataDxfId="1677"/>
    <tableColumn id="8" xr3:uid="{A6FB77AC-8B74-48B0-9B3A-EC0E3328440D}" name="1995" dataDxfId="1676"/>
    <tableColumn id="9" xr3:uid="{31BF15D5-4899-44B2-9D2E-BCF467F37D59}" name="1996" dataDxfId="1675"/>
    <tableColumn id="10" xr3:uid="{78874AAC-24AE-470D-B38C-5C7DD95DD564}" name="1997" dataDxfId="1674"/>
    <tableColumn id="11" xr3:uid="{DF45394E-5EEC-4008-A914-4D728936C367}" name="1998" dataDxfId="1673"/>
    <tableColumn id="12" xr3:uid="{1E005132-5C53-4ABA-8E11-C4F6531DC28E}" name="1999" dataDxfId="1672"/>
    <tableColumn id="13" xr3:uid="{83E49274-90A4-4D15-9958-C14032B2CD86}" name="2000" dataDxfId="1671"/>
    <tableColumn id="14" xr3:uid="{EF6E14F4-31F0-4A1C-BF83-1EFADC96A486}" name="2001" dataDxfId="1670"/>
    <tableColumn id="15" xr3:uid="{6B48C0F7-B166-4B67-AC43-5790FE67E8D8}" name="2002" dataDxfId="1669"/>
    <tableColumn id="16" xr3:uid="{9DF9CAF3-7FAD-41D5-94B0-1930CEAD2889}" name="2003" dataDxfId="1668"/>
    <tableColumn id="17" xr3:uid="{53604429-1C8B-4657-8F08-F58F6CB5CC76}" name="2004" dataDxfId="1667"/>
    <tableColumn id="18" xr3:uid="{35459E2C-83D6-4540-94B3-CD2E392B4664}" name="2005" dataDxfId="1666"/>
    <tableColumn id="19" xr3:uid="{1E864A97-9A84-4060-A64A-3FA2C8810AC7}" name="2006" dataDxfId="1665"/>
    <tableColumn id="20" xr3:uid="{596B14CE-982E-4FA6-95B0-D83EBA4AB349}" name="2007" dataDxfId="1664"/>
    <tableColumn id="21" xr3:uid="{05D93055-15A4-4298-ACE2-6934A4D2CFB5}" name="2008" dataDxfId="1663"/>
    <tableColumn id="22" xr3:uid="{B0F81498-EAD9-4BC4-AE4F-EE6B21EAE110}" name="2009" dataDxfId="1662"/>
    <tableColumn id="23" xr3:uid="{91F8C43C-7B75-49DF-B42F-7CB9F6915F1F}" name="2010" dataDxfId="1661"/>
    <tableColumn id="24" xr3:uid="{A7514535-CAC6-46DC-B29F-0D190D788C34}" name="2011" dataDxfId="1660"/>
    <tableColumn id="25" xr3:uid="{45CF0E5C-FB59-4911-BD86-C43EEC401437}" name="2012" dataDxfId="1659"/>
    <tableColumn id="26" xr3:uid="{31A4C5F0-6BCD-4348-98C3-0CE3E588391D}" name="2013" dataDxfId="1658"/>
    <tableColumn id="27" xr3:uid="{59D90638-72DF-4AEE-92FA-124501A212CD}" name="2014" dataDxfId="1657"/>
    <tableColumn id="28" xr3:uid="{8348F4A7-1487-405F-9955-1FF69B24FCEC}" name="2015" dataDxfId="1656"/>
    <tableColumn id="29" xr3:uid="{14794934-D02A-48FC-8134-425B32582751}" name="2016" dataDxfId="1655"/>
    <tableColumn id="30" xr3:uid="{5BCB7835-C669-4A2C-8265-C854BF2DD332}" name="2017" dataDxfId="1654"/>
    <tableColumn id="31" xr3:uid="{0A5D3996-CF9C-4890-A5C5-45DBED5F542A}" name="2018" dataDxfId="1653"/>
    <tableColumn id="32" xr3:uid="{78AFF000-6DF1-49DB-ABB5-145AC5C00A71}" name="2019" dataDxfId="1652"/>
    <tableColumn id="33" xr3:uid="{F86B01DB-9CDF-4045-BB95-09E0E39B4B66}" name="2020" dataDxfId="1651"/>
    <tableColumn id="34" xr3:uid="{8C6C9B24-CFE8-492C-B6F8-5F772381E069}" name="2021" dataDxfId="1650"/>
    <tableColumn id="35" xr3:uid="{A55F1921-7A86-480C-B047-7FAE493AC79C}" name="2022" dataDxfId="1649"/>
    <tableColumn id="36" xr3:uid="{8FEE0956-353A-4966-9E8E-0E58C4CC11FA}" name="2023" dataDxfId="1648"/>
  </tableColumns>
  <tableStyleInfo name="TableStyleLight2"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9083214E-68C9-4622-BA64-5D31A1AD204C}" name="NGTransmissionEmissionsMTCH4PneumaticeDevicesandControllers" displayName="NGTransmissionEmissionsMTCH4PneumaticeDevicesandControllers" ref="A200:AJ206" totalsRowShown="0" headerRowDxfId="1647" dataDxfId="1645" headerRowBorderDxfId="1646" tableBorderDxfId="1644">
  <autoFilter ref="A200:AJ206" xr:uid="{9083214E-68C9-4622-BA64-5D31A1AD204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69E49FE8-58AA-4631-934E-C92F7D508A2E}" name="Devices and Controllers" dataDxfId="1643"/>
    <tableColumn id="2" xr3:uid="{85086047-D122-4B48-9212-DE6F5158C6BE}" name="Units" dataDxfId="1642"/>
    <tableColumn id="3" xr3:uid="{C877B883-2163-47D0-A08F-B2D450B3F132}" name="1990" dataDxfId="1641"/>
    <tableColumn id="4" xr3:uid="{A0F947FD-D914-4C26-BF7F-204DD99DFF67}" name="1991" dataDxfId="1640"/>
    <tableColumn id="5" xr3:uid="{126D9050-F482-4444-8EAF-4958BA9068E1}" name="1992" dataDxfId="1639"/>
    <tableColumn id="6" xr3:uid="{41A86AF2-C7D9-4E3B-A84F-091AF2C33A62}" name="1993" dataDxfId="1638"/>
    <tableColumn id="7" xr3:uid="{30B6DE74-1A73-43A8-9443-677D657D92B6}" name="1994" dataDxfId="1637"/>
    <tableColumn id="8" xr3:uid="{B1D0D164-2B0B-4813-8C36-91AF07132517}" name="1995" dataDxfId="1636"/>
    <tableColumn id="9" xr3:uid="{F5E5F4A6-48C6-4491-853C-E4ED9B5FC2CB}" name="1996" dataDxfId="1635"/>
    <tableColumn id="10" xr3:uid="{98BE3DDC-9FC2-4BE3-B341-C6A3D3DE4B79}" name="1997" dataDxfId="1634"/>
    <tableColumn id="11" xr3:uid="{1EDFA199-49D6-4194-B47E-535C18F644C8}" name="1998" dataDxfId="1633"/>
    <tableColumn id="12" xr3:uid="{601DA6FF-5DFC-4734-816F-1A4BEFF64496}" name="1999" dataDxfId="1632"/>
    <tableColumn id="13" xr3:uid="{33EDB82A-BF75-499F-B274-B201AF6C8B4E}" name="2000" dataDxfId="1631"/>
    <tableColumn id="14" xr3:uid="{C59E01CE-F420-4448-B576-D7CAFF5B56CB}" name="2001" dataDxfId="1630"/>
    <tableColumn id="15" xr3:uid="{6A189A15-4755-4A3D-96CD-36C32787E87C}" name="2002" dataDxfId="1629"/>
    <tableColumn id="16" xr3:uid="{3BC48B0F-093F-47F6-86BA-B5D86B03EA3D}" name="2003" dataDxfId="1628"/>
    <tableColumn id="17" xr3:uid="{01E7DFFC-6A50-4B3E-9833-446C6C4C9CBA}" name="2004" dataDxfId="1627"/>
    <tableColumn id="18" xr3:uid="{444B056F-7FF9-4733-9052-DA8F461D406F}" name="2005" dataDxfId="1626"/>
    <tableColumn id="19" xr3:uid="{053CA299-02DC-443E-91AD-D6103C13FBF8}" name="2006" dataDxfId="1625"/>
    <tableColumn id="20" xr3:uid="{8F10C656-674C-4598-882B-F425E389744B}" name="2007" dataDxfId="1624"/>
    <tableColumn id="21" xr3:uid="{A23B2A9C-79C0-41E4-AE9A-1CAC801C6EE7}" name="2008" dataDxfId="1623"/>
    <tableColumn id="22" xr3:uid="{4BE2F992-AAF6-4AB8-8726-1B36D7B91820}" name="2009" dataDxfId="1622"/>
    <tableColumn id="23" xr3:uid="{BA7EEAF9-6489-4124-9A17-D94DEFEF3575}" name="2010" dataDxfId="1621"/>
    <tableColumn id="24" xr3:uid="{EBAC76DB-1939-48F4-AD04-7E040F1495F9}" name="2011" dataDxfId="1620"/>
    <tableColumn id="25" xr3:uid="{355A8CF2-2230-4513-ACFE-8ABDB88A0646}" name="2012" dataDxfId="1619"/>
    <tableColumn id="26" xr3:uid="{7C971646-6317-4BDB-866A-FF8CE51FB363}" name="2013" dataDxfId="1618"/>
    <tableColumn id="27" xr3:uid="{BDE57D0F-8E85-4B34-9DEA-03EE967E9374}" name="2014" dataDxfId="1617"/>
    <tableColumn id="28" xr3:uid="{95991E56-3023-4CF3-8455-7AEBB8671282}" name="2015" dataDxfId="1616"/>
    <tableColumn id="29" xr3:uid="{A8B5C624-D6CB-4F99-8762-1611C047FABE}" name="2016" dataDxfId="1615"/>
    <tableColumn id="30" xr3:uid="{23E9FD29-F842-4365-A150-BD8F1D0E2804}" name="2017" dataDxfId="1614"/>
    <tableColumn id="31" xr3:uid="{570A914A-B89F-41F5-8286-14E3437E7AA3}" name="2018" dataDxfId="1613"/>
    <tableColumn id="32" xr3:uid="{03581D3A-FB87-46C1-8CCF-E88EC99D24A4}" name="2019" dataDxfId="1612"/>
    <tableColumn id="33" xr3:uid="{5158D1E0-C61C-4071-B389-C3F778F60AF8}" name="2020" dataDxfId="1611"/>
    <tableColumn id="34" xr3:uid="{94EB5A88-82A0-4F6B-822E-9F0EEFDF46D4}" name="2021" dataDxfId="1610"/>
    <tableColumn id="35" xr3:uid="{91569190-D8DD-45F9-B4FE-D3E9571844C9}" name="2022" dataDxfId="1609"/>
    <tableColumn id="36" xr3:uid="{F61AF9C5-6B9F-4C37-8590-834676CA0EA4}" name="2023" dataDxfId="1608"/>
  </tableColumns>
  <tableStyleInfo name="TableStyleLight2"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DE88A53A-9E6C-42DF-8DEE-D271CA9848CB}" name="NGTransmissionEmissionsMTCH4LNGStorageStationsandBlowdowns" displayName="NGTransmissionEmissionsMTCH4LNGStorageStationsandBlowdowns" ref="A211:AJ214" totalsRowShown="0" headerRowDxfId="1607" dataDxfId="1605" headerRowBorderDxfId="1606" tableBorderDxfId="1604">
  <autoFilter ref="A211:AJ214" xr:uid="{DE88A53A-9E6C-42DF-8DEE-D271CA9848C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A56E5B87-3EC4-4AEC-98F3-E4782B49BDE3}" name="LNG Station Leaks and Blowdowns" dataDxfId="1603"/>
    <tableColumn id="2" xr3:uid="{8FC475DE-36AB-4D7F-910F-E97713753C6C}" name="Units" dataDxfId="1602"/>
    <tableColumn id="3" xr3:uid="{ADF35675-BAFE-4844-B721-94902B17580C}" name="1990" dataDxfId="1601">
      <calculatedColumnFormula>C85*C163</calculatedColumnFormula>
    </tableColumn>
    <tableColumn id="4" xr3:uid="{15A7B39E-09C8-42D8-8C6B-D0B9080416DC}" name="1991" dataDxfId="1600">
      <calculatedColumnFormula>D85*D163</calculatedColumnFormula>
    </tableColumn>
    <tableColumn id="5" xr3:uid="{EDD7AE6B-E2BD-4F06-B8DB-14FD0F4210CB}" name="1992" dataDxfId="1599">
      <calculatedColumnFormula>E85*E163</calculatedColumnFormula>
    </tableColumn>
    <tableColumn id="6" xr3:uid="{BF49DFCC-40E2-452F-A171-D1AB31C3B3FD}" name="1993" dataDxfId="1598">
      <calculatedColumnFormula>F85*F163</calculatedColumnFormula>
    </tableColumn>
    <tableColumn id="7" xr3:uid="{FB760BCF-155E-4A9F-8941-C40335FD344F}" name="1994" dataDxfId="1597">
      <calculatedColumnFormula>G85*G163</calculatedColumnFormula>
    </tableColumn>
    <tableColumn id="8" xr3:uid="{B71E492D-E5FF-4775-94FB-6F063F4D016E}" name="1995" dataDxfId="1596">
      <calculatedColumnFormula>H85*H163</calculatedColumnFormula>
    </tableColumn>
    <tableColumn id="9" xr3:uid="{2B8B57A4-2884-41B5-ABCC-DDEC1453724E}" name="1996" dataDxfId="1595">
      <calculatedColumnFormula>I85*I163</calculatedColumnFormula>
    </tableColumn>
    <tableColumn id="10" xr3:uid="{8C4C5969-8E91-46A7-85B7-2DAC8EC80704}" name="1997" dataDxfId="1594">
      <calculatedColumnFormula>J85*J163</calculatedColumnFormula>
    </tableColumn>
    <tableColumn id="11" xr3:uid="{827CC26B-E8E1-4804-BB89-E69E5D567548}" name="1998" dataDxfId="1593">
      <calculatedColumnFormula>K85*K163</calculatedColumnFormula>
    </tableColumn>
    <tableColumn id="12" xr3:uid="{41A1170B-26E9-47F8-9E7A-0299D1AF5CCD}" name="1999" dataDxfId="1592">
      <calculatedColumnFormula>L85*L163</calculatedColumnFormula>
    </tableColumn>
    <tableColumn id="13" xr3:uid="{8CF26BD2-BA02-4D2A-919A-B003E540FA13}" name="2000" dataDxfId="1591">
      <calculatedColumnFormula>M85*M163</calculatedColumnFormula>
    </tableColumn>
    <tableColumn id="14" xr3:uid="{2B706261-DFE6-4527-90AC-C7F6712DF502}" name="2001" dataDxfId="1590">
      <calculatedColumnFormula>N85*N163</calculatedColumnFormula>
    </tableColumn>
    <tableColumn id="15" xr3:uid="{5EF6637F-140C-4F35-82D1-8FD3B0BF2443}" name="2002" dataDxfId="1589">
      <calculatedColumnFormula>O85*O163</calculatedColumnFormula>
    </tableColumn>
    <tableColumn id="16" xr3:uid="{792B5C2D-3318-4C58-9735-C3660477DFA7}" name="2003" dataDxfId="1588">
      <calculatedColumnFormula>P85*P163</calculatedColumnFormula>
    </tableColumn>
    <tableColumn id="17" xr3:uid="{A0E47B75-55F2-437A-89F4-34CA63DE29B6}" name="2004" dataDxfId="1587">
      <calculatedColumnFormula>Q85*Q163</calculatedColumnFormula>
    </tableColumn>
    <tableColumn id="18" xr3:uid="{BC883C58-F33B-47BE-954F-DBBCC29E30CC}" name="2005" dataDxfId="1586">
      <calculatedColumnFormula>R85*R163</calculatedColumnFormula>
    </tableColumn>
    <tableColumn id="19" xr3:uid="{45E696FF-1B8D-4A36-B54C-B52066330D09}" name="2006" dataDxfId="1585">
      <calculatedColumnFormula>S85*S163</calculatedColumnFormula>
    </tableColumn>
    <tableColumn id="20" xr3:uid="{531EB536-6F3D-4F57-B612-CCC17898E4FA}" name="2007" dataDxfId="1584">
      <calculatedColumnFormula>T85*T163</calculatedColumnFormula>
    </tableColumn>
    <tableColumn id="21" xr3:uid="{34D30692-0EBE-47D6-AE07-6CE02BAC063D}" name="2008" dataDxfId="1583">
      <calculatedColumnFormula>U85*U163</calculatedColumnFormula>
    </tableColumn>
    <tableColumn id="22" xr3:uid="{EC1E8E99-CA06-4AFC-983F-CAC415940C5D}" name="2009" dataDxfId="1582">
      <calculatedColumnFormula>V85*V163</calculatedColumnFormula>
    </tableColumn>
    <tableColumn id="23" xr3:uid="{351969EE-773B-48EA-9EA1-6DC9D596CDB3}" name="2010" dataDxfId="1581">
      <calculatedColumnFormula>W85*W163</calculatedColumnFormula>
    </tableColumn>
    <tableColumn id="24" xr3:uid="{23A9A0B5-0EF7-4394-B6CA-153D7B4DB339}" name="2011" dataDxfId="1580">
      <calculatedColumnFormula>X85*X163</calculatedColumnFormula>
    </tableColumn>
    <tableColumn id="25" xr3:uid="{B01350D6-C490-40E9-935B-5CE800C50DBF}" name="2012" dataDxfId="1579">
      <calculatedColumnFormula>Y85*Y163</calculatedColumnFormula>
    </tableColumn>
    <tableColumn id="26" xr3:uid="{2BB766E6-7F57-499B-97E1-73FCCAA8FDE5}" name="2013" dataDxfId="1578">
      <calculatedColumnFormula>Z85*Z163</calculatedColumnFormula>
    </tableColumn>
    <tableColumn id="27" xr3:uid="{7B3B236E-4099-4C5E-9997-A124BED304DC}" name="2014" dataDxfId="1577">
      <calculatedColumnFormula>AA85*AA163</calculatedColumnFormula>
    </tableColumn>
    <tableColumn id="28" xr3:uid="{5C37F676-D416-40DB-9F80-C9A4F4AA0E8D}" name="2015" dataDxfId="1576">
      <calculatedColumnFormula>AB85*AB163</calculatedColumnFormula>
    </tableColumn>
    <tableColumn id="29" xr3:uid="{921017BF-33A5-4A05-A749-BBD4C38CC9E1}" name="2016" dataDxfId="1575">
      <calculatedColumnFormula>AC85*AC163</calculatedColumnFormula>
    </tableColumn>
    <tableColumn id="30" xr3:uid="{2C38ECD6-6F4D-4793-9FFE-88AF2380558A}" name="2017" dataDxfId="1574">
      <calculatedColumnFormula>AD85*AD163</calculatedColumnFormula>
    </tableColumn>
    <tableColumn id="31" xr3:uid="{AD14DB9E-4325-46C9-80BC-8D5A77ADC7C4}" name="2018" dataDxfId="1573">
      <calculatedColumnFormula>AE85*AE163</calculatedColumnFormula>
    </tableColumn>
    <tableColumn id="32" xr3:uid="{E083CB7A-B528-486E-99C0-AA4C5884AC28}" name="2019" dataDxfId="1572">
      <calculatedColumnFormula>AF85*AF163</calculatedColumnFormula>
    </tableColumn>
    <tableColumn id="33" xr3:uid="{5E011CCD-3881-4613-A401-6798A903B05F}" name="2020" dataDxfId="1571">
      <calculatedColumnFormula>AG85*AG163</calculatedColumnFormula>
    </tableColumn>
    <tableColumn id="34" xr3:uid="{4CFC85AE-A1B3-481F-A4A9-92384F37D55E}" name="2021" dataDxfId="1570">
      <calculatedColumnFormula>AH85*AH163</calculatedColumnFormula>
    </tableColumn>
    <tableColumn id="35" xr3:uid="{3EC7ECEA-DB97-48A3-BA47-7315D8A330E5}" name="2022" dataDxfId="1569">
      <calculatedColumnFormula>AI85*AI163</calculatedColumnFormula>
    </tableColumn>
    <tableColumn id="36" xr3:uid="{65C74550-0F06-40DF-A691-9ACE4D4EC536}" name="2023" dataDxfId="1568">
      <calculatedColumnFormula>AJ85*AJ163</calculatedColumnFormula>
    </tableColumn>
  </tableColumns>
  <tableStyleInfo name="TableStyleLight2"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5AFD4C9E-8373-4D74-AF78-6E586A99343B}" name="NGTransmissionEmissionsMTCH4LNGImportTerminalsandBlowdowns" displayName="NGTransmissionEmissionsMTCH4LNGImportTerminalsandBlowdowns" ref="A217:AJ220" totalsRowShown="0" headerRowDxfId="1567" dataDxfId="1565" headerRowBorderDxfId="1566" tableBorderDxfId="1564">
  <autoFilter ref="A217:AJ220" xr:uid="{5AFD4C9E-8373-4D74-AF78-6E586A99343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77A68A3C-BE59-414E-8EDB-DFBCD54BC3CC}" name="LNG Import Terminals Leaks and Blowdowns" dataDxfId="1563"/>
    <tableColumn id="2" xr3:uid="{825DA555-8850-4F44-AC14-793C2F113494}" name="Units" dataDxfId="1562"/>
    <tableColumn id="3" xr3:uid="{3800878D-20A3-4681-B28F-6394F1CD74E0}" name="1990" dataDxfId="1561">
      <calculatedColumnFormula>C93*C169</calculatedColumnFormula>
    </tableColumn>
    <tableColumn id="4" xr3:uid="{933E1DDD-B508-4595-ABF2-60DEB34DC516}" name="1991" dataDxfId="1560">
      <calculatedColumnFormula>D93*D169</calculatedColumnFormula>
    </tableColumn>
    <tableColumn id="5" xr3:uid="{5AA5CD28-B00A-44F7-82C9-B0E5F1EA89E2}" name="1992" dataDxfId="1559">
      <calculatedColumnFormula>E93*E169</calculatedColumnFormula>
    </tableColumn>
    <tableColumn id="6" xr3:uid="{D3447C6E-32BE-4916-8A08-82905C9F851F}" name="1993" dataDxfId="1558">
      <calculatedColumnFormula>F93*F169</calculatedColumnFormula>
    </tableColumn>
    <tableColumn id="7" xr3:uid="{77F14A86-51F3-403D-96D0-1F0E9CA81249}" name="1994" dataDxfId="1557">
      <calculatedColumnFormula>G93*G169</calculatedColumnFormula>
    </tableColumn>
    <tableColumn id="8" xr3:uid="{23E43757-F65D-4D12-B2AB-8E06EB697F9B}" name="1995" dataDxfId="1556">
      <calculatedColumnFormula>H93*H169</calculatedColumnFormula>
    </tableColumn>
    <tableColumn id="9" xr3:uid="{4A156220-7697-4982-8DF5-4972955EF44E}" name="1996" dataDxfId="1555">
      <calculatedColumnFormula>I93*I169</calculatedColumnFormula>
    </tableColumn>
    <tableColumn id="10" xr3:uid="{1E46A546-EB5D-4049-A263-165BBDC99F7B}" name="1997" dataDxfId="1554">
      <calculatedColumnFormula>J93*J169</calculatedColumnFormula>
    </tableColumn>
    <tableColumn id="11" xr3:uid="{D3BE598F-A1FB-4211-A849-6978A6B939D9}" name="1998" dataDxfId="1553">
      <calculatedColumnFormula>K93*K169</calculatedColumnFormula>
    </tableColumn>
    <tableColumn id="12" xr3:uid="{2C0270EE-F467-436B-B7B8-56D3CBABBA98}" name="1999" dataDxfId="1552">
      <calculatedColumnFormula>L93*L169</calculatedColumnFormula>
    </tableColumn>
    <tableColumn id="13" xr3:uid="{0395BCDE-1260-4DBB-926D-0BF794F14F45}" name="2000" dataDxfId="1551">
      <calculatedColumnFormula>M93*M169</calculatedColumnFormula>
    </tableColumn>
    <tableColumn id="14" xr3:uid="{BF611C7B-AB05-4D66-A4E9-059018B5C1B5}" name="2001" dataDxfId="1550">
      <calculatedColumnFormula>N93*N169</calculatedColumnFormula>
    </tableColumn>
    <tableColumn id="15" xr3:uid="{262BEA40-D346-4846-8BC7-74385143147D}" name="2002" dataDxfId="1549">
      <calculatedColumnFormula>O93*O169</calculatedColumnFormula>
    </tableColumn>
    <tableColumn id="16" xr3:uid="{2BC30370-C911-42C9-A522-BC90146B6E64}" name="2003" dataDxfId="1548">
      <calculatedColumnFormula>P93*P169</calculatedColumnFormula>
    </tableColumn>
    <tableColumn id="17" xr3:uid="{3A173518-145D-41BC-BB50-34839A33EF3E}" name="2004" dataDxfId="1547">
      <calculatedColumnFormula>Q93*Q169</calculatedColumnFormula>
    </tableColumn>
    <tableColumn id="18" xr3:uid="{B05D80B3-B265-4826-8819-10E507EAFF48}" name="2005" dataDxfId="1546">
      <calculatedColumnFormula>R93*R169</calculatedColumnFormula>
    </tableColumn>
    <tableColumn id="19" xr3:uid="{B15F063A-5EB7-4683-9471-7EEB37A1C4BC}" name="2006" dataDxfId="1545">
      <calculatedColumnFormula>S93*S169</calculatedColumnFormula>
    </tableColumn>
    <tableColumn id="20" xr3:uid="{DE52A84D-8E8C-4CF5-A538-17A5CCC4F2F7}" name="2007" dataDxfId="1544">
      <calculatedColumnFormula>T93*T169</calculatedColumnFormula>
    </tableColumn>
    <tableColumn id="21" xr3:uid="{BA12DBBA-9D5C-433B-8274-08D8593E3B10}" name="2008" dataDxfId="1543">
      <calculatedColumnFormula>U93*U169</calculatedColumnFormula>
    </tableColumn>
    <tableColumn id="22" xr3:uid="{AA0994E2-D6DE-45BB-9EEA-A0AEF28CFC1D}" name="2009" dataDxfId="1542">
      <calculatedColumnFormula>V93*V169</calculatedColumnFormula>
    </tableColumn>
    <tableColumn id="23" xr3:uid="{7311D7FE-3D53-440E-8083-216C92AB9CFC}" name="2010" dataDxfId="1541">
      <calculatedColumnFormula>W93*W169</calculatedColumnFormula>
    </tableColumn>
    <tableColumn id="24" xr3:uid="{FE256B79-9641-481B-B99C-F1B5B51D3B9C}" name="2011">
      <calculatedColumnFormula>(X93-X487)*X169+X482</calculatedColumnFormula>
    </tableColumn>
    <tableColumn id="25" xr3:uid="{06CACF9E-C328-4647-B515-A0786D0CF496}" name="2012">
      <calculatedColumnFormula>(Y93-Y487)*Y169+Y482</calculatedColumnFormula>
    </tableColumn>
    <tableColumn id="26" xr3:uid="{C3D5414D-2EE0-428A-AD91-CB84B59B4C54}" name="2013">
      <calculatedColumnFormula>(Z93-Z487)*Z169+Z482</calculatedColumnFormula>
    </tableColumn>
    <tableColumn id="27" xr3:uid="{88834653-728F-4899-AF75-F435C8F3E58D}" name="2014" dataDxfId="1540">
      <calculatedColumnFormula>(AA93-AA487)*AA169+AA482</calculatedColumnFormula>
    </tableColumn>
    <tableColumn id="28" xr3:uid="{8B996ED8-FEA6-417F-8BF6-EC6ADC035E12}" name="2015" dataDxfId="1539">
      <calculatedColumnFormula>(AB93-AB487)*AB169+AB482</calculatedColumnFormula>
    </tableColumn>
    <tableColumn id="29" xr3:uid="{ADF3C7FD-BF04-4516-B74D-60A0375FAAAA}" name="2016" dataDxfId="1538">
      <calculatedColumnFormula>(AC93-AC487)*AC169+AC482</calculatedColumnFormula>
    </tableColumn>
    <tableColumn id="30" xr3:uid="{13F06F8E-9C2D-45E0-BDE2-4D92AEADDB4D}" name="2017" dataDxfId="1537">
      <calculatedColumnFormula>(AD93-AD487)*AD169+AD482</calculatedColumnFormula>
    </tableColumn>
    <tableColumn id="31" xr3:uid="{41DBAB04-265E-4965-9F8F-6CD479840641}" name="2018" dataDxfId="1536">
      <calculatedColumnFormula>(AE93-AE487)*AE169+AE482</calculatedColumnFormula>
    </tableColumn>
    <tableColumn id="32" xr3:uid="{CC89FBEB-088A-43C1-A702-20878B721085}" name="2019" dataDxfId="1535">
      <calculatedColumnFormula>(AF93-AF487)*AF169+AF482</calculatedColumnFormula>
    </tableColumn>
    <tableColumn id="33" xr3:uid="{42FB1974-C1A3-4B62-A79B-16716AB27360}" name="2020" dataDxfId="1534">
      <calculatedColumnFormula>(AG93-AG487)*AG169+AG482</calculatedColumnFormula>
    </tableColumn>
    <tableColumn id="34" xr3:uid="{95E6EA68-4AFF-4B76-8A44-1710265AC09F}" name="2021" dataDxfId="1533">
      <calculatedColumnFormula>(AH93-AH487)*AH169+AH482</calculatedColumnFormula>
    </tableColumn>
    <tableColumn id="35" xr3:uid="{176C5F8A-EA92-4005-9CAD-00DC1E7AEFCB}" name="2022" dataDxfId="1532">
      <calculatedColumnFormula>(AI93-AI487)*AI169+AI482</calculatedColumnFormula>
    </tableColumn>
    <tableColumn id="36" xr3:uid="{A8ECF703-11F8-49C4-BD8D-90CB30D87135}" name="2023" dataDxfId="1531">
      <calculatedColumnFormula>(AJ93-AJ487)*AJ169+AJ482</calculatedColumnFormula>
    </tableColumn>
  </tableColumns>
  <tableStyleInfo name="TableStyleLight2"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06249D8D-459B-49D5-A22B-7B36AC68EC97}" name="NGTransmissionandStorageEmissionsTotalMTCH4andMMTCO2e" displayName="NGTransmissionandStorageEmissionsTotalMTCH4andMMTCO2e" ref="A226:AJ229" totalsRowShown="0" headerRowDxfId="1530" headerRowBorderDxfId="1529" tableBorderDxfId="1528" totalsRowBorderDxfId="1527">
  <autoFilter ref="A226:AJ229" xr:uid="{06249D8D-459B-49D5-A22B-7B36AC68EC9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37C0ED29-2116-4163-B123-1DD1DF1BCB0A}" name="CH4 Emissions from Natural Gas Transmission and Storage" dataDxfId="1526"/>
    <tableColumn id="2" xr3:uid="{1344B395-7A35-4B49-8E57-D6D6F452E4DA}" name="Units" dataDxfId="1525"/>
    <tableColumn id="3" xr3:uid="{C8DE321B-2B16-4C85-89C1-B506B8D0BEB5}" name="1990" dataDxfId="1524">
      <calculatedColumnFormula>C226*25/1000000</calculatedColumnFormula>
    </tableColumn>
    <tableColumn id="4" xr3:uid="{505ECDE9-0436-4CD4-B17D-B27DB4C3F51D}" name="1991" dataDxfId="1523">
      <calculatedColumnFormula>D226*25/1000000</calculatedColumnFormula>
    </tableColumn>
    <tableColumn id="5" xr3:uid="{FD0DC3CD-D6EE-4380-B2DD-B646BA19D46D}" name="1992" dataDxfId="1522">
      <calculatedColumnFormula>E226*25/1000000</calculatedColumnFormula>
    </tableColumn>
    <tableColumn id="6" xr3:uid="{F841F644-4823-41CF-B598-981E02CA81E3}" name="1993" dataDxfId="1521">
      <calculatedColumnFormula>F226*25/1000000</calculatedColumnFormula>
    </tableColumn>
    <tableColumn id="7" xr3:uid="{D4E8A945-F3DB-4F75-A38C-05E374FFDA26}" name="1994" dataDxfId="1520">
      <calculatedColumnFormula>G226*25/1000000</calculatedColumnFormula>
    </tableColumn>
    <tableColumn id="8" xr3:uid="{BAB2602E-9859-4FB2-9438-840C9B93676A}" name="1995" dataDxfId="1519">
      <calculatedColumnFormula>H226*25/1000000</calculatedColumnFormula>
    </tableColumn>
    <tableColumn id="9" xr3:uid="{994F2182-7567-4DA1-92C7-F8718BDED22C}" name="1996" dataDxfId="1518">
      <calculatedColumnFormula>I226*25/1000000</calculatedColumnFormula>
    </tableColumn>
    <tableColumn id="10" xr3:uid="{38DDC061-1D02-4DBF-944C-4FC61C6A0B6C}" name="1997" dataDxfId="1517">
      <calculatedColumnFormula>J226*25/1000000</calculatedColumnFormula>
    </tableColumn>
    <tableColumn id="11" xr3:uid="{BA174C79-1761-4D55-9644-77D9DA516376}" name="1998" dataDxfId="1516">
      <calculatedColumnFormula>K226*25/1000000</calculatedColumnFormula>
    </tableColumn>
    <tableColumn id="12" xr3:uid="{772799CF-E58F-4E85-B03C-7B1A9BF68F2D}" name="1999" dataDxfId="1515">
      <calculatedColumnFormula>L226*25/1000000</calculatedColumnFormula>
    </tableColumn>
    <tableColumn id="13" xr3:uid="{70D893EC-B351-49E5-99BC-1D915BBEB2F9}" name="2000" dataDxfId="1514">
      <calculatedColumnFormula>M226*25/1000000</calculatedColumnFormula>
    </tableColumn>
    <tableColumn id="14" xr3:uid="{41A38791-C008-40DC-BE57-B774AE4C99F9}" name="2001" dataDxfId="1513">
      <calculatedColumnFormula>N226*25/1000000</calculatedColumnFormula>
    </tableColumn>
    <tableColumn id="15" xr3:uid="{0E8901FA-FB21-45F0-B353-EC38DC52BAAF}" name="2002" dataDxfId="1512">
      <calculatedColumnFormula>O226*25/1000000</calculatedColumnFormula>
    </tableColumn>
    <tableColumn id="16" xr3:uid="{FF8368AC-CAE7-4554-A927-10E0E088013B}" name="2003" dataDxfId="1511">
      <calculatedColumnFormula>P226*25/1000000</calculatedColumnFormula>
    </tableColumn>
    <tableColumn id="17" xr3:uid="{46E4CB0B-8BED-47F4-8808-59C74EBDCE62}" name="2004" dataDxfId="1510">
      <calculatedColumnFormula>Q226*25/1000000</calculatedColumnFormula>
    </tableColumn>
    <tableColumn id="18" xr3:uid="{FFD09F6D-9CF1-486F-8CFA-CEDFED3DC8F5}" name="2005" dataDxfId="1509">
      <calculatedColumnFormula>R226*25/1000000</calculatedColumnFormula>
    </tableColumn>
    <tableColumn id="19" xr3:uid="{960A7227-00B3-4FBB-AF44-B64401F0E922}" name="2006" dataDxfId="1508">
      <calculatedColumnFormula>S226*25/1000000</calculatedColumnFormula>
    </tableColumn>
    <tableColumn id="20" xr3:uid="{132B5C84-CFA9-4778-8B07-8F9C4570A6F3}" name="2007" dataDxfId="1507">
      <calculatedColumnFormula>T226*25/1000000</calculatedColumnFormula>
    </tableColumn>
    <tableColumn id="21" xr3:uid="{B6F6F345-97E7-4458-9032-5873B99463CF}" name="2008" dataDxfId="1506">
      <calculatedColumnFormula>U226*25/1000000</calculatedColumnFormula>
    </tableColumn>
    <tableColumn id="22" xr3:uid="{1192A81D-8F71-4F00-9F58-F61450FC2A22}" name="2009" dataDxfId="1505">
      <calculatedColumnFormula>V226*25/1000000</calculatedColumnFormula>
    </tableColumn>
    <tableColumn id="23" xr3:uid="{29BFFA03-B70A-4385-ABC4-B06080DD45DC}" name="2010" dataDxfId="1504">
      <calculatedColumnFormula>W226*25/1000000</calculatedColumnFormula>
    </tableColumn>
    <tableColumn id="24" xr3:uid="{34B5E110-E163-4BDD-B980-13B86F767982}" name="2011" dataDxfId="1503">
      <calculatedColumnFormula>X226*25/1000000</calculatedColumnFormula>
    </tableColumn>
    <tableColumn id="25" xr3:uid="{68228037-DDB8-44D5-9819-735DDF7381AE}" name="2012" dataDxfId="1502">
      <calculatedColumnFormula>Y226*25/1000000</calculatedColumnFormula>
    </tableColumn>
    <tableColumn id="26" xr3:uid="{5C27DF57-DB12-4937-8A48-6DC9F5EFA1AC}" name="2013" dataDxfId="1501">
      <calculatedColumnFormula>Z226*25/1000000</calculatedColumnFormula>
    </tableColumn>
    <tableColumn id="27" xr3:uid="{806E090F-20A8-4FE9-AEB0-4B396EB85845}" name="2014" dataDxfId="1500">
      <calculatedColumnFormula>AA226*25/1000000</calculatedColumnFormula>
    </tableColumn>
    <tableColumn id="28" xr3:uid="{82C98203-E73C-4492-8C09-35978C7EFE66}" name="2015" dataDxfId="1499">
      <calculatedColumnFormula>AB226*25/1000000</calculatedColumnFormula>
    </tableColumn>
    <tableColumn id="29" xr3:uid="{2E831E97-1D81-4B56-B12D-67CD5A570174}" name="2016" dataDxfId="1498">
      <calculatedColumnFormula>AC226*25/1000000</calculatedColumnFormula>
    </tableColumn>
    <tableColumn id="30" xr3:uid="{5AF7A6C6-3A91-44F8-9C4C-5DB432DCC715}" name="2017" dataDxfId="1497">
      <calculatedColumnFormula>AD226*25/1000000</calculatedColumnFormula>
    </tableColumn>
    <tableColumn id="31" xr3:uid="{23B03B50-BF96-46A0-8C41-CBD9F3D36A7F}" name="2018" dataDxfId="1496">
      <calculatedColumnFormula>AE226*25/1000000</calculatedColumnFormula>
    </tableColumn>
    <tableColumn id="32" xr3:uid="{0DBC7B70-EBC9-47FD-9C2F-A4974BFB1E64}" name="2019" dataDxfId="1495">
      <calculatedColumnFormula>AF226*25/1000000</calculatedColumnFormula>
    </tableColumn>
    <tableColumn id="33" xr3:uid="{A2B72231-E679-415B-BC90-32A7A946CF41}" name="2020" dataDxfId="1494">
      <calculatedColumnFormula>AG226*25/1000000</calculatedColumnFormula>
    </tableColumn>
    <tableColumn id="34" xr3:uid="{50973068-E4D3-4834-A87F-CBD02D69387F}" name="2021" dataDxfId="1493">
      <calculatedColumnFormula>AH226*25/1000000</calculatedColumnFormula>
    </tableColumn>
    <tableColumn id="35" xr3:uid="{60931E4E-FF58-46D2-B7C1-D9FE28D6A89A}" name="2022" dataDxfId="1492">
      <calculatedColumnFormula>AI226*25/1000000</calculatedColumnFormula>
    </tableColumn>
    <tableColumn id="36" xr3:uid="{ECE92BF8-5E11-4553-967C-3967FEDB1EF4}" name="2023" dataDxfId="1491">
      <calculatedColumnFormula>AJ226*25/1000000</calculatedColumnFormula>
    </tableColumn>
  </tableColumns>
  <tableStyleInfo name="TableStyleLight2"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738E54B9-3B78-4F02-A0F8-3AC3FDC36B0C}" name="NGTransmissionCO2kgEFsPipelineandVenting" displayName="NGTransmissionCO2kgEFsPipelineandVenting" ref="A235:AJ238" totalsRowShown="0" headerRowDxfId="1490" headerRowBorderDxfId="1489" tableBorderDxfId="1488">
  <autoFilter ref="A235:AJ238" xr:uid="{738E54B9-3B78-4F02-A0F8-3AC3FDC36B0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6CB17204-D067-4BE8-92C1-5C8F42BC8C43}" name="Pipeline and Pipeline Venting"/>
    <tableColumn id="2" xr3:uid="{D9218F89-823A-4E94-BF5E-2BD44C1AD969}" name="Units" dataDxfId="1487"/>
    <tableColumn id="3" xr3:uid="{12CBE678-B8F2-44BC-94D8-A8A17CCDA1DF}" name="1990" dataDxfId="1486"/>
    <tableColumn id="4" xr3:uid="{CD46492B-4017-49EE-8227-6F3FE21A90FB}" name="1991" dataDxfId="1485"/>
    <tableColumn id="5" xr3:uid="{32247F08-EB76-42A2-AD0C-FACF727E13A6}" name="1992" dataDxfId="1484"/>
    <tableColumn id="6" xr3:uid="{2951DD3A-1C35-4CCA-9FBA-0C17E1CF9CC3}" name="1993" dataDxfId="1483"/>
    <tableColumn id="7" xr3:uid="{1CCCF163-9E89-4118-AEC3-2CBCB37CFA56}" name="1994" dataDxfId="1482"/>
    <tableColumn id="8" xr3:uid="{57B0C571-5EB2-4869-ACF0-1BD6B493FDAD}" name="1995" dataDxfId="1481"/>
    <tableColumn id="9" xr3:uid="{316209AD-EE1A-4691-A489-5E320060BF32}" name="1996" dataDxfId="1480"/>
    <tableColumn id="10" xr3:uid="{462D079C-2D2F-4867-966F-8D59787A8CE8}" name="1997" dataDxfId="1479"/>
    <tableColumn id="11" xr3:uid="{3A4DB94B-C276-469E-9BDD-1AD78C729A56}" name="1998" dataDxfId="1478"/>
    <tableColumn id="12" xr3:uid="{B36855B7-4742-4F0D-87E2-A0C0C874A5D7}" name="1999" dataDxfId="1477"/>
    <tableColumn id="13" xr3:uid="{E3C99388-6470-4A1E-8697-120180944B48}" name="2000" dataDxfId="1476"/>
    <tableColumn id="14" xr3:uid="{1DE5AE2C-96BD-4DC4-8F1B-1A3956589C8F}" name="2001" dataDxfId="1475"/>
    <tableColumn id="15" xr3:uid="{75CD2C47-28BC-4DB9-BE17-415AA1608B14}" name="2002" dataDxfId="1474"/>
    <tableColumn id="16" xr3:uid="{B60062B9-570E-4DAE-83A5-ED5154BEBE42}" name="2003" dataDxfId="1473"/>
    <tableColumn id="17" xr3:uid="{A55EB4BC-186A-4E7A-8E2E-D3FF68C0AFC1}" name="2004" dataDxfId="1472"/>
    <tableColumn id="18" xr3:uid="{30BFEA1E-00D2-4B06-887F-2F39D98F604B}" name="2005" dataDxfId="1471"/>
    <tableColumn id="19" xr3:uid="{BA3E2887-9C8C-424F-914E-73CBB0406288}" name="2006" dataDxfId="1470"/>
    <tableColumn id="20" xr3:uid="{98A4C65F-BE69-4B15-8ABF-F0E5DBFB8756}" name="2007" dataDxfId="1469"/>
    <tableColumn id="21" xr3:uid="{8B9B8B5E-71A5-4A06-B708-679750D82AD1}" name="2008" dataDxfId="1468"/>
    <tableColumn id="22" xr3:uid="{31049D52-16F5-45ED-9BBD-7FE06FD1FB85}" name="2009" dataDxfId="1467"/>
    <tableColumn id="23" xr3:uid="{1BF20372-FBC8-41C7-820F-B8B308F3E249}" name="2010" dataDxfId="1466"/>
    <tableColumn id="24" xr3:uid="{0197A798-99B3-4B87-8ADA-6C4672667E17}" name="2011" dataDxfId="1465"/>
    <tableColumn id="25" xr3:uid="{E9EBFC19-ADC0-49FB-98A0-850F9F972810}" name="2012" dataDxfId="1464"/>
    <tableColumn id="26" xr3:uid="{7AAF1D3A-D8E8-4262-8BAD-76F9F342E8B6}" name="2013" dataDxfId="1463"/>
    <tableColumn id="27" xr3:uid="{5DD89128-DB7E-47DE-BA38-59D3A5E5CE43}" name="2014" dataDxfId="1462"/>
    <tableColumn id="28" xr3:uid="{A2CA11BC-B2CE-4567-8E59-488B5B2A459B}" name="2015" dataDxfId="1461"/>
    <tableColumn id="29" xr3:uid="{51F06D8C-5C43-4359-83F6-A1FFFF7F7455}" name="2016" dataDxfId="1460"/>
    <tableColumn id="30" xr3:uid="{59660969-3EA8-4846-9887-AD877D77E8CE}" name="2017" dataDxfId="1459"/>
    <tableColumn id="31" xr3:uid="{67DBF8CB-B3FB-4E30-A15A-243FCA4FAAB5}" name="2018" dataDxfId="1458"/>
    <tableColumn id="32" xr3:uid="{12D86FBE-251C-4B9C-BA76-E8B6E1234BF8}" name="2019"/>
    <tableColumn id="33" xr3:uid="{6539C898-34E5-4C70-A234-06C3008B1807}" name="2020"/>
    <tableColumn id="34" xr3:uid="{FA847954-4EF1-4FA8-BD74-FD081381EF7A}" name="2021"/>
    <tableColumn id="35" xr3:uid="{9CD9C327-F10F-46E0-AB72-F6C8FA5B190B}" name="2022"/>
    <tableColumn id="36" xr3:uid="{139DA165-105D-4A32-9814-B7C2D04FFB72}" name="2023"/>
  </tableColumns>
  <tableStyleInfo name="TableStyleLight1"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CAC73A6E-1296-44F5-ADAD-30D4C3BF1C4B}" name="NGTransmissionCO2kgEFsCompressorsandStation" displayName="NGTransmissionCO2kgEFsCompressorsandStation" ref="A241:AJ248" totalsRowShown="0" headerRowDxfId="1457" dataDxfId="1455" headerRowBorderDxfId="1456">
  <autoFilter ref="A241:AJ248" xr:uid="{CAC73A6E-1296-44F5-ADAD-30D4C3BF1C4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37BA4D12-5F79-4647-AF25-A31E64306649}" name="Stations/Compressor Types/Venting"/>
    <tableColumn id="2" xr3:uid="{28F0C81A-37B8-417F-8C39-E8AB7D2F9FFA}" name="Units" dataDxfId="1454"/>
    <tableColumn id="3" xr3:uid="{5626D876-F2F0-434B-A17A-DF4C579B2190}" name="1990" dataDxfId="1453"/>
    <tableColumn id="4" xr3:uid="{3B5685A1-C735-4A1C-87E5-CFFDB49989B0}" name="1991" dataDxfId="1452"/>
    <tableColumn id="5" xr3:uid="{3B72C11E-FC88-4122-91DB-7370CD382589}" name="1992" dataDxfId="1451"/>
    <tableColumn id="6" xr3:uid="{BB446FBB-43E3-46B4-BE6F-112306F14E97}" name="1993" dataDxfId="1450"/>
    <tableColumn id="7" xr3:uid="{BFF4A768-1562-4680-851D-5ABCEF7FA0B2}" name="1994" dataDxfId="1449"/>
    <tableColumn id="8" xr3:uid="{5AEA99B3-769F-4CAA-BA11-63531AC3A836}" name="1995" dataDxfId="1448"/>
    <tableColumn id="9" xr3:uid="{C12447A3-AC59-4B2B-BBEF-08B8E362FB89}" name="1996" dataDxfId="1447"/>
    <tableColumn id="10" xr3:uid="{3F0B2BF8-0D53-43D0-BBAC-5098882BEDE0}" name="1997" dataDxfId="1446"/>
    <tableColumn id="11" xr3:uid="{B048D28E-C3DE-4FC1-B65A-52DB6A0ED08A}" name="1998" dataDxfId="1445"/>
    <tableColumn id="12" xr3:uid="{1678CC6B-6F3C-4DA9-99D8-2D7E316167EC}" name="1999" dataDxfId="1444"/>
    <tableColumn id="13" xr3:uid="{F968796D-2EA2-431F-90D3-F9B1B5C13E04}" name="2000" dataDxfId="1443"/>
    <tableColumn id="14" xr3:uid="{F411083B-FB63-422D-9EE6-6AC5F3279383}" name="2001" dataDxfId="1442"/>
    <tableColumn id="15" xr3:uid="{E4EA3EEF-7AF9-4FE9-9E7B-03B6873C2B1B}" name="2002" dataDxfId="1441"/>
    <tableColumn id="16" xr3:uid="{83126F9D-9ED5-42C8-8201-85125972193F}" name="2003" dataDxfId="1440"/>
    <tableColumn id="17" xr3:uid="{6428061A-0432-48B5-B7D9-8D028BC8ACEE}" name="2004" dataDxfId="1439"/>
    <tableColumn id="18" xr3:uid="{A6CBEA7B-3752-4E46-8DB6-B7F58542EAA0}" name="2005" dataDxfId="1438"/>
    <tableColumn id="19" xr3:uid="{D489217A-C607-4E3E-B45B-0890DF64C405}" name="2006" dataDxfId="1437"/>
    <tableColumn id="20" xr3:uid="{9A4CD419-3AB4-4CA1-8D0A-04188D9D7F79}" name="2007" dataDxfId="1436"/>
    <tableColumn id="21" xr3:uid="{D41202EE-4DE3-4CFE-9D74-BB624006C2C7}" name="2008" dataDxfId="1435"/>
    <tableColumn id="22" xr3:uid="{F503D2B6-A8FC-4BC9-87CB-E7D8623AA333}" name="2009" dataDxfId="1434"/>
    <tableColumn id="23" xr3:uid="{4E0B910B-1834-498A-A19C-B978464BE847}" name="2010" dataDxfId="1433"/>
    <tableColumn id="24" xr3:uid="{96F3D463-F695-4B53-960F-A3456A8EC147}" name="2011" dataDxfId="1432"/>
    <tableColumn id="25" xr3:uid="{238E0221-97A9-4FAC-A86C-941BC7B9A5C4}" name="2012" dataDxfId="1431"/>
    <tableColumn id="26" xr3:uid="{80CD5028-17C4-4CDD-900E-B6D452B552A7}" name="2013" dataDxfId="1430"/>
    <tableColumn id="27" xr3:uid="{625A4FAD-98E8-4A9A-A733-043ECA275DF1}" name="2014" dataDxfId="1429"/>
    <tableColumn id="28" xr3:uid="{3CC3DFFC-E9A6-4F18-8848-8E4B38C33A20}" name="2015" dataDxfId="1428"/>
    <tableColumn id="29" xr3:uid="{86395FE4-8153-4673-9D5C-D1A8F6275F26}" name="2016" dataDxfId="1427"/>
    <tableColumn id="30" xr3:uid="{102CBD2F-8C19-46BB-95B7-D2734BF0586D}" name="2017" dataDxfId="1426"/>
    <tableColumn id="31" xr3:uid="{4CBEF93C-2464-44DB-ABD9-A1CFFD6E5672}" name="2018" dataDxfId="1425"/>
    <tableColumn id="32" xr3:uid="{D5EAFFBE-D894-431B-B400-BEF6432D917C}" name="2019" dataDxfId="1424"/>
    <tableColumn id="33" xr3:uid="{A7C7EC77-3BC9-4F17-A57B-4C35D25F248E}" name="2020" dataDxfId="1423"/>
    <tableColumn id="34" xr3:uid="{FD861104-9380-4DA2-9D2B-EC2DAC6E3AEE}" name="2021" dataDxfId="1422"/>
    <tableColumn id="35" xr3:uid="{BB516FD1-475A-4F32-AE91-142C1E79CDD9}" name="2022" dataDxfId="1421"/>
    <tableColumn id="36" xr3:uid="{27A89EC7-3CED-458D-8180-41B53490F6FB}" name="2023" dataDxfId="1420"/>
  </tableColumns>
  <tableStyleInfo name="TableStyleLight1"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E20BF734-4FBB-4EDA-8EB7-4017E7DF4ECA}" name="NGTransmissionCO2kgEFsPneumaticDevices" displayName="NGTransmissionCO2kgEFsPneumaticDevices" ref="A251:AJ256" totalsRowShown="0" headerRowDxfId="1419" dataDxfId="1417" headerRowBorderDxfId="1418" tableBorderDxfId="1416">
  <autoFilter ref="A251:AJ256" xr:uid="{E20BF734-4FBB-4EDA-8EB7-4017E7DF4EC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AFD35F0B-BF3B-4638-B19C-90F6E72C4AF5}" name="Devices/Controller Type"/>
    <tableColumn id="2" xr3:uid="{AF5D66C3-15BD-4366-9DB7-70AFA7D48718}" name="Units" dataDxfId="1415"/>
    <tableColumn id="3" xr3:uid="{12950F21-4D40-48D3-A636-0E11301D9379}" name="1990" dataDxfId="1414"/>
    <tableColumn id="4" xr3:uid="{F0652DDC-0192-44B0-A90C-70C9DDC97661}" name="1991" dataDxfId="1413"/>
    <tableColumn id="5" xr3:uid="{CD8E409A-F462-4600-9C23-89341FD6A8A5}" name="1992" dataDxfId="1412"/>
    <tableColumn id="6" xr3:uid="{1EC05900-992B-42C5-BCA3-B31F90D38237}" name="1993" dataDxfId="1411"/>
    <tableColumn id="7" xr3:uid="{284D377D-90E7-4B18-AB50-F349D00EA035}" name="1994" dataDxfId="1410"/>
    <tableColumn id="8" xr3:uid="{A2507C09-91C6-416B-8779-491636A7B4B8}" name="1995" dataDxfId="1409"/>
    <tableColumn id="9" xr3:uid="{811186F6-9EED-4828-93D8-D5BE8A241AB7}" name="1996" dataDxfId="1408"/>
    <tableColumn id="10" xr3:uid="{F03FA3AA-C8F9-4C92-A20D-07312CB53C6D}" name="1997" dataDxfId="1407"/>
    <tableColumn id="11" xr3:uid="{721C50DD-5279-461F-BAEC-01F4E8D9EFB5}" name="1998" dataDxfId="1406"/>
    <tableColumn id="12" xr3:uid="{246CF9B4-4F86-48BA-9144-435D0488F2A3}" name="1999" dataDxfId="1405"/>
    <tableColumn id="13" xr3:uid="{BD4B63F3-A7B2-4592-BD16-5AD396323AE6}" name="2000" dataDxfId="1404"/>
    <tableColumn id="14" xr3:uid="{7AED0C0C-225D-49D9-905C-4BCDF3024A54}" name="2001" dataDxfId="1403"/>
    <tableColumn id="15" xr3:uid="{6BE3224B-CD0A-45FF-A1ED-EA5BAC6D185D}" name="2002" dataDxfId="1402"/>
    <tableColumn id="16" xr3:uid="{8E44A1EA-9DB1-4FE3-BEE3-058CF9D923E4}" name="2003" dataDxfId="1401"/>
    <tableColumn id="17" xr3:uid="{84799C73-3CBC-4DDB-9EE7-925E0D748E4B}" name="2004" dataDxfId="1400"/>
    <tableColumn id="18" xr3:uid="{692B8B01-E3C5-408D-A7F5-586A07054640}" name="2005" dataDxfId="1399"/>
    <tableColumn id="19" xr3:uid="{295F544A-0DAC-4C21-BE5F-13802EF394F9}" name="2006" dataDxfId="1398"/>
    <tableColumn id="20" xr3:uid="{086AF068-D708-4A27-91F8-DB2E35C754E7}" name="2007" dataDxfId="1397"/>
    <tableColumn id="21" xr3:uid="{8DB2A3C5-2034-40F7-98E5-C6BBF5178D51}" name="2008" dataDxfId="1396"/>
    <tableColumn id="22" xr3:uid="{096C13A0-5A18-4968-9CCA-A2A8ECA93AE3}" name="2009" dataDxfId="1395"/>
    <tableColumn id="23" xr3:uid="{ABCD0AE8-5A6E-44D1-B655-BF4D5433F1F6}" name="2010" dataDxfId="1394"/>
    <tableColumn id="24" xr3:uid="{0AAFF868-D198-4F6A-9E6B-C4A441541CD7}" name="2011" dataDxfId="1393"/>
    <tableColumn id="25" xr3:uid="{AD80CECB-6D61-44B2-9B7C-5CDE7A2CB2C5}" name="2012" dataDxfId="1392"/>
    <tableColumn id="26" xr3:uid="{87C39A23-7763-4B4E-BD61-0060210A445B}" name="2013" dataDxfId="1391"/>
    <tableColumn id="27" xr3:uid="{8884CB9B-5304-4A21-88BB-E8E46616842D}" name="2014" dataDxfId="1390"/>
    <tableColumn id="28" xr3:uid="{DAF8CFCB-9BE5-4CF8-A9F9-3DD8EB82A804}" name="2015" dataDxfId="1389"/>
    <tableColumn id="29" xr3:uid="{893C8BA5-E5C4-4096-ABA4-8B8149F8128F}" name="2016" dataDxfId="1388"/>
    <tableColumn id="30" xr3:uid="{A760DF71-CDEB-4D23-850D-7D7BF70A493A}" name="2017" dataDxfId="1387"/>
    <tableColumn id="31" xr3:uid="{EC0305D6-7328-4C70-BA3C-5FBA8F84BD26}" name="2018" dataDxfId="1386"/>
    <tableColumn id="32" xr3:uid="{A67AA3B2-0613-4D8B-9C1A-F82D0C84BF34}" name="2019" dataDxfId="1385"/>
    <tableColumn id="33" xr3:uid="{876E0D68-FCBB-4028-876D-3440170BA22A}" name="2020" dataDxfId="1384"/>
    <tableColumn id="34" xr3:uid="{EB8B384D-A072-4E76-92A6-E14FCC295620}" name="2021" dataDxfId="1383"/>
    <tableColumn id="35" xr3:uid="{7BE82197-02D1-4FFB-98CF-87674DC34F76}" name="2022" dataDxfId="1382"/>
    <tableColumn id="36" xr3:uid="{41CDEE63-F41D-43B5-ACE3-28ABE4E0787A}" name="2023" dataDxfId="1381"/>
  </tableColumns>
  <tableStyleInfo name="TableStyleLight1"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C998BE91-23C9-45DD-8030-4AA2A0285310}" name="NGTransmissionCO2kgEFsLNGStorage" displayName="NGTransmissionCO2kgEFsLNGStorage" ref="A259:AJ262" totalsRowShown="0" headerRowDxfId="1380" dataDxfId="1378" headerRowBorderDxfId="1379" tableBorderDxfId="1377" dataCellStyle="Comma">
  <autoFilter ref="A259:AJ262" xr:uid="{C998BE91-23C9-45DD-8030-4AA2A028531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E38CB910-F69C-40E2-85B2-0DAFDFAF4489}" name="LNG Storage Leaks/Blowdowns" dataDxfId="1376"/>
    <tableColumn id="2" xr3:uid="{F1498DB2-C661-4F9F-97B1-0A2EC26D60A1}" name="Units" dataDxfId="1375"/>
    <tableColumn id="3" xr3:uid="{5D1CB333-E4CD-4AD4-B2A4-9B8B7794A386}" name="1990" dataDxfId="1374"/>
    <tableColumn id="4" xr3:uid="{7A9A8FFC-5249-45EC-9CB7-2ACBAC3DDA0C}" name="1991" dataDxfId="1373"/>
    <tableColumn id="5" xr3:uid="{D446ECD2-8858-4A5F-ACD1-37C01F6DD013}" name="1992" dataDxfId="1372"/>
    <tableColumn id="6" xr3:uid="{6FEFB5D9-8648-47D1-9B3F-1DBF9263F190}" name="1993" dataDxfId="1371"/>
    <tableColumn id="7" xr3:uid="{F66D673F-129E-4220-BF98-B2F78963E862}" name="1994" dataDxfId="1370"/>
    <tableColumn id="8" xr3:uid="{E65B5B59-7094-4732-A199-B5630E089BB4}" name="1995" dataDxfId="1369"/>
    <tableColumn id="9" xr3:uid="{E4FDC61D-7F02-463D-A0FD-1BD3190ED6FD}" name="1996" dataDxfId="1368"/>
    <tableColumn id="10" xr3:uid="{F9378106-3534-480D-8D19-A4472C47F4E2}" name="1997" dataDxfId="1367"/>
    <tableColumn id="11" xr3:uid="{3382717A-95CB-4ADC-8E7A-6848F8828FB3}" name="1998" dataDxfId="1366"/>
    <tableColumn id="12" xr3:uid="{2C0E3456-E76E-41A2-B99D-8B839584D28E}" name="1999" dataDxfId="1365"/>
    <tableColumn id="13" xr3:uid="{2EBE522A-A9EA-4616-BF0F-09D5D047931F}" name="2000" dataDxfId="1364"/>
    <tableColumn id="14" xr3:uid="{FFE4C506-A8AD-447B-89BB-15AD52B98762}" name="2001" dataDxfId="1363"/>
    <tableColumn id="15" xr3:uid="{CFA9D618-5D78-41FC-8069-ABF85581E19E}" name="2002" dataDxfId="1362"/>
    <tableColumn id="16" xr3:uid="{13F993BB-A210-453A-8F4B-6B5FE65DEDAF}" name="2003" dataDxfId="1361"/>
    <tableColumn id="17" xr3:uid="{1EAC3E1A-9CEA-4AB4-840F-83AAD703A3C0}" name="2004" dataDxfId="1360"/>
    <tableColumn id="18" xr3:uid="{A0E177E2-65F8-47C8-BF89-88F79C2F7462}" name="2005" dataDxfId="1359"/>
    <tableColumn id="19" xr3:uid="{A0160302-C2BB-4C31-88C1-4AED1FBA0C82}" name="2006" dataDxfId="1358"/>
    <tableColumn id="20" xr3:uid="{846541DB-7F7C-4920-A707-2A9245D24A96}" name="2007" dataDxfId="1357"/>
    <tableColumn id="21" xr3:uid="{46F90E11-826A-4E30-893D-284FF2F7D305}" name="2008" dataDxfId="1356"/>
    <tableColumn id="22" xr3:uid="{0F58C4F5-800B-4B98-A099-8109F827B5AC}" name="2009" dataDxfId="1355"/>
    <tableColumn id="23" xr3:uid="{9FED6EC3-E079-46FD-8B41-66A1972C886B}" name="2010" dataDxfId="1354"/>
    <tableColumn id="24" xr3:uid="{E0507392-7F9B-48FC-8C71-227749831905}" name="2011" dataDxfId="1353"/>
    <tableColumn id="25" xr3:uid="{A1601A77-6B21-4CBB-A7DE-4B3C69AE730A}" name="2012" dataDxfId="1352"/>
    <tableColumn id="26" xr3:uid="{47FE782A-D6EC-452A-A11F-43615C3F77AA}" name="2013" dataDxfId="1351"/>
    <tableColumn id="27" xr3:uid="{76C0B95B-CEDE-4D66-A94B-AEE476FD8AE7}" name="2014" dataDxfId="1350"/>
    <tableColumn id="28" xr3:uid="{FBE14A74-FA3D-4703-991F-4646CFD4334D}" name="2015" dataDxfId="1349"/>
    <tableColumn id="29" xr3:uid="{4D8A614F-9E23-4D75-ABD8-09827E2DBDEC}" name="2016" dataDxfId="1348"/>
    <tableColumn id="30" xr3:uid="{B8340B3E-4B68-45F2-9E71-494469565F89}" name="2017" dataDxfId="1347"/>
    <tableColumn id="31" xr3:uid="{AEF28FDF-6272-4165-A27B-E56142DD46F4}" name="2018" dataDxfId="1346"/>
    <tableColumn id="32" xr3:uid="{F6CF1F6C-60A3-4642-9ADA-009CE161421F}" name="2019" dataDxfId="1345" dataCellStyle="Comma"/>
    <tableColumn id="33" xr3:uid="{C0229B34-BB4F-4C50-A65D-F8041900BD90}" name="2020" dataDxfId="1344" dataCellStyle="Comma"/>
    <tableColumn id="34" xr3:uid="{1FB28207-BFBB-4989-9F0D-345FB3BF12B5}" name="2021" dataDxfId="1343" dataCellStyle="Comma"/>
    <tableColumn id="35" xr3:uid="{2A132379-CE94-4942-93FE-5EA064E57DC5}" name="2022" dataDxfId="1342" dataCellStyle="Comma"/>
    <tableColumn id="36" xr3:uid="{8F3EB2EE-6763-417A-82C6-8506B2D4BB23}" name="2023" dataDxfId="1341" dataCellStyle="Comma"/>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5" xr:uid="{FEA4600B-79AA-4C22-9B6E-78BC817CA418}" name="AdjustableGWPMAGHGEmissionsBySectorPercentOFTotal2023" displayName="AdjustableGWPMAGHGEmissionsBySectorPercentOFTotal2023" ref="R46:T55" totalsRowShown="0" headerRowDxfId="5162" headerRowBorderDxfId="5161" tableBorderDxfId="5160">
  <autoFilter ref="R46:T55" xr:uid="{FEA4600B-79AA-4C22-9B6E-78BC817CA418}">
    <filterColumn colId="0" hiddenButton="1"/>
    <filterColumn colId="1" hiddenButton="1"/>
    <filterColumn colId="2" hiddenButton="1"/>
  </autoFilter>
  <tableColumns count="3">
    <tableColumn id="1" xr3:uid="{2AC3F723-ABC0-4F8F-A58B-7EBD6387C2BF}" name="MMTCO2e" dataDxfId="5159"/>
    <tableColumn id="2" xr3:uid="{E34632A3-2194-4768-9A13-9D09E1366029}" name="Percent" dataDxfId="5158"/>
    <tableColumn id="3" xr3:uid="{427EC624-7677-4E77-93A3-CBFEA357C28A}" name="Sector"/>
  </tableColumns>
  <tableStyleInfo name="TableStyleLight1"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55F12A5A-01D1-4554-84A1-6567B023065F}" name="NGTransmissionCO2kgEFsLNGImportTerminals" displayName="NGTransmissionCO2kgEFsLNGImportTerminals" ref="A265:AJ268" totalsRowShown="0" headerRowDxfId="1340" dataDxfId="1338" headerRowBorderDxfId="1339" tableBorderDxfId="1337">
  <autoFilter ref="A265:AJ268" xr:uid="{55F12A5A-01D1-4554-84A1-6567B023065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5FECF2D3-BA99-4780-BD89-6048CE191DD0}" name="LNG Import Terminal Leaks/Blowdowns" dataDxfId="1336"/>
    <tableColumn id="2" xr3:uid="{1594A4FA-CB23-4846-81FC-E0F38B1F50F8}" name="Units" dataDxfId="1335"/>
    <tableColumn id="3" xr3:uid="{1DDC1B01-AC7D-43AF-B369-2699D48A182A}" name="1990" dataDxfId="1334"/>
    <tableColumn id="4" xr3:uid="{E9A2B3FC-24F0-407B-AFF0-3619C5A6E74E}" name="1991" dataDxfId="1333"/>
    <tableColumn id="5" xr3:uid="{D77E1553-195A-4FA0-A8CB-40B41F7ED991}" name="1992" dataDxfId="1332"/>
    <tableColumn id="6" xr3:uid="{5DD37407-D4F5-4275-A7D4-0564913CB380}" name="1993" dataDxfId="1331"/>
    <tableColumn id="7" xr3:uid="{3ED03B87-33E2-4368-AACC-49E55E21AFCB}" name="1994" dataDxfId="1330"/>
    <tableColumn id="8" xr3:uid="{B87F3488-81B7-4769-8F7A-BFE73E72AEAF}" name="1995" dataDxfId="1329"/>
    <tableColumn id="9" xr3:uid="{084D2329-320B-4F0C-8275-3CEBA175EE88}" name="1996" dataDxfId="1328"/>
    <tableColumn id="10" xr3:uid="{4F6E3CAC-3A40-4100-B723-D526D67774BD}" name="1997" dataDxfId="1327"/>
    <tableColumn id="11" xr3:uid="{45523A6B-E4A9-4D77-98AC-70E3FA6CC721}" name="1998" dataDxfId="1326"/>
    <tableColumn id="12" xr3:uid="{427977BE-741B-49C2-B795-078527159E63}" name="1999" dataDxfId="1325"/>
    <tableColumn id="13" xr3:uid="{225F7DCF-106B-42D6-AFD9-72EFE6F96A30}" name="2000" dataDxfId="1324"/>
    <tableColumn id="14" xr3:uid="{D3F783A5-D20E-4A76-A866-B8BB2F448140}" name="2001" dataDxfId="1323"/>
    <tableColumn id="15" xr3:uid="{FAEC29B6-3323-4BBF-AA42-6A347BCD77CE}" name="2002" dataDxfId="1322"/>
    <tableColumn id="16" xr3:uid="{22C10F9C-7762-4CB9-8010-57534815D647}" name="2003" dataDxfId="1321"/>
    <tableColumn id="17" xr3:uid="{2767B92B-7DBE-4423-90BF-0CC8A3F8766F}" name="2004" dataDxfId="1320"/>
    <tableColumn id="18" xr3:uid="{DD3199B2-8A65-42D3-95B0-718806306003}" name="2005" dataDxfId="1319"/>
    <tableColumn id="19" xr3:uid="{C56A8267-5790-4625-B84A-14C941E4E5D1}" name="2006" dataDxfId="1318"/>
    <tableColumn id="20" xr3:uid="{560130FC-8F87-4118-A504-CEA0D40A6E19}" name="2007" dataDxfId="1317"/>
    <tableColumn id="21" xr3:uid="{F792029C-18EC-41E0-9A0D-C2AAB4E0AD80}" name="2008" dataDxfId="1316"/>
    <tableColumn id="22" xr3:uid="{7A828E06-C134-40B8-9B0C-F9D1095FA99C}" name="2009" dataDxfId="1315"/>
    <tableColumn id="23" xr3:uid="{D850798A-3890-48B8-AE63-4CF52E934F55}" name="2010" dataDxfId="1314"/>
    <tableColumn id="24" xr3:uid="{CFA753B5-4846-4852-951A-AFB98C81905C}" name="2011" dataDxfId="1313"/>
    <tableColumn id="25" xr3:uid="{BA521944-696A-42A7-9192-CD4FDD7A45BB}" name="2012" dataDxfId="1312"/>
    <tableColumn id="26" xr3:uid="{77C34E7D-7864-4BFC-9951-0C2C74F753E8}" name="2013" dataDxfId="1311"/>
    <tableColumn id="27" xr3:uid="{E88F4AD7-F799-42A1-ACAF-F170975543FE}" name="2014" dataDxfId="1310"/>
    <tableColumn id="28" xr3:uid="{90BF5FBE-EE86-4B0C-8953-1BCD707F796D}" name="2015" dataDxfId="1309"/>
    <tableColumn id="29" xr3:uid="{1D3BCB7A-6F8F-4BD0-AD0B-E1AAADAE0270}" name="2016" dataDxfId="1308"/>
    <tableColumn id="30" xr3:uid="{1B797913-1D6A-4F9F-ABE5-47E17E81A761}" name="2017" dataDxfId="1307"/>
    <tableColumn id="31" xr3:uid="{10244BC8-A191-4789-BF7E-A024604A4164}" name="2018" dataDxfId="1306"/>
    <tableColumn id="32" xr3:uid="{4014D200-348C-4C93-A81A-672B6E51F3EB}" name="2019" dataDxfId="1305"/>
    <tableColumn id="33" xr3:uid="{2BC15FBD-DC9B-469A-89D0-86C8B806D143}" name="2020" dataDxfId="1304"/>
    <tableColumn id="34" xr3:uid="{37507FD4-7AEE-4454-A484-D70A80BBD71C}" name="2021" dataDxfId="1303"/>
    <tableColumn id="35" xr3:uid="{DB8EE8C6-2EE7-46AB-84BD-3EEDFE4AFCBA}" name="2022" dataDxfId="1302"/>
    <tableColumn id="36" xr3:uid="{22FB49B9-7C6F-404B-8D6E-D16FF9E31607}" name="2023" dataDxfId="1301"/>
  </tableColumns>
  <tableStyleInfo name="TableStyleLight1"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48D29A65-46EB-4A65-A001-AA90332EC4C4}" name="NGTransmissionCO2mtEFsPipelineandVenting" displayName="NGTransmissionCO2mtEFsPipelineandVenting" ref="A271:AJ274" totalsRowShown="0" headerRowDxfId="1300" headerRowBorderDxfId="1299" tableBorderDxfId="1298">
  <autoFilter ref="A271:AJ274" xr:uid="{48D29A65-46EB-4A65-A001-AA90332EC4C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266AD705-DA06-4EF6-9F93-9D8159463B4B}" name="Pipeline and Pipeline Venting"/>
    <tableColumn id="2" xr3:uid="{F6B853DB-70B8-4A76-99A5-9557BD57A474}" name="Units" dataDxfId="1297"/>
    <tableColumn id="3" xr3:uid="{CA70448F-299F-41ED-91E6-7D32B9ADD929}" name="1990">
      <calculatedColumnFormula>C236*#REF!</calculatedColumnFormula>
    </tableColumn>
    <tableColumn id="4" xr3:uid="{741A5928-3E8C-4D46-A74E-3EDAA078237D}" name="1991">
      <calculatedColumnFormula>D236*#REF!</calculatedColumnFormula>
    </tableColumn>
    <tableColumn id="5" xr3:uid="{481C66A2-F752-4333-B06F-AFD71E0BE359}" name="1992">
      <calculatedColumnFormula>E236*#REF!</calculatedColumnFormula>
    </tableColumn>
    <tableColumn id="6" xr3:uid="{104530C9-234E-4495-B809-0A01C83FD288}" name="1993">
      <calculatedColumnFormula>F236*#REF!</calculatedColumnFormula>
    </tableColumn>
    <tableColumn id="7" xr3:uid="{6F1ECEC2-9643-4D7F-B175-2C87F9D0C045}" name="1994">
      <calculatedColumnFormula>G236*#REF!</calculatedColumnFormula>
    </tableColumn>
    <tableColumn id="8" xr3:uid="{C336FB46-7568-4484-8E45-1BD526A92B65}" name="1995">
      <calculatedColumnFormula>H236*#REF!</calculatedColumnFormula>
    </tableColumn>
    <tableColumn id="9" xr3:uid="{07AB13A1-F528-4159-8BA0-8CDD14D1DA69}" name="1996">
      <calculatedColumnFormula>I236*#REF!</calculatedColumnFormula>
    </tableColumn>
    <tableColumn id="10" xr3:uid="{0231D50C-C586-4C11-9202-83D497524951}" name="1997">
      <calculatedColumnFormula>J236*#REF!</calculatedColumnFormula>
    </tableColumn>
    <tableColumn id="11" xr3:uid="{372C9D8A-7C4A-49D2-9273-51BDCC5DB05E}" name="1998">
      <calculatedColumnFormula>K236*#REF!</calculatedColumnFormula>
    </tableColumn>
    <tableColumn id="12" xr3:uid="{C11E7C86-A2FF-44B6-81F6-6246A206B743}" name="1999">
      <calculatedColumnFormula>L236*#REF!</calculatedColumnFormula>
    </tableColumn>
    <tableColumn id="13" xr3:uid="{C9EA4E04-1D65-4F7A-8E8B-7C281AA69D94}" name="2000">
      <calculatedColumnFormula>M236*#REF!</calculatedColumnFormula>
    </tableColumn>
    <tableColumn id="14" xr3:uid="{3EFD79EF-A075-4620-8352-C2DC5A24754D}" name="2001">
      <calculatedColumnFormula>N236*#REF!</calculatedColumnFormula>
    </tableColumn>
    <tableColumn id="15" xr3:uid="{E1ACB9EB-F0C4-4F67-8679-3C65ADDD4BE0}" name="2002">
      <calculatedColumnFormula>O236*#REF!</calculatedColumnFormula>
    </tableColumn>
    <tableColumn id="16" xr3:uid="{A6A260F4-4313-4A1C-931E-4B600693A25B}" name="2003">
      <calculatedColumnFormula>P236*#REF!</calculatedColumnFormula>
    </tableColumn>
    <tableColumn id="17" xr3:uid="{F66FF08C-CCE9-40F5-A3DC-3258E2EA1373}" name="2004">
      <calculatedColumnFormula>Q236*#REF!</calculatedColumnFormula>
    </tableColumn>
    <tableColumn id="18" xr3:uid="{7015431A-6F4B-42EB-8E66-7F6BB5D40376}" name="2005">
      <calculatedColumnFormula>R236*#REF!</calculatedColumnFormula>
    </tableColumn>
    <tableColumn id="19" xr3:uid="{C587535C-D0F7-4D26-9398-7ADA3101AAE1}" name="2006">
      <calculatedColumnFormula>S236*#REF!</calculatedColumnFormula>
    </tableColumn>
    <tableColumn id="20" xr3:uid="{E6A45318-ED0D-467C-92FD-4749D4C58362}" name="2007">
      <calculatedColumnFormula>T236*#REF!</calculatedColumnFormula>
    </tableColumn>
    <tableColumn id="21" xr3:uid="{2EE95A58-B7F7-4F03-8035-B1487DAFCFEE}" name="2008">
      <calculatedColumnFormula>U236*#REF!</calculatedColumnFormula>
    </tableColumn>
    <tableColumn id="22" xr3:uid="{18D9E207-4B77-4D72-AFA5-8BA69089F347}" name="2009">
      <calculatedColumnFormula>V236*#REF!</calculatedColumnFormula>
    </tableColumn>
    <tableColumn id="23" xr3:uid="{4BF52EBB-D1E2-4DE4-AEF0-290D9E2D0027}" name="2010">
      <calculatedColumnFormula>W236*#REF!</calculatedColumnFormula>
    </tableColumn>
    <tableColumn id="24" xr3:uid="{DBC80BC4-6343-432A-BEFF-607D322B6B1A}" name="2011">
      <calculatedColumnFormula>X236*#REF!</calculatedColumnFormula>
    </tableColumn>
    <tableColumn id="25" xr3:uid="{4C6C9504-33B7-4740-B552-DF7044895A41}" name="2012">
      <calculatedColumnFormula>Y236*#REF!</calculatedColumnFormula>
    </tableColumn>
    <tableColumn id="26" xr3:uid="{AD28AEFD-FD31-4E3D-999D-B794971952F7}" name="2013">
      <calculatedColumnFormula>Z236*#REF!</calculatedColumnFormula>
    </tableColumn>
    <tableColumn id="27" xr3:uid="{7C9BCE25-325C-47BC-8FE2-AC185AF10844}" name="2014">
      <calculatedColumnFormula>AA236*#REF!</calculatedColumnFormula>
    </tableColumn>
    <tableColumn id="28" xr3:uid="{E3898BBA-C67B-4186-B8E8-5983B4F2439E}" name="2015">
      <calculatedColumnFormula>AB236*#REF!</calculatedColumnFormula>
    </tableColumn>
    <tableColumn id="29" xr3:uid="{6C776E10-A305-4CC0-9B23-7163D6DA84AF}" name="2016">
      <calculatedColumnFormula>AC236*#REF!</calculatedColumnFormula>
    </tableColumn>
    <tableColumn id="30" xr3:uid="{E2CBC9CF-0436-40C3-B1F4-E7476BCDFFEA}" name="2017">
      <calculatedColumnFormula>AD236*#REF!</calculatedColumnFormula>
    </tableColumn>
    <tableColumn id="31" xr3:uid="{C4A340EF-A87A-4A31-A3F9-47BEEFEAA7B2}" name="2018">
      <calculatedColumnFormula>AE236*#REF!</calculatedColumnFormula>
    </tableColumn>
    <tableColumn id="32" xr3:uid="{43F039E5-A57A-4839-BD99-E8289DEC3A97}" name="2019">
      <calculatedColumnFormula>AF236*#REF!</calculatedColumnFormula>
    </tableColumn>
    <tableColumn id="33" xr3:uid="{38CF95F3-3871-49C9-AC4A-42AC41B8A536}" name="2020">
      <calculatedColumnFormula>AG236*#REF!</calculatedColumnFormula>
    </tableColumn>
    <tableColumn id="34" xr3:uid="{248383EA-4EA5-46E3-9E43-1A58A9ECB6B0}" name="2021">
      <calculatedColumnFormula>AH236*#REF!</calculatedColumnFormula>
    </tableColumn>
    <tableColumn id="35" xr3:uid="{D95D5928-0405-4997-88D4-27BE05769FC8}" name="2022">
      <calculatedColumnFormula>AI236*#REF!</calculatedColumnFormula>
    </tableColumn>
    <tableColumn id="36" xr3:uid="{1E7198EC-2E5C-4892-BEDC-2B662D6FAB17}" name="2023">
      <calculatedColumnFormula>AJ236*#REF!</calculatedColumnFormula>
    </tableColumn>
  </tableColumns>
  <tableStyleInfo name="TableStyleLight1"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7E86F15E-CC2C-4C5E-BB68-A657E01F6558}" name="NGTransmissionCO2mtEFsCompressorsandStation" displayName="NGTransmissionCO2mtEFsCompressorsandStation" ref="A277:AJ284" totalsRowShown="0" headerRowDxfId="1296" dataDxfId="1294" headerRowBorderDxfId="1295" tableBorderDxfId="1293">
  <autoFilter ref="A277:AJ284" xr:uid="{7E86F15E-CC2C-4C5E-BB68-A657E01F655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598D553A-EEB5-4095-B9F0-DBCB49FAC816}" name="Stations/Compressor Types/Venting"/>
    <tableColumn id="2" xr3:uid="{8648DB36-A322-4AFF-8C52-F4C8BA2FABB4}" name="Units" dataDxfId="1292"/>
    <tableColumn id="3" xr3:uid="{E7BE18CB-B4F5-4B7F-952C-66583DA1A78A}" name="1990" dataDxfId="1291">
      <calculatedColumnFormula>C242*#REF!</calculatedColumnFormula>
    </tableColumn>
    <tableColumn id="4" xr3:uid="{944F66DB-CBEB-43D0-A896-4247678C5A9A}" name="1991" dataDxfId="1290">
      <calculatedColumnFormula>D242*#REF!</calculatedColumnFormula>
    </tableColumn>
    <tableColumn id="5" xr3:uid="{7E221CCD-30BE-49DE-A893-DD317059621A}" name="1992" dataDxfId="1289">
      <calculatedColumnFormula>E242*#REF!</calculatedColumnFormula>
    </tableColumn>
    <tableColumn id="6" xr3:uid="{3B101AA4-20E8-4CA3-8E3C-FD84F7E135A9}" name="1993" dataDxfId="1288">
      <calculatedColumnFormula>F242*#REF!</calculatedColumnFormula>
    </tableColumn>
    <tableColumn id="7" xr3:uid="{E9457EF9-4E2B-47EA-9CC9-5A3774B32EDB}" name="1994" dataDxfId="1287">
      <calculatedColumnFormula>G242*#REF!</calculatedColumnFormula>
    </tableColumn>
    <tableColumn id="8" xr3:uid="{5D317486-954A-469D-95E0-67EF6D92BAF3}" name="1995" dataDxfId="1286">
      <calculatedColumnFormula>H242*#REF!</calculatedColumnFormula>
    </tableColumn>
    <tableColumn id="9" xr3:uid="{0F7A356E-6942-46A3-97DE-885F3BCD977F}" name="1996" dataDxfId="1285">
      <calculatedColumnFormula>I242*#REF!</calculatedColumnFormula>
    </tableColumn>
    <tableColumn id="10" xr3:uid="{276A3D1D-5885-4631-9D92-861227B164C6}" name="1997" dataDxfId="1284">
      <calculatedColumnFormula>J242*#REF!</calculatedColumnFormula>
    </tableColumn>
    <tableColumn id="11" xr3:uid="{3B07F6A7-D327-41C0-852A-41B19BE53CE6}" name="1998" dataDxfId="1283">
      <calculatedColumnFormula>K242*#REF!</calculatedColumnFormula>
    </tableColumn>
    <tableColumn id="12" xr3:uid="{FDAE76A5-1F66-428E-AFBB-EC622AF859F3}" name="1999" dataDxfId="1282">
      <calculatedColumnFormula>L242*#REF!</calculatedColumnFormula>
    </tableColumn>
    <tableColumn id="13" xr3:uid="{F98ECE9D-A8D9-4B43-8BFF-3C78A4BAF2CF}" name="2000" dataDxfId="1281">
      <calculatedColumnFormula>M242*#REF!</calculatedColumnFormula>
    </tableColumn>
    <tableColumn id="14" xr3:uid="{D8B5EF63-4CBC-487F-99D2-5BB9B19C1D96}" name="2001" dataDxfId="1280">
      <calculatedColumnFormula>N242*#REF!</calculatedColumnFormula>
    </tableColumn>
    <tableColumn id="15" xr3:uid="{98E0EB6E-5D3A-4B1F-A7EB-8F5BF4ACB9FC}" name="2002" dataDxfId="1279">
      <calculatedColumnFormula>O242*#REF!</calculatedColumnFormula>
    </tableColumn>
    <tableColumn id="16" xr3:uid="{FD427429-0ADB-41B0-BA76-9B3C007DCACC}" name="2003" dataDxfId="1278">
      <calculatedColumnFormula>P242*#REF!</calculatedColumnFormula>
    </tableColumn>
    <tableColumn id="17" xr3:uid="{7726FFBC-26C1-44C0-8FB6-FD9764FE585A}" name="2004" dataDxfId="1277">
      <calculatedColumnFormula>Q242*#REF!</calculatedColumnFormula>
    </tableColumn>
    <tableColumn id="18" xr3:uid="{00DA4C3B-79D2-45C7-A4F0-2D3E5313FC57}" name="2005" dataDxfId="1276">
      <calculatedColumnFormula>R242*#REF!</calculatedColumnFormula>
    </tableColumn>
    <tableColumn id="19" xr3:uid="{FAD2D275-E3B5-490D-9EB0-9E85E73EBA7A}" name="2006" dataDxfId="1275">
      <calculatedColumnFormula>S242*#REF!</calculatedColumnFormula>
    </tableColumn>
    <tableColumn id="20" xr3:uid="{735EC0D8-8247-4E01-BB8F-2EE09A3EFE04}" name="2007" dataDxfId="1274">
      <calculatedColumnFormula>T242*#REF!</calculatedColumnFormula>
    </tableColumn>
    <tableColumn id="21" xr3:uid="{07CF58E8-A40E-496E-9C83-952DC7CFCE4E}" name="2008" dataDxfId="1273">
      <calculatedColumnFormula>U242*#REF!</calculatedColumnFormula>
    </tableColumn>
    <tableColumn id="22" xr3:uid="{473894D4-0EDA-4D05-AAFA-5CB357CDBB76}" name="2009" dataDxfId="1272">
      <calculatedColumnFormula>V242*#REF!</calculatedColumnFormula>
    </tableColumn>
    <tableColumn id="23" xr3:uid="{9B035B40-0F48-4DAF-B4C4-C75B4CE078E8}" name="2010" dataDxfId="1271">
      <calculatedColumnFormula>W242*#REF!</calculatedColumnFormula>
    </tableColumn>
    <tableColumn id="24" xr3:uid="{AA7CA091-F914-4B1C-B68B-18365F3BFEB0}" name="2011" dataDxfId="1270">
      <calculatedColumnFormula>X242*#REF!</calculatedColumnFormula>
    </tableColumn>
    <tableColumn id="25" xr3:uid="{0DB32B17-9ADB-4529-8737-3E10665B99C8}" name="2012" dataDxfId="1269">
      <calculatedColumnFormula>Y242*#REF!</calculatedColumnFormula>
    </tableColumn>
    <tableColumn id="26" xr3:uid="{52DCD9ED-E894-4BB2-A7E4-1FED379F3A50}" name="2013" dataDxfId="1268">
      <calculatedColumnFormula>Z242*#REF!</calculatedColumnFormula>
    </tableColumn>
    <tableColumn id="27" xr3:uid="{6E26F2F9-4C43-48AC-9E9D-6C2D619481F9}" name="2014" dataDxfId="1267">
      <calculatedColumnFormula>AA242*#REF!</calculatedColumnFormula>
    </tableColumn>
    <tableColumn id="28" xr3:uid="{D4C518B5-F387-49A3-8478-1449D2D214AE}" name="2015" dataDxfId="1266">
      <calculatedColumnFormula>AB242*#REF!</calculatedColumnFormula>
    </tableColumn>
    <tableColumn id="29" xr3:uid="{B0CB2775-F117-4AC4-9DA0-AD1F7248DDF7}" name="2016" dataDxfId="1265">
      <calculatedColumnFormula>AC242*#REF!</calculatedColumnFormula>
    </tableColumn>
    <tableColumn id="30" xr3:uid="{16EC77FF-5357-4B2E-A049-C64C661EB089}" name="2017" dataDxfId="1264">
      <calculatedColumnFormula>AD242*#REF!</calculatedColumnFormula>
    </tableColumn>
    <tableColumn id="31" xr3:uid="{3C5E45C0-67BC-4D34-913D-A1CA7A84310F}" name="2018" dataDxfId="1263">
      <calculatedColumnFormula>AE242*#REF!</calculatedColumnFormula>
    </tableColumn>
    <tableColumn id="32" xr3:uid="{0804BDB2-76A3-49F8-B018-F769E4779ABF}" name="2019" dataDxfId="1262">
      <calculatedColumnFormula>AF242*#REF!</calculatedColumnFormula>
    </tableColumn>
    <tableColumn id="33" xr3:uid="{B97AFDC1-B13F-455A-AF19-690235CBB59B}" name="2020" dataDxfId="1261">
      <calculatedColumnFormula>AG242*#REF!</calculatedColumnFormula>
    </tableColumn>
    <tableColumn id="34" xr3:uid="{E6F1C88B-23FF-4F28-8184-66AAEF870DAD}" name="2021" dataDxfId="1260">
      <calculatedColumnFormula>AH242*#REF!</calculatedColumnFormula>
    </tableColumn>
    <tableColumn id="35" xr3:uid="{E0B97340-F2FF-4BCE-9F6E-29883781B8D9}" name="2022" dataDxfId="1259">
      <calculatedColumnFormula>AI242*#REF!</calculatedColumnFormula>
    </tableColumn>
    <tableColumn id="36" xr3:uid="{4CCF184E-7A66-4346-B333-44B70F34D836}" name="2023" dataDxfId="1258">
      <calculatedColumnFormula>AJ242*#REF!</calculatedColumnFormula>
    </tableColumn>
  </tableColumns>
  <tableStyleInfo name="TableStyleLight1"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12B798B0-317A-49B5-A6C8-574F78929CCA}" name="NGTransmissionCO2mtEFsPneumaticeDevices" displayName="NGTransmissionCO2mtEFsPneumaticeDevices" ref="A287:AJ292" totalsRowShown="0" headerRowDxfId="1257" dataDxfId="1255" headerRowBorderDxfId="1256" tableBorderDxfId="1254">
  <autoFilter ref="A287:AJ292" xr:uid="{12B798B0-317A-49B5-A6C8-574F78929CC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7889BE5D-DB2B-4A15-8684-8D7F7AFBF2E1}" name="Devices/Controller Type"/>
    <tableColumn id="2" xr3:uid="{BA7A3FDA-C8F4-4C38-8D0D-C82F6C822955}" name="Units" dataDxfId="1253"/>
    <tableColumn id="3" xr3:uid="{315DBEDA-15AF-43EE-A3D4-FAD2E78D36EF}" name="1990" dataDxfId="1252">
      <calculatedColumnFormula>C252*#REF!</calculatedColumnFormula>
    </tableColumn>
    <tableColumn id="4" xr3:uid="{4165DCF0-7351-49A2-B1FE-3D2BA61B4F7A}" name="1991" dataDxfId="1251">
      <calculatedColumnFormula>D252*#REF!</calculatedColumnFormula>
    </tableColumn>
    <tableColumn id="5" xr3:uid="{C7806080-1482-4251-A181-E1B15C896A2D}" name="1992" dataDxfId="1250">
      <calculatedColumnFormula>E252*#REF!</calculatedColumnFormula>
    </tableColumn>
    <tableColumn id="6" xr3:uid="{26777B4B-EA3E-4677-8EC2-854FDC5D5F98}" name="1993" dataDxfId="1249">
      <calculatedColumnFormula>F252*#REF!</calculatedColumnFormula>
    </tableColumn>
    <tableColumn id="7" xr3:uid="{1B6E8EDC-97D4-4C61-9399-E8C326F93A58}" name="1994" dataDxfId="1248">
      <calculatedColumnFormula>G252*#REF!</calculatedColumnFormula>
    </tableColumn>
    <tableColumn id="8" xr3:uid="{F59EEE5B-B4A0-424E-8E3F-4CF019F36931}" name="1995" dataDxfId="1247">
      <calculatedColumnFormula>H252*#REF!</calculatedColumnFormula>
    </tableColumn>
    <tableColumn id="9" xr3:uid="{1C4D29A5-6FF0-4D03-A9F6-42F2937D13D3}" name="1996" dataDxfId="1246">
      <calculatedColumnFormula>I252*#REF!</calculatedColumnFormula>
    </tableColumn>
    <tableColumn id="10" xr3:uid="{12AB86F9-116D-4446-9EFA-BD686C860E09}" name="1997" dataDxfId="1245">
      <calculatedColumnFormula>J252*#REF!</calculatedColumnFormula>
    </tableColumn>
    <tableColumn id="11" xr3:uid="{A16CDE9C-530C-4F54-B7A4-35F1EEEF423D}" name="1998" dataDxfId="1244">
      <calculatedColumnFormula>K252*#REF!</calculatedColumnFormula>
    </tableColumn>
    <tableColumn id="12" xr3:uid="{9DC605BA-CAB9-405B-B915-F71BEDF36DE1}" name="1999" dataDxfId="1243">
      <calculatedColumnFormula>L252*#REF!</calculatedColumnFormula>
    </tableColumn>
    <tableColumn id="13" xr3:uid="{0D83C339-C5FD-4FE2-9173-D42B6346E339}" name="2000" dataDxfId="1242">
      <calculatedColumnFormula>M252*#REF!</calculatedColumnFormula>
    </tableColumn>
    <tableColumn id="14" xr3:uid="{8EFB34DB-8381-4062-97D3-3FB4CE21ECF9}" name="2001" dataDxfId="1241">
      <calculatedColumnFormula>N252*#REF!</calculatedColumnFormula>
    </tableColumn>
    <tableColumn id="15" xr3:uid="{265CC0C6-66CF-4E40-B07D-8C142AD7E45F}" name="2002" dataDxfId="1240">
      <calculatedColumnFormula>O252*#REF!</calculatedColumnFormula>
    </tableColumn>
    <tableColumn id="16" xr3:uid="{7F998E49-CF87-46DF-A10E-B280D7631652}" name="2003" dataDxfId="1239">
      <calculatedColumnFormula>P252*#REF!</calculatedColumnFormula>
    </tableColumn>
    <tableColumn id="17" xr3:uid="{70CD25BD-0300-47B4-A17A-90A9C98BD1ED}" name="2004" dataDxfId="1238">
      <calculatedColumnFormula>Q252*#REF!</calculatedColumnFormula>
    </tableColumn>
    <tableColumn id="18" xr3:uid="{AA7C755A-8BB8-4B8E-8F29-AEBFD6BE3E67}" name="2005" dataDxfId="1237">
      <calculatedColumnFormula>R252*#REF!</calculatedColumnFormula>
    </tableColumn>
    <tableColumn id="19" xr3:uid="{4788A481-6E56-4DD0-A72A-D3036752610D}" name="2006" dataDxfId="1236">
      <calculatedColumnFormula>S252*#REF!</calculatedColumnFormula>
    </tableColumn>
    <tableColumn id="20" xr3:uid="{76232C4C-E3C1-406F-8821-DD0FB9FB88CF}" name="2007" dataDxfId="1235">
      <calculatedColumnFormula>T252*#REF!</calculatedColumnFormula>
    </tableColumn>
    <tableColumn id="21" xr3:uid="{B6347B92-9B87-405C-8594-A71BB0E3FA95}" name="2008" dataDxfId="1234">
      <calculatedColumnFormula>U252*#REF!</calculatedColumnFormula>
    </tableColumn>
    <tableColumn id="22" xr3:uid="{49D2B263-5620-4154-B2DB-8AE1F1F3D8E4}" name="2009" dataDxfId="1233">
      <calculatedColumnFormula>V252*#REF!</calculatedColumnFormula>
    </tableColumn>
    <tableColumn id="23" xr3:uid="{F8FA55E0-21DD-4044-846C-EAC215BC70EA}" name="2010" dataDxfId="1232">
      <calculatedColumnFormula>W252*#REF!</calculatedColumnFormula>
    </tableColumn>
    <tableColumn id="24" xr3:uid="{33DCB229-19AD-4DF4-AC19-F6D54DE16FBB}" name="2011" dataDxfId="1231">
      <calculatedColumnFormula>X252*#REF!</calculatedColumnFormula>
    </tableColumn>
    <tableColumn id="25" xr3:uid="{2B2EED76-E09D-4DA8-BDE1-A0F1DE70A2AD}" name="2012" dataDxfId="1230">
      <calculatedColumnFormula>Y252*#REF!</calculatedColumnFormula>
    </tableColumn>
    <tableColumn id="26" xr3:uid="{246A3856-70C9-4E2F-8313-1293CA5A2B19}" name="2013" dataDxfId="1229">
      <calculatedColumnFormula>Z252*#REF!</calculatedColumnFormula>
    </tableColumn>
    <tableColumn id="27" xr3:uid="{E48603FB-0CA8-4739-991B-7A3AA246594F}" name="2014" dataDxfId="1228">
      <calculatedColumnFormula>AA252*#REF!</calculatedColumnFormula>
    </tableColumn>
    <tableColumn id="28" xr3:uid="{6AE715C3-E8FE-4E3C-8091-75C23C34AA38}" name="2015" dataDxfId="1227">
      <calculatedColumnFormula>AB252*#REF!</calculatedColumnFormula>
    </tableColumn>
    <tableColumn id="29" xr3:uid="{6F1F9D41-4E76-4443-992E-EAC4D680570C}" name="2016" dataDxfId="1226">
      <calculatedColumnFormula>AC252*#REF!</calculatedColumnFormula>
    </tableColumn>
    <tableColumn id="30" xr3:uid="{75D99884-7CCB-400A-8AAE-056E1F48E52E}" name="2017" dataDxfId="1225">
      <calculatedColumnFormula>AD252*#REF!</calculatedColumnFormula>
    </tableColumn>
    <tableColumn id="31" xr3:uid="{32DD4AD2-F4A6-4691-A513-4E6F90C1BF94}" name="2018" dataDxfId="1224">
      <calculatedColumnFormula>AE252*#REF!</calculatedColumnFormula>
    </tableColumn>
    <tableColumn id="32" xr3:uid="{567B6B36-87EA-490F-9B63-C149FAD9C8BD}" name="2019" dataDxfId="1223">
      <calculatedColumnFormula>AF252*#REF!</calculatedColumnFormula>
    </tableColumn>
    <tableColumn id="33" xr3:uid="{4EF39885-1245-4F46-A4AE-EF3BCE631182}" name="2020" dataDxfId="1222">
      <calculatedColumnFormula>AG252*#REF!</calculatedColumnFormula>
    </tableColumn>
    <tableColumn id="34" xr3:uid="{3E11A522-F635-4850-A334-6EFDFA862C1E}" name="2021" dataDxfId="1221">
      <calculatedColumnFormula>AH252*#REF!</calculatedColumnFormula>
    </tableColumn>
    <tableColumn id="35" xr3:uid="{E8A1CF29-A745-4DB2-BC8C-B0EB05C5A65C}" name="2022" dataDxfId="1220">
      <calculatedColumnFormula>AI252*#REF!</calculatedColumnFormula>
    </tableColumn>
    <tableColumn id="36" xr3:uid="{4AE49082-AA85-4029-9BC8-69386E3E7C4E}" name="2023" dataDxfId="1219">
      <calculatedColumnFormula>AJ252*#REF!</calculatedColumnFormula>
    </tableColumn>
  </tableColumns>
  <tableStyleInfo name="TableStyleLight1"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14F13C5C-FC2C-4C32-8725-C1ECF1BFC482}" name="NGTransmissionCO2mtEFsLNGStorage" displayName="NGTransmissionCO2mtEFsLNGStorage" ref="A295:AJ298" totalsRowShown="0" headerRowDxfId="1218" dataDxfId="1216" headerRowBorderDxfId="1217" tableBorderDxfId="1215">
  <autoFilter ref="A295:AJ298" xr:uid="{14F13C5C-FC2C-4C32-8725-C1ECF1BFC48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B872DEEB-5993-4680-8D28-192653E1854A}" name="LNG Storage Leaks/Blowdowns" dataDxfId="1214"/>
    <tableColumn id="2" xr3:uid="{7BE1791F-383B-43BA-AE97-54E531036D17}" name="Units" dataDxfId="1213"/>
    <tableColumn id="3" xr3:uid="{B4BF0154-3F3E-46AF-BD04-635B7211F428}" name="1990" dataDxfId="1212">
      <calculatedColumnFormula>C260*#REF!</calculatedColumnFormula>
    </tableColumn>
    <tableColumn id="4" xr3:uid="{2CA95E28-36CC-45F0-A3C2-A8AF1C35E173}" name="1991" dataDxfId="1211">
      <calculatedColumnFormula>D260*#REF!</calculatedColumnFormula>
    </tableColumn>
    <tableColumn id="5" xr3:uid="{29966EFD-9310-4848-9206-71E07ECEE24E}" name="1992" dataDxfId="1210">
      <calculatedColumnFormula>E260*#REF!</calculatedColumnFormula>
    </tableColumn>
    <tableColumn id="6" xr3:uid="{DF12B44C-C68E-4AE0-A2C9-D1FB51D0E31A}" name="1993" dataDxfId="1209">
      <calculatedColumnFormula>F260*#REF!</calculatedColumnFormula>
    </tableColumn>
    <tableColumn id="7" xr3:uid="{F112CC90-C2B2-4157-954F-E15E77B6D747}" name="1994" dataDxfId="1208">
      <calculatedColumnFormula>G260*#REF!</calculatedColumnFormula>
    </tableColumn>
    <tableColumn id="8" xr3:uid="{4AE3CDDB-A228-453B-842C-7229D7245501}" name="1995" dataDxfId="1207">
      <calculatedColumnFormula>H260*#REF!</calculatedColumnFormula>
    </tableColumn>
    <tableColumn id="9" xr3:uid="{73AE7123-ABA0-4271-A41C-D838AE788730}" name="1996" dataDxfId="1206">
      <calculatedColumnFormula>I260*#REF!</calculatedColumnFormula>
    </tableColumn>
    <tableColumn id="10" xr3:uid="{CF6B59BD-8303-4992-A499-897B42164C24}" name="1997" dataDxfId="1205">
      <calculatedColumnFormula>J260*#REF!</calculatedColumnFormula>
    </tableColumn>
    <tableColumn id="11" xr3:uid="{73E97978-955B-4C30-8EC3-828B45A49BAA}" name="1998" dataDxfId="1204">
      <calculatedColumnFormula>K260*#REF!</calculatedColumnFormula>
    </tableColumn>
    <tableColumn id="12" xr3:uid="{7F13439A-1092-4690-99FE-45F3D9C37168}" name="1999" dataDxfId="1203">
      <calculatedColumnFormula>L260*#REF!</calculatedColumnFormula>
    </tableColumn>
    <tableColumn id="13" xr3:uid="{8DBC6A5A-6EA2-4327-9FD4-A5BAB6CA426A}" name="2000" dataDxfId="1202">
      <calculatedColumnFormula>M260*#REF!</calculatedColumnFormula>
    </tableColumn>
    <tableColumn id="14" xr3:uid="{CD720BAB-401B-4547-B581-663C82477C90}" name="2001" dataDxfId="1201">
      <calculatedColumnFormula>N260*#REF!</calculatedColumnFormula>
    </tableColumn>
    <tableColumn id="15" xr3:uid="{63BCA98C-5AE4-499D-8A3B-A094B0E4FD74}" name="2002" dataDxfId="1200">
      <calculatedColumnFormula>O260*#REF!</calculatedColumnFormula>
    </tableColumn>
    <tableColumn id="16" xr3:uid="{E31CB1C4-40BB-41CE-BFDE-6C0101410D69}" name="2003" dataDxfId="1199">
      <calculatedColumnFormula>P260*#REF!</calculatedColumnFormula>
    </tableColumn>
    <tableColumn id="17" xr3:uid="{E250F5BA-2830-4DE2-9B0F-B3545D52EB08}" name="2004" dataDxfId="1198">
      <calculatedColumnFormula>Q260*#REF!</calculatedColumnFormula>
    </tableColumn>
    <tableColumn id="18" xr3:uid="{06FE748F-0AAA-4DE5-AF97-1A357E35661D}" name="2005" dataDxfId="1197">
      <calculatedColumnFormula>R260*#REF!</calculatedColumnFormula>
    </tableColumn>
    <tableColumn id="19" xr3:uid="{AEC03F42-320B-43F0-B7A1-F3D8C46B0889}" name="2006" dataDxfId="1196">
      <calculatedColumnFormula>S260*#REF!</calculatedColumnFormula>
    </tableColumn>
    <tableColumn id="20" xr3:uid="{42BDAD4E-15B0-4E28-BDB7-194D17259013}" name="2007" dataDxfId="1195">
      <calculatedColumnFormula>T260*#REF!</calculatedColumnFormula>
    </tableColumn>
    <tableColumn id="21" xr3:uid="{996F6F87-6637-479E-A1B5-020012E1A3DE}" name="2008" dataDxfId="1194">
      <calculatedColumnFormula>U260*#REF!</calculatedColumnFormula>
    </tableColumn>
    <tableColumn id="22" xr3:uid="{5D40EFEF-A688-4068-B5DB-0EF3BE5489FE}" name="2009" dataDxfId="1193">
      <calculatedColumnFormula>V260*#REF!</calculatedColumnFormula>
    </tableColumn>
    <tableColumn id="23" xr3:uid="{B392D030-8954-4B2A-A20E-FB58310BFA9F}" name="2010" dataDxfId="1192">
      <calculatedColumnFormula>W260*#REF!</calculatedColumnFormula>
    </tableColumn>
    <tableColumn id="24" xr3:uid="{3F482665-7775-472E-934D-595F2254AF4A}" name="2011" dataDxfId="1191">
      <calculatedColumnFormula>X260*#REF!</calculatedColumnFormula>
    </tableColumn>
    <tableColumn id="25" xr3:uid="{87965259-2113-49A6-8C9C-EB538FB29097}" name="2012" dataDxfId="1190">
      <calculatedColumnFormula>Y260*#REF!</calculatedColumnFormula>
    </tableColumn>
    <tableColumn id="26" xr3:uid="{14C2C2B3-7120-44D4-B0D8-3D3D0CFE6C84}" name="2013" dataDxfId="1189">
      <calculatedColumnFormula>Z260*#REF!</calculatedColumnFormula>
    </tableColumn>
    <tableColumn id="27" xr3:uid="{324C28D5-8626-40E2-A140-884B5E33C334}" name="2014" dataDxfId="1188">
      <calculatedColumnFormula>AA260*#REF!</calculatedColumnFormula>
    </tableColumn>
    <tableColumn id="28" xr3:uid="{D34A56BA-FCEC-4809-B0D8-E8B52570DDAC}" name="2015" dataDxfId="1187">
      <calculatedColumnFormula>AB260*#REF!</calculatedColumnFormula>
    </tableColumn>
    <tableColumn id="29" xr3:uid="{C2690DDE-459D-437D-8B81-9518FFCF2ED6}" name="2016" dataDxfId="1186">
      <calculatedColumnFormula>AC260*#REF!</calculatedColumnFormula>
    </tableColumn>
    <tableColumn id="30" xr3:uid="{D82A592D-17F2-4890-A8FD-8A06977E260F}" name="2017" dataDxfId="1185">
      <calculatedColumnFormula>AD260*#REF!</calculatedColumnFormula>
    </tableColumn>
    <tableColumn id="31" xr3:uid="{A4079569-8A33-431F-AA63-634E908CC746}" name="2018" dataDxfId="1184">
      <calculatedColumnFormula>AE260*#REF!</calculatedColumnFormula>
    </tableColumn>
    <tableColumn id="32" xr3:uid="{AB86C8FC-45E4-4E7C-B1DD-D389C13431BC}" name="2019" dataDxfId="1183">
      <calculatedColumnFormula>AF260*#REF!</calculatedColumnFormula>
    </tableColumn>
    <tableColumn id="33" xr3:uid="{71AB89EE-3463-4D81-9316-501983DD536B}" name="2020" dataDxfId="1182">
      <calculatedColumnFormula>AG260*#REF!</calculatedColumnFormula>
    </tableColumn>
    <tableColumn id="34" xr3:uid="{39F8425F-8A31-4597-85D6-B451DBEF7ADB}" name="2021" dataDxfId="1181">
      <calculatedColumnFormula>AH260*#REF!</calculatedColumnFormula>
    </tableColumn>
    <tableColumn id="35" xr3:uid="{3965391B-0BAB-47CC-8F25-B4981237042C}" name="2022" dataDxfId="1180">
      <calculatedColumnFormula>AI260*#REF!</calculatedColumnFormula>
    </tableColumn>
    <tableColumn id="36" xr3:uid="{D1A4DD0E-0DEB-4E64-A9B4-6E42B1BEBB31}" name="2023" dataDxfId="1179">
      <calculatedColumnFormula>AJ260*#REF!</calculatedColumnFormula>
    </tableColumn>
  </tableColumns>
  <tableStyleInfo name="TableStyleLight1"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004CDA4F-0B7D-4B09-B5E2-13C34E7B03E2}" name="NGTransmissionCO2mtEFsLNGImportTerminals" displayName="NGTransmissionCO2mtEFsLNGImportTerminals" ref="A301:AJ304" totalsRowShown="0" headerRowDxfId="1178" headerRowBorderDxfId="1177">
  <autoFilter ref="A301:AJ304" xr:uid="{004CDA4F-0B7D-4B09-B5E2-13C34E7B03E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85717753-9F8B-4B86-A36B-BF8F27B7B495}" name="LNG Import Terminal Leaks/Blowdowns"/>
    <tableColumn id="2" xr3:uid="{DCF685A5-FE81-4B2A-9F2D-8F72BE3B8F22}" name="Units"/>
    <tableColumn id="3" xr3:uid="{DE68E36C-B51A-4E55-AC32-B9CD87D15153}" name="1990"/>
    <tableColumn id="4" xr3:uid="{D824B91C-E81A-4C54-978E-F71D4C5C4823}" name="1991"/>
    <tableColumn id="5" xr3:uid="{4C8A9514-E8DE-4166-ABFF-EF3F630766D8}" name="1992"/>
    <tableColumn id="6" xr3:uid="{BEE44634-54E1-433A-9B1B-0D05635988DF}" name="1993"/>
    <tableColumn id="7" xr3:uid="{8CBBF631-3E93-43A6-AE3C-75314E58005A}" name="1994"/>
    <tableColumn id="8" xr3:uid="{1E6C1E8A-DEDE-4806-BDFD-4A6201E1E8F6}" name="1995"/>
    <tableColumn id="9" xr3:uid="{E401AC50-14CB-42EF-ADD8-90A78A9FF18F}" name="1996"/>
    <tableColumn id="10" xr3:uid="{627F9FF9-A5FF-45E2-83DC-ED303C9A73C5}" name="1997"/>
    <tableColumn id="11" xr3:uid="{7466435B-4E49-4629-B070-C2013286F98F}" name="1998"/>
    <tableColumn id="12" xr3:uid="{0AFE2E58-689F-44D7-AE7A-31FAD7E7FE75}" name="1999"/>
    <tableColumn id="13" xr3:uid="{ECFE38B1-41F5-45BB-AF0B-091E74F03789}" name="2000"/>
    <tableColumn id="14" xr3:uid="{748D5C0D-85EC-4163-8320-E8DB8EEAC703}" name="2001"/>
    <tableColumn id="15" xr3:uid="{245C1341-D121-4009-8A5C-3F41B234B2CB}" name="2002"/>
    <tableColumn id="16" xr3:uid="{BF0DBEA1-D6B2-4328-B5AD-FC2674BF75F3}" name="2003"/>
    <tableColumn id="17" xr3:uid="{07B86F2A-F110-44A6-93F9-53B09BDCAD1B}" name="2004"/>
    <tableColumn id="18" xr3:uid="{1126DCF2-DC55-4142-8FB3-36FE8EB88E75}" name="2005"/>
    <tableColumn id="19" xr3:uid="{D7CC5A07-BA2A-4926-97AB-AAC3C40C1426}" name="2006"/>
    <tableColumn id="20" xr3:uid="{FB01D75A-7C6A-4B35-BBF1-EAAFD6EEA2A7}" name="2007"/>
    <tableColumn id="21" xr3:uid="{62C0A03D-FFDE-43A3-9358-7E11EBD08525}" name="2008"/>
    <tableColumn id="22" xr3:uid="{D1FD90F6-B7BF-42F1-B0DA-0B28919498AB}" name="2009"/>
    <tableColumn id="23" xr3:uid="{225F1B96-F288-4CB6-9CBC-D2AC95A5F6CA}" name="2010"/>
    <tableColumn id="24" xr3:uid="{DC2645E2-1036-467E-B826-667556211EDE}" name="2011"/>
    <tableColumn id="25" xr3:uid="{244753FF-5AB1-4CFA-9C92-53A295E78D85}" name="2012"/>
    <tableColumn id="26" xr3:uid="{C8E0E4B0-A263-4CDA-A9D5-772D6B2153CD}" name="2013"/>
    <tableColumn id="27" xr3:uid="{55E4A5C0-A95C-4DE2-8ED4-DB8111603ACE}" name="2014"/>
    <tableColumn id="28" xr3:uid="{BA4DC5FF-A7FF-472C-8499-C3390DBCCF62}" name="2015"/>
    <tableColumn id="29" xr3:uid="{51FBD598-0670-4F17-89E2-E405BA69F9D1}" name="2016"/>
    <tableColumn id="30" xr3:uid="{B8E29A34-0347-4FC0-9444-B19DB0AC66B0}" name="2017"/>
    <tableColumn id="31" xr3:uid="{6C92D0C9-5A95-4CA9-A14E-04A08632B5F7}" name="2018"/>
    <tableColumn id="32" xr3:uid="{06623F83-1EFC-4591-8F3E-5C96CDE346D0}" name="2019"/>
    <tableColumn id="33" xr3:uid="{DE64D65D-3D0C-40D0-B653-5048DD476D1A}" name="2020"/>
    <tableColumn id="34" xr3:uid="{F023BB48-EB3A-4956-9F59-9CEA9BD74D58}" name="2021"/>
    <tableColumn id="35" xr3:uid="{3A0D89BD-D928-4121-B703-3BDC8A4B8625}" name="2022"/>
    <tableColumn id="36" xr3:uid="{68946273-F896-4032-B7D0-FD2EA1FE3343}" name="2023"/>
  </tableColumns>
  <tableStyleInfo name="TableStyleLight1"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D5BB3D96-93F8-408C-9777-988F9CD258E5}" name="NGTransmissionEmissionsMTCO2PipelineandVenting" displayName="NGTransmissionEmissionsMTCO2PipelineandVenting" ref="A308:AJ311" totalsRowShown="0" headerRowDxfId="1176" headerRowBorderDxfId="1175" tableBorderDxfId="1174">
  <autoFilter ref="A308:AJ311" xr:uid="{D5BB3D96-93F8-408C-9777-988F9CD258E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72969ACD-F2AC-4A86-B3B6-CAAA6BDF4A03}" name="Pipeline and Pipeline Venting"/>
    <tableColumn id="2" xr3:uid="{FC3F9CA0-B7F5-437D-9894-D0B79F535EFA}" name="Units"/>
    <tableColumn id="3" xr3:uid="{6DC95C1B-9BCE-4A90-86CC-F129755D99C7}" name="1990"/>
    <tableColumn id="4" xr3:uid="{5C3A0480-F66B-4C43-9CD7-25A5D9630A25}" name="1991"/>
    <tableColumn id="5" xr3:uid="{B6D47D5C-81A4-4E55-BAC8-39EBED2B41E6}" name="1992"/>
    <tableColumn id="6" xr3:uid="{9F26E2B4-BA71-4930-89BD-6ECC84BF066A}" name="1993"/>
    <tableColumn id="7" xr3:uid="{F05EF94B-22E5-4A53-8B88-5B2DC9D6BEFD}" name="1994"/>
    <tableColumn id="8" xr3:uid="{DE4C377C-7C61-4FCF-871A-FCB10902B91E}" name="1995"/>
    <tableColumn id="9" xr3:uid="{7C2DC78B-B2BC-46F4-A17C-1ACA752319DE}" name="1996"/>
    <tableColumn id="10" xr3:uid="{1CCD40C5-EE1F-4C85-A1E7-4139318D4651}" name="1997"/>
    <tableColumn id="11" xr3:uid="{399E37CE-88EF-41EC-B635-B089E9CD2E65}" name="1998"/>
    <tableColumn id="12" xr3:uid="{9D0C43F3-5076-4936-98CB-8B61B816981C}" name="1999"/>
    <tableColumn id="13" xr3:uid="{47D4C9F0-851E-49A1-9571-DA9D05DDAC32}" name="2000"/>
    <tableColumn id="14" xr3:uid="{52FDCD33-7202-45CA-8064-52E97CA4307F}" name="2001"/>
    <tableColumn id="15" xr3:uid="{98923426-C4C3-4687-B3E6-284E06284F44}" name="2002"/>
    <tableColumn id="16" xr3:uid="{1731A165-E7B7-440F-9713-AEA877BAD2CD}" name="2003"/>
    <tableColumn id="17" xr3:uid="{3BB68C44-B687-46D0-B91C-614765ABAE3D}" name="2004"/>
    <tableColumn id="18" xr3:uid="{72440847-D0EF-481D-AC20-0D0EFD54C429}" name="2005"/>
    <tableColumn id="19" xr3:uid="{95937195-EF54-4252-887F-A01FAC19FF3D}" name="2006"/>
    <tableColumn id="20" xr3:uid="{04501B09-7DE5-4089-9AD7-4F87B021D438}" name="2007"/>
    <tableColumn id="21" xr3:uid="{94192F08-CB31-4EEB-A228-0DB8051581EA}" name="2008"/>
    <tableColumn id="22" xr3:uid="{6AD75B66-DC11-48E7-ACDA-398132A02646}" name="2009"/>
    <tableColumn id="23" xr3:uid="{19EA15BC-26DF-4F01-B0F4-307F3A4428E5}" name="2010"/>
    <tableColumn id="24" xr3:uid="{5B92D37E-6399-4104-8584-A74AC3914612}" name="2011"/>
    <tableColumn id="25" xr3:uid="{9F3C9194-D327-4E04-B2DC-BE7370987C75}" name="2012"/>
    <tableColumn id="26" xr3:uid="{3F520635-6378-4201-A90A-47F104B45E4A}" name="2013"/>
    <tableColumn id="27" xr3:uid="{4BC833C6-7208-44BD-8FE4-A3DCF394721A}" name="2014"/>
    <tableColumn id="28" xr3:uid="{2A487589-D1D3-40F1-A809-150EE848394D}" name="2015"/>
    <tableColumn id="29" xr3:uid="{7BB12A00-E6BF-4F01-A710-DB6EEFDF3364}" name="2016"/>
    <tableColumn id="30" xr3:uid="{AB3EBA58-BDCD-4E21-971F-B4B0115E0176}" name="2017"/>
    <tableColumn id="31" xr3:uid="{AF35C20A-FF55-4BE9-B68D-7A647815D869}" name="2018"/>
    <tableColumn id="32" xr3:uid="{7BFD6355-C837-471F-B57D-E77E3094C520}" name="2019"/>
    <tableColumn id="33" xr3:uid="{990AE153-FACE-4366-9FF3-09E97F8BCACD}" name="2020"/>
    <tableColumn id="34" xr3:uid="{193D6C65-F913-443B-8A11-EA8571BD192D}" name="2021"/>
    <tableColumn id="35" xr3:uid="{B029CABE-C0CF-4B22-ABFE-2CA0643D8F14}" name="2022"/>
    <tableColumn id="36" xr3:uid="{FD5AD975-452F-4588-A813-3A0E963D0506}" name="2023"/>
  </tableColumns>
  <tableStyleInfo name="Table Style 2"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BC8EA4B2-21DD-4AC8-B9C3-71D90BDFE531}" name="NGTransmissionEmissionsMTCO2CompressorsandStations" displayName="NGTransmissionEmissionsMTCO2CompressorsandStations" ref="A316:AJ324" totalsRowShown="0" headerRowDxfId="1173" dataDxfId="1171" headerRowBorderDxfId="1172" tableBorderDxfId="1170">
  <autoFilter ref="A316:AJ324" xr:uid="{BC8EA4B2-21DD-4AC8-B9C3-71D90BDFE53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D20A94FF-D4A4-4B8C-8195-4FA3D781F6E3}" name="Stations, Compressors and Venting" dataDxfId="1169"/>
    <tableColumn id="2" xr3:uid="{E87E0653-867E-4B03-B3D6-7EB7BD722980}" name="Units" dataDxfId="1168"/>
    <tableColumn id="3" xr3:uid="{8BE23479-0496-4AF3-B022-D700EAC19D70}" name="1990" dataDxfId="1167"/>
    <tableColumn id="4" xr3:uid="{202246C8-0623-4DEF-B31A-924864DA8AEA}" name="1991" dataDxfId="1166"/>
    <tableColumn id="5" xr3:uid="{86BC7AF7-DC94-47E3-9AEF-3CFDB135090D}" name="1992" dataDxfId="1165"/>
    <tableColumn id="6" xr3:uid="{DBBB9127-8E16-4E3B-BD53-CAA5EFBCB111}" name="1993" dataDxfId="1164"/>
    <tableColumn id="7" xr3:uid="{5B47E572-8557-407B-8BB2-5ABA51359C01}" name="1994" dataDxfId="1163"/>
    <tableColumn id="8" xr3:uid="{DF2E2595-A42A-48FB-BD53-4632C919A216}" name="1995" dataDxfId="1162"/>
    <tableColumn id="9" xr3:uid="{C602DA69-AC10-40EB-9715-881FAD42DB25}" name="1996" dataDxfId="1161"/>
    <tableColumn id="10" xr3:uid="{D63F26C2-853F-4334-ABE8-92409F120B9A}" name="1997" dataDxfId="1160"/>
    <tableColumn id="11" xr3:uid="{DF3DBF3C-9697-46DF-9D13-FD94754843C1}" name="1998" dataDxfId="1159"/>
    <tableColumn id="12" xr3:uid="{3E96110B-FBDB-44DD-AA93-2CD51FE8FE51}" name="1999" dataDxfId="1158"/>
    <tableColumn id="13" xr3:uid="{BD6E648F-1274-4654-AC57-599410D52A19}" name="2000" dataDxfId="1157"/>
    <tableColumn id="14" xr3:uid="{BB468635-DBDD-453A-BB47-A862EFAA5BCB}" name="2001" dataDxfId="1156"/>
    <tableColumn id="15" xr3:uid="{84511FE6-4A94-427C-850E-57610EC3625E}" name="2002" dataDxfId="1155"/>
    <tableColumn id="16" xr3:uid="{1E4FB91F-7331-4C8A-9B17-7D99A89B8718}" name="2003" dataDxfId="1154"/>
    <tableColumn id="17" xr3:uid="{6E82706A-5FFB-457E-8082-9CB517A4814F}" name="2004" dataDxfId="1153"/>
    <tableColumn id="18" xr3:uid="{3C34368F-8E3E-4FD7-9398-BB54B3369D6E}" name="2005" dataDxfId="1152"/>
    <tableColumn id="19" xr3:uid="{DAB8147C-E057-4902-B271-258C735DA22C}" name="2006" dataDxfId="1151"/>
    <tableColumn id="20" xr3:uid="{83B0CA39-CE2D-4815-ABF2-AEBC8E17CD5A}" name="2007" dataDxfId="1150"/>
    <tableColumn id="21" xr3:uid="{E088F170-321C-4123-9849-667D7107B09C}" name="2008" dataDxfId="1149"/>
    <tableColumn id="22" xr3:uid="{E0105059-1BA2-4B37-B3D6-B799C88172D6}" name="2009" dataDxfId="1148"/>
    <tableColumn id="23" xr3:uid="{1E788315-ECCD-44DF-A24E-E8531E78B406}" name="2010" dataDxfId="1147"/>
    <tableColumn id="24" xr3:uid="{EDF480ED-1F64-4C02-92F0-E43C8F033C1D}" name="2011" dataDxfId="1146"/>
    <tableColumn id="25" xr3:uid="{9F5FAB22-98CD-4616-9FBE-D7BABC47874C}" name="2012" dataDxfId="1145"/>
    <tableColumn id="26" xr3:uid="{BDAFB494-DA91-4DF5-A2ED-69199CFBD05E}" name="2013" dataDxfId="1144"/>
    <tableColumn id="27" xr3:uid="{984A5D01-3495-4E6C-8B8B-228B801EFE22}" name="2014" dataDxfId="1143"/>
    <tableColumn id="28" xr3:uid="{32BA2847-F0CF-41D5-B9B3-4427133D27EC}" name="2015" dataDxfId="1142"/>
    <tableColumn id="29" xr3:uid="{A1071628-9E93-4DE3-B2CE-3F53CBC15392}" name="2016" dataDxfId="1141"/>
    <tableColumn id="30" xr3:uid="{AA374FD8-CA36-432D-A82F-0D6150D11263}" name="2017" dataDxfId="1140"/>
    <tableColumn id="31" xr3:uid="{C3CB5ADC-5652-46E7-9741-CFA731A7549A}" name="2018" dataDxfId="1139"/>
    <tableColumn id="32" xr3:uid="{51C4B302-66C1-4928-9891-692880AD9991}" name="2019" dataDxfId="1138"/>
    <tableColumn id="33" xr3:uid="{744654E1-C68E-41DB-8789-6C056751CBE4}" name="2020" dataDxfId="1137"/>
    <tableColumn id="34" xr3:uid="{8E2A9912-C6F0-4DB6-B7F7-F56F28CA89CD}" name="2021" dataDxfId="1136"/>
    <tableColumn id="35" xr3:uid="{DC26F48A-1C62-4115-9D2C-06275B09AA79}" name="2022" dataDxfId="1135"/>
    <tableColumn id="36" xr3:uid="{8FA7AAA1-4295-49A0-869E-2C823F51357D}" name="2023" dataDxfId="1134"/>
  </tableColumns>
  <tableStyleInfo name="Table Style 2"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68AD3498-8F5D-41C5-8B9A-8B8536B8C139}" name="NGTransmissionEmissionsMTCO2PneumaticeDevicesandControllers" displayName="NGTransmissionEmissionsMTCO2PneumaticeDevicesandControllers" ref="A333:AJ339" totalsRowShown="0" headerRowDxfId="1133" dataDxfId="1131" headerRowBorderDxfId="1132" tableBorderDxfId="1130">
  <autoFilter ref="A333:AJ339" xr:uid="{68AD3498-8F5D-41C5-8B9A-8B8536B8C1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7DEF32E7-E994-4F09-AB7C-CFD2399F8844}" name="Devices and Controllers"/>
    <tableColumn id="2" xr3:uid="{76152EB2-AE72-4BC9-943B-BF8D37F6AF41}" name="Units" dataDxfId="1129"/>
    <tableColumn id="3" xr3:uid="{681FB207-81C1-4CFD-9214-C0A0AFD81B40}" name="1990" dataDxfId="1128"/>
    <tableColumn id="4" xr3:uid="{80ED403F-79FA-41EC-8900-ECCD528636A9}" name="1991" dataDxfId="1127"/>
    <tableColumn id="5" xr3:uid="{3EC785C1-A967-4A90-9298-800A16C437FC}" name="1992" dataDxfId="1126"/>
    <tableColumn id="6" xr3:uid="{449BB71E-66DB-4D84-A328-EA0FEED02FC9}" name="1993" dataDxfId="1125"/>
    <tableColumn id="7" xr3:uid="{1C147372-8D6A-4227-8837-9DD8A1FD943B}" name="1994" dataDxfId="1124"/>
    <tableColumn id="8" xr3:uid="{0D308E8C-4FAE-4C2D-A72A-A5E2F499F9DC}" name="1995" dataDxfId="1123"/>
    <tableColumn id="9" xr3:uid="{E3F2E372-D773-4538-8248-7EFA64386A90}" name="1996" dataDxfId="1122"/>
    <tableColumn id="10" xr3:uid="{F37A0297-BEF1-40D4-9BF0-2F5F8D72931C}" name="1997" dataDxfId="1121"/>
    <tableColumn id="11" xr3:uid="{BFBF7DE4-A399-427A-9E48-47C26CC08BF1}" name="1998" dataDxfId="1120"/>
    <tableColumn id="12" xr3:uid="{7273CAC5-B4C4-4C03-A92D-5DF43A936308}" name="1999" dataDxfId="1119"/>
    <tableColumn id="13" xr3:uid="{1B0A206D-D3CD-4EA5-A729-F95AA90CBA32}" name="2000" dataDxfId="1118"/>
    <tableColumn id="14" xr3:uid="{6B410F93-97A1-4A91-BDBB-79C0EFCD71BB}" name="2001" dataDxfId="1117"/>
    <tableColumn id="15" xr3:uid="{A710A91F-D644-49E3-8744-B91F3359AEB9}" name="2002" dataDxfId="1116"/>
    <tableColumn id="16" xr3:uid="{7FBCD312-48F3-4CB4-8955-7EE533F6CB9D}" name="2003" dataDxfId="1115"/>
    <tableColumn id="17" xr3:uid="{AA861DF3-5D40-429E-BD80-7125B8A46A1A}" name="2004" dataDxfId="1114"/>
    <tableColumn id="18" xr3:uid="{E6C11464-ADFF-45BA-8635-B2BFAA643F49}" name="2005" dataDxfId="1113"/>
    <tableColumn id="19" xr3:uid="{60CE07CF-DB65-4053-9C8A-C7B64AD248D3}" name="2006" dataDxfId="1112"/>
    <tableColumn id="20" xr3:uid="{867BA0AD-327E-45C3-92D6-7361CA5EAD40}" name="2007" dataDxfId="1111"/>
    <tableColumn id="21" xr3:uid="{DC1CFD01-DE01-4C89-B605-135711C11D1F}" name="2008" dataDxfId="1110"/>
    <tableColumn id="22" xr3:uid="{DB857D9F-9416-4937-8B1B-3012F66C09DE}" name="2009" dataDxfId="1109"/>
    <tableColumn id="23" xr3:uid="{4E01D1AD-B361-4A8A-8029-A8C80A30EB3D}" name="2010" dataDxfId="1108"/>
    <tableColumn id="24" xr3:uid="{B69717D4-5F9A-498A-9F37-FA4360DC5ED6}" name="2011" dataDxfId="1107"/>
    <tableColumn id="25" xr3:uid="{01D4F7D1-21FC-451C-ACA8-13AC3023EE12}" name="2012" dataDxfId="1106"/>
    <tableColumn id="26" xr3:uid="{62A4ABF7-DDAC-42A7-B917-E253494005C1}" name="2013" dataDxfId="1105"/>
    <tableColumn id="27" xr3:uid="{C783C474-3088-4A26-8913-368E3AB3352F}" name="2014" dataDxfId="1104"/>
    <tableColumn id="28" xr3:uid="{7020F9CF-13A1-40DD-A7BA-59BDCD626612}" name="2015" dataDxfId="1103"/>
    <tableColumn id="29" xr3:uid="{3CF473EC-CFA5-470B-A507-0A9DF789FF38}" name="2016" dataDxfId="1102"/>
    <tableColumn id="30" xr3:uid="{69E78DE1-2AE4-4481-92EC-ABA233C52FB2}" name="2017" dataDxfId="1101"/>
    <tableColumn id="31" xr3:uid="{71E0576E-39E1-49BD-9B5D-F4FAC3A37DCD}" name="2018" dataDxfId="1100"/>
    <tableColumn id="32" xr3:uid="{E74E0FC5-7C87-4CE6-82FB-D87586A93CC6}" name="2019" dataDxfId="1099"/>
    <tableColumn id="33" xr3:uid="{DB77CE18-392A-41F0-9F11-3CE3263712B7}" name="2020" dataDxfId="1098"/>
    <tableColumn id="34" xr3:uid="{B0AF4FFC-D411-485E-AD2B-A66CE1468CC2}" name="2021" dataDxfId="1097"/>
    <tableColumn id="35" xr3:uid="{232D74FD-5A29-46B5-BCAB-FE27E5360424}" name="2022" dataDxfId="1096"/>
    <tableColumn id="36" xr3:uid="{EAFF2431-AA7E-41C3-BD7B-5824BB0FBC9F}" name="2023" dataDxfId="1095"/>
  </tableColumns>
  <tableStyleInfo name="Table Style 2"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3D5BABA7-87FA-447D-BC7F-FAA85B9564AA}" name="NGTransmissionEmissionsMTCO2LNGStorageStationsandBlowdowns" displayName="NGTransmissionEmissionsMTCO2LNGStorageStationsandBlowdowns" ref="A344:AJ347" totalsRowShown="0" headerRowDxfId="1094" headerRowBorderDxfId="1093" tableBorderDxfId="1092">
  <autoFilter ref="A344:AJ347" xr:uid="{3D5BABA7-87FA-447D-BC7F-FAA85B9564A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5883DCC2-D534-4B8F-8B46-D9730419927D}" name="LNG Station Leaks and Blowdowns"/>
    <tableColumn id="2" xr3:uid="{936DD587-AC37-4B57-A0C4-71E7584F2D07}" name="Units"/>
    <tableColumn id="3" xr3:uid="{B54B64CA-C469-4A1A-98A5-22D06A99A3AF}" name="1990"/>
    <tableColumn id="4" xr3:uid="{9820AC13-AC18-4812-8D9C-D549AC2AE5A3}" name="1991"/>
    <tableColumn id="5" xr3:uid="{16902064-2AA1-4289-BF3B-ED6DDBCECD26}" name="1992"/>
    <tableColumn id="6" xr3:uid="{4F3B6159-4D00-4528-B3A4-26A17D3C51A8}" name="1993"/>
    <tableColumn id="7" xr3:uid="{AC193BD3-F0BB-4D87-A2AB-AEEE06A941E9}" name="1994"/>
    <tableColumn id="8" xr3:uid="{5667677F-63BD-453E-9A16-BF46964E72D6}" name="1995"/>
    <tableColumn id="9" xr3:uid="{59D709F1-B182-4EC1-8BCB-115B8E6C39A1}" name="1996"/>
    <tableColumn id="10" xr3:uid="{33440657-5DB8-40B4-B243-94C48ADEE548}" name="1997"/>
    <tableColumn id="11" xr3:uid="{6689B030-8F72-43ED-9EDE-14D1762BFCD1}" name="1998"/>
    <tableColumn id="12" xr3:uid="{9F950BF6-F679-433D-866D-615A6184C212}" name="1999"/>
    <tableColumn id="13" xr3:uid="{A5F23D9E-9314-464E-B90E-0A733BD22081}" name="2000"/>
    <tableColumn id="14" xr3:uid="{195B6DDD-93B8-4250-9C4E-BA767969F1B4}" name="2001"/>
    <tableColumn id="15" xr3:uid="{1F6525FC-274D-44E1-A19D-77D05D89E6BF}" name="2002"/>
    <tableColumn id="16" xr3:uid="{2548DEB6-7423-4D00-83E9-F04DFBD1A2F6}" name="2003"/>
    <tableColumn id="17" xr3:uid="{035824D8-4913-46BF-9861-FC626D9E8EFF}" name="2004"/>
    <tableColumn id="18" xr3:uid="{8CD80C4C-6588-4909-B00E-E2687099AB35}" name="2005"/>
    <tableColumn id="19" xr3:uid="{E1367112-5809-4FCE-AD15-3E28307228E0}" name="2006"/>
    <tableColumn id="20" xr3:uid="{0430FE12-C4BD-47CC-8FAE-DD4931BAB2C5}" name="2007"/>
    <tableColumn id="21" xr3:uid="{8424215C-005B-432C-AEB4-9A721F728B99}" name="2008"/>
    <tableColumn id="22" xr3:uid="{551E8027-71BF-4CDC-8113-5424B544A5B2}" name="2009"/>
    <tableColumn id="23" xr3:uid="{7017B76E-4F46-4276-A151-EF3A70DD2440}" name="2010"/>
    <tableColumn id="24" xr3:uid="{8CD9310A-A365-4737-BA60-73FB0BA2780F}" name="2011"/>
    <tableColumn id="25" xr3:uid="{0E389660-FA0D-436E-B68D-2F9DA0CB062C}" name="2012"/>
    <tableColumn id="26" xr3:uid="{B96FE796-6717-49F3-A94F-1CFC6850AEBD}" name="2013"/>
    <tableColumn id="27" xr3:uid="{1961F03B-018B-466C-BA7D-EC17B43E3E9B}" name="2014"/>
    <tableColumn id="28" xr3:uid="{C722DD80-6FC5-4F4F-8079-B6DC85129C33}" name="2015"/>
    <tableColumn id="29" xr3:uid="{96A8AF7C-E89E-49C8-A6E4-3A14068FAC75}" name="2016"/>
    <tableColumn id="30" xr3:uid="{F45115D3-C959-46B7-8D20-091E2B3A2068}" name="2017"/>
    <tableColumn id="31" xr3:uid="{50791531-2B31-4BDF-AAF8-9449BFDE4499}" name="2018"/>
    <tableColumn id="32" xr3:uid="{3DE28DA4-5F10-4524-ABE6-45EA67996A8A}" name="2019"/>
    <tableColumn id="33" xr3:uid="{0C1B4801-66A6-4175-BB53-8DAFA86D939B}" name="2020"/>
    <tableColumn id="34" xr3:uid="{179622B3-7B28-403D-81AF-EB86479870A2}" name="2021"/>
    <tableColumn id="35" xr3:uid="{DFC59315-1920-4B1D-B21F-8B02525E552F}" name="2022"/>
    <tableColumn id="36" xr3:uid="{CE9DA3F2-D096-49F9-829B-5F2970514021}" name="2023"/>
  </tableColumns>
  <tableStyleInfo name="Table Style 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5D9F7FA6-92C0-4932-9F1E-7CAE24D14F90}" name="MACO2EmissionsBySectorMMTCO2e" displayName="MACO2EmissionsBySectorMMTCO2e" ref="A116:AI127" totalsRowShown="0" headerRowDxfId="5157" dataDxfId="5155" headerRowBorderDxfId="5156" tableBorderDxfId="5154">
  <autoFilter ref="A116:AI127" xr:uid="{5D9F7FA6-92C0-4932-9F1E-7CAE24D14F9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3FC936D8-55EF-4640-8D47-198D806C4CC6}" name="Sector" dataDxfId="5153"/>
    <tableColumn id="2" xr3:uid="{BEAFCC36-F536-4A3D-A627-E75A006B4ABE}" name="1990" dataDxfId="5152"/>
    <tableColumn id="3" xr3:uid="{842BD580-581C-42C0-B069-91F2104AD33F}" name="1991" dataDxfId="5151"/>
    <tableColumn id="4" xr3:uid="{B83242FA-21B8-42F8-A767-B692AE1492E6}" name="1992" dataDxfId="5150"/>
    <tableColumn id="5" xr3:uid="{996C10D3-F147-49E5-81F1-5EF15EDB9621}" name="1993" dataDxfId="5149"/>
    <tableColumn id="6" xr3:uid="{83F77976-1CF1-4278-A3AC-1882CE18BB9B}" name="1994" dataDxfId="5148"/>
    <tableColumn id="7" xr3:uid="{C19A19B7-CF37-4E2D-936D-B956E35FA47D}" name="1995" dataDxfId="5147"/>
    <tableColumn id="8" xr3:uid="{B1C6F77E-E95D-495B-AF37-9E286A419582}" name="1996" dataDxfId="5146"/>
    <tableColumn id="9" xr3:uid="{43FF637A-EAAF-4C90-A4D8-62D09CA54CF9}" name="1997" dataDxfId="5145"/>
    <tableColumn id="10" xr3:uid="{CE28685C-7DF2-4F9B-A897-4A09ED00A35F}" name="1998" dataDxfId="5144"/>
    <tableColumn id="11" xr3:uid="{5E0D7E40-05C4-4660-B1A5-982F13ABE12A}" name="1999" dataDxfId="5143"/>
    <tableColumn id="12" xr3:uid="{7962B1B5-99E6-46C1-8EAE-0F1C999622A2}" name="2000" dataDxfId="5142"/>
    <tableColumn id="13" xr3:uid="{F057BB8C-8B30-4243-8339-EDE94E92E048}" name="2001" dataDxfId="5141"/>
    <tableColumn id="14" xr3:uid="{09AF6B00-7FAE-4DF2-84D9-3EF217136EFE}" name="2002" dataDxfId="5140"/>
    <tableColumn id="15" xr3:uid="{B7A49203-1983-497C-9531-BD8259F97CA1}" name="2003" dataDxfId="5139"/>
    <tableColumn id="16" xr3:uid="{B91D8EC3-AE52-4995-B97B-0A7F57F26FAA}" name="2004" dataDxfId="5138"/>
    <tableColumn id="17" xr3:uid="{6919F0FD-9150-422B-A83E-C5FA5CC7A941}" name="2005" dataDxfId="5137"/>
    <tableColumn id="18" xr3:uid="{59C79E63-4CEE-4840-A877-01986F7AB784}" name="2006" dataDxfId="5136"/>
    <tableColumn id="19" xr3:uid="{262947FF-B2DA-4444-B1E2-5F600ADBD51A}" name="2007" dataDxfId="5135"/>
    <tableColumn id="20" xr3:uid="{E8C7016B-0757-40E0-A9BE-8ABBEDA99453}" name="2008" dataDxfId="5134"/>
    <tableColumn id="21" xr3:uid="{FA9FC973-6AB7-40B5-8D1A-AED5B5D9156A}" name="2009" dataDxfId="5133"/>
    <tableColumn id="22" xr3:uid="{41591B6C-D3D7-4731-83D3-EC72A1823E00}" name="2010" dataDxfId="5132"/>
    <tableColumn id="23" xr3:uid="{99993608-D553-4E3B-973E-8B3716ECDD12}" name="2011" dataDxfId="5131"/>
    <tableColumn id="24" xr3:uid="{2E56BA94-6C8C-4DB0-B997-919ECFC58D7B}" name="2012" dataDxfId="5130"/>
    <tableColumn id="25" xr3:uid="{34AEFB1D-BEC7-4122-BA8E-2371C0DBDCD1}" name="2013" dataDxfId="5129"/>
    <tableColumn id="26" xr3:uid="{DF1CEC9F-B631-4E4C-BC31-9D62C50A33C3}" name="2014" dataDxfId="5128"/>
    <tableColumn id="27" xr3:uid="{837EF394-8E09-4ED8-A9B0-542426B54234}" name="2015" dataDxfId="5127"/>
    <tableColumn id="28" xr3:uid="{3937C474-E479-4D48-B112-6B0624278018}" name="2016" dataDxfId="5126"/>
    <tableColumn id="29" xr3:uid="{95DA8AFD-C8E5-49B7-9867-6BF6A1B9734E}" name="2017" dataDxfId="5125"/>
    <tableColumn id="30" xr3:uid="{C200AF58-97D3-4D8C-B9FC-AAE46C5E4EA4}" name="2018" dataDxfId="5124"/>
    <tableColumn id="31" xr3:uid="{4CD11CE3-D2FC-472D-8D16-8F7ADE063FFD}" name="2019" dataDxfId="5123"/>
    <tableColumn id="32" xr3:uid="{25BECB71-DA4A-42AA-9780-13E0D49D8F47}" name="2020" dataDxfId="5122"/>
    <tableColumn id="33" xr3:uid="{F413642F-4D2B-4934-AE9F-C64EDCAFB7C8}" name="2021" dataDxfId="5121"/>
    <tableColumn id="34" xr3:uid="{001B78A2-68C1-4AEB-AD22-4D857C0ABEC5}" name="2022" dataDxfId="5120"/>
    <tableColumn id="35" xr3:uid="{F463BF09-9F4A-41D8-A2D1-62364FA8F226}" name="2023" dataDxfId="5119"/>
  </tableColumns>
  <tableStyleInfo name="TableStyleLight1"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2F236EBC-0488-4DB0-BD84-F34005BBBC46}" name="NGTransmissionEmissionsMTCO2LNGImportTerminalsandBlowdowns" displayName="NGTransmissionEmissionsMTCO2LNGImportTerminalsandBlowdowns" ref="A352:AJ355" totalsRowShown="0" headerRowDxfId="1091" headerRowBorderDxfId="1090" tableBorderDxfId="1089">
  <autoFilter ref="A352:AJ355" xr:uid="{2F236EBC-0488-4DB0-BD84-F34005BBBC4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463CED6F-B2A0-431C-BA85-CC7171D62399}" name="LNG Import Terminals Leaks and Blowdowns"/>
    <tableColumn id="2" xr3:uid="{1C5B6CBC-75F2-42D6-A432-37253451673E}" name="Units"/>
    <tableColumn id="3" xr3:uid="{81918EEB-F15A-4E5B-B3FC-B6D6E12E9DDA}" name="1990"/>
    <tableColumn id="4" xr3:uid="{770D46DD-8010-4623-82C5-CBD8416D7AE0}" name="1991"/>
    <tableColumn id="5" xr3:uid="{5FCB3091-1935-461D-9CBC-CB89963F86E2}" name="1992"/>
    <tableColumn id="6" xr3:uid="{6E8C0541-FCA4-4928-B240-ABA0344B641D}" name="1993"/>
    <tableColumn id="7" xr3:uid="{528C71C8-FA9F-4FE7-824B-8027C1121F88}" name="1994"/>
    <tableColumn id="8" xr3:uid="{80094492-6128-4098-AB14-B21E0FF81E6F}" name="1995"/>
    <tableColumn id="9" xr3:uid="{2395E769-450D-4838-AD1F-655FF68820DC}" name="1996"/>
    <tableColumn id="10" xr3:uid="{88D456A2-3BCC-47D4-824E-9653DE9BFBE8}" name="1997"/>
    <tableColumn id="11" xr3:uid="{C69D5DF4-FEE5-422F-A6B7-D4AC15DA609C}" name="1998"/>
    <tableColumn id="12" xr3:uid="{36678184-8EF5-45A2-AFD1-4A5513E85D71}" name="1999"/>
    <tableColumn id="13" xr3:uid="{67882C01-82D1-4E30-B6E7-C778A8B0EBEF}" name="2000"/>
    <tableColumn id="14" xr3:uid="{0E2AF6E7-0901-4BB6-83F3-E6C3B52A848D}" name="2001"/>
    <tableColumn id="15" xr3:uid="{E4DC1D71-B346-4DF7-82EE-090684D988F0}" name="2002"/>
    <tableColumn id="16" xr3:uid="{34C2D606-5F26-4BBD-AF01-0A1609CA46B0}" name="2003"/>
    <tableColumn id="17" xr3:uid="{00AB4E81-7DF0-4788-BF3F-6604446A25AD}" name="2004"/>
    <tableColumn id="18" xr3:uid="{AAA730F7-86EF-4CD6-A702-E5A0ABA1E6D1}" name="2005"/>
    <tableColumn id="19" xr3:uid="{B477BC49-B53F-46F2-A755-83A8E0477B49}" name="2006"/>
    <tableColumn id="20" xr3:uid="{C14236AE-6824-4909-89AC-599927A63F48}" name="2007"/>
    <tableColumn id="21" xr3:uid="{E5D61266-62E5-4B23-80D0-BF2A9AEB5C14}" name="2008"/>
    <tableColumn id="22" xr3:uid="{1375D2B4-5FF6-4407-A163-E8690A1281CB}" name="2009"/>
    <tableColumn id="23" xr3:uid="{49DFC885-E06E-418E-946F-5D217C8FA552}" name="2010"/>
    <tableColumn id="24" xr3:uid="{479AFEBF-C3F4-4E07-B61C-09B2337D6BA2}" name="2011"/>
    <tableColumn id="25" xr3:uid="{9ED7330E-CB26-46B6-831A-11DBCD84C20D}" name="2012"/>
    <tableColumn id="26" xr3:uid="{DD98F7A0-B91D-4A08-8BF9-257C37B71F68}" name="2013"/>
    <tableColumn id="27" xr3:uid="{5614F8F1-A4FA-4872-AF8A-B05C0618786F}" name="2014"/>
    <tableColumn id="28" xr3:uid="{2D6B2554-8BA7-4802-966D-58CA14279E33}" name="2015"/>
    <tableColumn id="29" xr3:uid="{BA452E47-BD22-483B-B1F1-5E62C68B9417}" name="2016"/>
    <tableColumn id="30" xr3:uid="{8D377DFD-58D6-4AC6-B59F-0A1DD6BF148A}" name="2017"/>
    <tableColumn id="31" xr3:uid="{84632709-36FC-4A9E-89E5-9FABF25B0FF9}" name="2018"/>
    <tableColumn id="32" xr3:uid="{57F779F6-86C9-435F-AA96-B1E5DB5AF549}" name="2019"/>
    <tableColumn id="33" xr3:uid="{86358130-03FA-4EE9-9BB6-67ECE02B8F65}" name="2020"/>
    <tableColumn id="34" xr3:uid="{D95652F8-51C1-4D59-9E82-634BFD9CF371}" name="2021"/>
    <tableColumn id="35" xr3:uid="{BB638B2C-C282-4249-A0E1-D6049F64D507}" name="2022"/>
    <tableColumn id="36" xr3:uid="{4BFDCCB9-4813-4C11-841C-935374AA5AC1}" name="2023"/>
  </tableColumns>
  <tableStyleInfo name="Table Style 2"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65A1131A-2B37-4ED3-B966-EE4B698273B5}" name="NGTransmissionandStorageEmissionsTotalMTCO2andMMTCO2" displayName="NGTransmissionandStorageEmissionsTotalMTCO2andMMTCO2" ref="A362:AJ365" totalsRowShown="0" headerRowDxfId="1088" headerRowBorderDxfId="1087" tableBorderDxfId="1086">
  <autoFilter ref="A362:AJ365" xr:uid="{65A1131A-2B37-4ED3-B966-EE4B698273B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AA8DE8D8-19D1-4C8A-A462-892B836756E4}" name="CO2 Emissions from Natural Gas Transmission and Storage"/>
    <tableColumn id="2" xr3:uid="{2ADAA68B-8D96-4C07-B2E0-D1B7A8658A34}" name="Units"/>
    <tableColumn id="3" xr3:uid="{1EE9AF08-6215-4D27-BA4A-F0821D4D929C}" name="1990"/>
    <tableColumn id="4" xr3:uid="{43928BF8-CA27-42F0-B91B-4A0642FA5D7B}" name="1991"/>
    <tableColumn id="5" xr3:uid="{9AC1C408-6D0F-484B-8C42-CC0D954D3520}" name="1992"/>
    <tableColumn id="6" xr3:uid="{ECD94DE0-2618-4C71-A0E4-2F38BE269EB8}" name="1993"/>
    <tableColumn id="7" xr3:uid="{B8B2C671-F654-4A51-A05D-5372B287D173}" name="1994"/>
    <tableColumn id="8" xr3:uid="{CED58C9E-1903-4E5E-83DB-B22CDFB6EE28}" name="1995"/>
    <tableColumn id="9" xr3:uid="{7613513E-004F-4F78-A1EA-3FEAC0581D66}" name="1996"/>
    <tableColumn id="10" xr3:uid="{E5939C06-F844-4315-8B5B-C79287B658AA}" name="1997"/>
    <tableColumn id="11" xr3:uid="{12AC0C99-0B98-4BBD-A64A-5FB6726968CE}" name="1998"/>
    <tableColumn id="12" xr3:uid="{7B3FECD5-36D6-4750-8807-C4D148FE76F7}" name="1999"/>
    <tableColumn id="13" xr3:uid="{EE2A7DA6-D821-4979-AD96-70F2B275C1D2}" name="2000"/>
    <tableColumn id="14" xr3:uid="{B8B70A7A-32D6-48B9-9550-372235A06FB2}" name="2001"/>
    <tableColumn id="15" xr3:uid="{2438B268-8338-4D33-9BB0-2EC974B5903E}" name="2002"/>
    <tableColumn id="16" xr3:uid="{07CBE3CD-8AEC-4BD2-BEBB-D5417148A2AE}" name="2003"/>
    <tableColumn id="17" xr3:uid="{04DE0682-99FD-4E4F-BE84-2242BAC4FD2E}" name="2004"/>
    <tableColumn id="18" xr3:uid="{D4C77DB5-573B-46F0-9D51-F30293B3B7D7}" name="2005"/>
    <tableColumn id="19" xr3:uid="{D0171009-0C56-4DD6-A8FC-EFFEFCA36F66}" name="2006"/>
    <tableColumn id="20" xr3:uid="{78FA7DE4-7DD0-428E-A32D-F77DF3C61697}" name="2007"/>
    <tableColumn id="21" xr3:uid="{E0555804-F394-4685-B40C-4FC5ADF32BF7}" name="2008"/>
    <tableColumn id="22" xr3:uid="{57D46D81-410E-4097-A02D-91FF2463002E}" name="2009"/>
    <tableColumn id="23" xr3:uid="{E5870B68-B4E3-40D5-B365-5BC6E56CCFA7}" name="2010"/>
    <tableColumn id="24" xr3:uid="{A992AC91-B0E4-4C69-9894-E3C56AC2B591}" name="2011"/>
    <tableColumn id="25" xr3:uid="{B1F79FFD-96D0-4968-8980-71A537E10627}" name="2012"/>
    <tableColumn id="26" xr3:uid="{5E280892-14FC-4193-ACA1-E97AE4B15E06}" name="2013"/>
    <tableColumn id="27" xr3:uid="{49C2B5FA-B8C3-472B-A019-6A88F37233B0}" name="2014"/>
    <tableColumn id="28" xr3:uid="{DFA80F25-D9CC-45EF-871F-FB81AFE3BE2F}" name="2015"/>
    <tableColumn id="29" xr3:uid="{367EA434-0F76-45DC-8C8A-2669489DC563}" name="2016"/>
    <tableColumn id="30" xr3:uid="{C2EAD107-D34D-45FB-B045-2D3759569EA1}" name="2017"/>
    <tableColumn id="31" xr3:uid="{DB24F562-971B-43E0-9A0B-CC1C70FE86C8}" name="2018"/>
    <tableColumn id="32" xr3:uid="{5443ACF0-7577-4A6F-B904-B8BF94B4566E}" name="2019"/>
    <tableColumn id="33" xr3:uid="{7906FFB2-1E8E-4D07-8187-E34D29697088}" name="2020"/>
    <tableColumn id="34" xr3:uid="{EDFD1672-FCD8-4050-8811-5EAA79015E92}" name="2021"/>
    <tableColumn id="35" xr3:uid="{7CBE1FB6-87C5-4F79-8F26-1B93BCB2CCEB}" name="2022"/>
    <tableColumn id="36" xr3:uid="{6505EE42-AA24-420E-8F1D-299F5CDEB17F}" name="2023"/>
  </tableColumns>
  <tableStyleInfo name="Table Style 2"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2" xr:uid="{7B0C45D0-0A49-4F90-829B-56A84D993DB8}" name="EPAFLIGHTSubWTennesseGasPipelineBegins2016" displayName="EPAFLIGHTSubWTennesseGasPipelineBegins2016" ref="A376:AJ381" totalsRowShown="0" headerRowDxfId="1085">
  <autoFilter ref="A376:AJ381" xr:uid="{7B0C45D0-0A49-4F90-829B-56A84D993DB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10BE968B-4557-413A-816B-B4B7BF8154EB}" name="Pipeline and Blowdown Details" dataDxfId="1084"/>
    <tableColumn id="2" xr3:uid="{3B481F75-060C-4475-97C9-19988E91E9E1}" name="Units" dataDxfId="1083"/>
    <tableColumn id="3" xr3:uid="{45ABB4C9-C9C4-4186-A923-74F518C69F75}" name="1990" dataDxfId="1082"/>
    <tableColumn id="4" xr3:uid="{52D9F2C7-0903-419C-9B16-151F79AB7325}" name="1991" dataDxfId="1081"/>
    <tableColumn id="5" xr3:uid="{A0E0B9B3-1E67-4174-9F6C-0E812B26CD54}" name="1992" dataDxfId="1080"/>
    <tableColumn id="6" xr3:uid="{C9A38400-608D-46E4-8C71-6C1C4996DF6B}" name="1993" dataDxfId="1079"/>
    <tableColumn id="7" xr3:uid="{EDFC6E33-D2BB-438E-9D25-96261286006F}" name="1994" dataDxfId="1078"/>
    <tableColumn id="8" xr3:uid="{C9AA4C79-0C3B-4D7C-B3E5-B5C3ABB5C79E}" name="1995" dataDxfId="1077"/>
    <tableColumn id="9" xr3:uid="{DD337748-6EF1-46D2-BE7D-34A8BBC54D85}" name="1996" dataDxfId="1076"/>
    <tableColumn id="10" xr3:uid="{453ED9B1-ADB0-44F4-A00B-DC9133433D56}" name="1997" dataDxfId="1075"/>
    <tableColumn id="11" xr3:uid="{4132CD66-CE17-4AD5-9EA4-A87C5431447A}" name="1998" dataDxfId="1074"/>
    <tableColumn id="12" xr3:uid="{5936E9EC-C53D-44A2-B92D-A1A4270364DD}" name="1999" dataDxfId="1073"/>
    <tableColumn id="13" xr3:uid="{F3FC2FF8-729F-486B-8280-D2571A181C96}" name="2000" dataDxfId="1072"/>
    <tableColumn id="14" xr3:uid="{534FD3E6-5AEE-4D33-8B4B-5E97CD637D4E}" name="2001" dataDxfId="1071"/>
    <tableColumn id="15" xr3:uid="{08E52855-8E0F-4DBA-8A49-979B02B909FB}" name="2002" dataDxfId="1070"/>
    <tableColumn id="16" xr3:uid="{07A77ADC-CCA1-4ADF-922A-23C49D87639C}" name="2003" dataDxfId="1069"/>
    <tableColumn id="17" xr3:uid="{307AAE19-B338-4C57-97B7-16E75BB4E9A0}" name="2004" dataDxfId="1068"/>
    <tableColumn id="18" xr3:uid="{903B18E9-C6F9-4747-9FE8-6FC8A0C09F90}" name="2005" dataDxfId="1067"/>
    <tableColumn id="19" xr3:uid="{D6F315C7-F7A2-424E-9BDA-66840FBD0FF3}" name="2006" dataDxfId="1066"/>
    <tableColumn id="20" xr3:uid="{A264B06C-8593-4B03-B184-0D7006C605B2}" name="2007" dataDxfId="1065"/>
    <tableColumn id="21" xr3:uid="{086D243E-DAA3-4159-A491-C4FFB1D190B2}" name="2008" dataDxfId="1064"/>
    <tableColumn id="22" xr3:uid="{E8923609-39A9-4472-B5D8-62AF7D0E9597}" name="2009" dataDxfId="1063"/>
    <tableColumn id="23" xr3:uid="{18AB89CF-5959-43F5-9B58-BFEDEAB932A6}" name="2010" dataDxfId="1062"/>
    <tableColumn id="24" xr3:uid="{95B56D66-698D-4D29-8A3C-188A52A1DD1F}" name="2011" dataDxfId="1061"/>
    <tableColumn id="25" xr3:uid="{E5262588-43BA-4652-8F6B-7EE4558091C2}" name="2012" dataDxfId="1060"/>
    <tableColumn id="26" xr3:uid="{3058ED6A-8291-4943-833F-E80D11E8BFBC}" name="2013" dataDxfId="1059"/>
    <tableColumn id="27" xr3:uid="{EEE5A493-D9AB-4532-B56A-98492F1BA535}" name="2014" dataDxfId="1058"/>
    <tableColumn id="28" xr3:uid="{42388D44-F0FC-4BBE-903E-25835EAC9E71}" name="2015" dataDxfId="1057"/>
    <tableColumn id="29" xr3:uid="{C85FDDE5-1BBF-4EC7-829D-4E9DB6F76B01}" name="2016"/>
    <tableColumn id="30" xr3:uid="{5006ED49-7074-4FEA-9F87-73C9C7EA08C8}" name="2017"/>
    <tableColumn id="31" xr3:uid="{AF61A8ED-1373-45B7-9784-4B3996E137EC}" name="2018"/>
    <tableColumn id="32" xr3:uid="{0D3E71CC-C67B-4518-88AE-A1F82A55480D}" name="2019"/>
    <tableColumn id="33" xr3:uid="{862E1BDD-5649-47E1-BF74-6D716FFC1BEA}" name="2020"/>
    <tableColumn id="34" xr3:uid="{2BE3115A-1D1D-4A30-9B7B-386E29012F75}" name="2021"/>
    <tableColumn id="35" xr3:uid="{9D5AC886-2BBA-4D3C-8D18-BE0E4418FFBE}" name="2022"/>
    <tableColumn id="36" xr3:uid="{E2121143-3729-4757-A1DD-C3D55E445CD4}" name="2023"/>
  </tableColumns>
  <tableStyleInfo name="TableStyleLight1"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3" xr:uid="{39A28626-5BF0-4403-BC1C-CAAD4C5C3593}" name="EPAFLIGHTSubWAlgonquinGasPipeline2016through2021" displayName="EPAFLIGHTSubWAlgonquinGasPipeline2016through2021" ref="A384:AH389" totalsRowShown="0" headerRowDxfId="1056">
  <autoFilter ref="A384:AH389" xr:uid="{39A28626-5BF0-4403-BC1C-CAAD4C5C359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1D2E0883-1E5B-4B50-87D6-0C1F4AFEB6B8}" name="Pipeline and Blowdown Details" dataDxfId="1055"/>
    <tableColumn id="2" xr3:uid="{6C6E6900-DFCC-423E-9901-859098C01236}" name="Units" dataDxfId="1054"/>
    <tableColumn id="3" xr3:uid="{0C08DC4C-BD5E-4C33-9DFC-B55909DBA3A0}" name="1990" dataDxfId="1053"/>
    <tableColumn id="4" xr3:uid="{89EC277A-F6FF-45BB-8AC6-21EE71782985}" name="1991" dataDxfId="1052"/>
    <tableColumn id="5" xr3:uid="{B46EE274-5CD8-4213-8F33-7C8A45682EFE}" name="1992" dataDxfId="1051"/>
    <tableColumn id="6" xr3:uid="{FB9F6837-B0E8-4951-B9F1-B8B642AD2765}" name="1993" dataDxfId="1050"/>
    <tableColumn id="7" xr3:uid="{12CB0D99-50E6-42AF-86E6-95200E1B24C3}" name="1994" dataDxfId="1049"/>
    <tableColumn id="8" xr3:uid="{6F555BDB-2120-4F12-B704-DCCEF015870F}" name="1995" dataDxfId="1048"/>
    <tableColumn id="9" xr3:uid="{8EB47BF3-601C-451F-898F-239ADCEF822C}" name="1996" dataDxfId="1047"/>
    <tableColumn id="10" xr3:uid="{126D8A9D-635B-4443-A47E-C4410EFE1452}" name="1997" dataDxfId="1046"/>
    <tableColumn id="11" xr3:uid="{92488D51-5947-4299-9CFD-B9C0625676D9}" name="1998" dataDxfId="1045"/>
    <tableColumn id="12" xr3:uid="{8CBF8826-4252-411E-9226-ED838155639C}" name="1999" dataDxfId="1044"/>
    <tableColumn id="13" xr3:uid="{804BC27B-546E-45FD-9332-4E9380CFDB2D}" name="2000" dataDxfId="1043"/>
    <tableColumn id="14" xr3:uid="{82002EC2-9FE6-49B3-9E1F-150C45CD36E1}" name="2001" dataDxfId="1042"/>
    <tableColumn id="15" xr3:uid="{2A2AB82B-50A7-4066-82B5-95F6E32DA569}" name="2002" dataDxfId="1041"/>
    <tableColumn id="16" xr3:uid="{00821D38-3794-42E4-A80D-63AF7FBD2364}" name="2003" dataDxfId="1040"/>
    <tableColumn id="17" xr3:uid="{98E11943-C469-4863-9226-DA66F59F9A5C}" name="2004" dataDxfId="1039"/>
    <tableColumn id="18" xr3:uid="{F477F64B-6CA2-41E6-A401-0AE5B0FCCD60}" name="2005" dataDxfId="1038"/>
    <tableColumn id="19" xr3:uid="{59FAF814-F128-4AEE-96EE-FD47E780DC1F}" name="2006" dataDxfId="1037"/>
    <tableColumn id="20" xr3:uid="{9FC6EDFC-3C56-4126-BEEB-00E1F470B3E6}" name="2007" dataDxfId="1036"/>
    <tableColumn id="21" xr3:uid="{BB64BF28-59E7-4112-98D7-9D83859F03D1}" name="2008" dataDxfId="1035"/>
    <tableColumn id="22" xr3:uid="{B389320A-628D-4795-A54B-B186D64D2DB4}" name="2009" dataDxfId="1034"/>
    <tableColumn id="23" xr3:uid="{C00ACFA2-BCC8-4E77-AA25-E1EEFB52DC3A}" name="2010" dataDxfId="1033"/>
    <tableColumn id="24" xr3:uid="{CEB5EACC-C8B0-458B-BACB-8F209BC8E6AF}" name="2011" dataDxfId="1032"/>
    <tableColumn id="25" xr3:uid="{87ED0EBB-EE3F-4DE2-BD87-93B151D0D6A8}" name="2012" dataDxfId="1031"/>
    <tableColumn id="26" xr3:uid="{FB8EADC7-078A-4D0B-9FEF-02D705155B53}" name="2013" dataDxfId="1030"/>
    <tableColumn id="27" xr3:uid="{14188492-FCF0-49BF-8D97-895A8E3232EB}" name="2014" dataDxfId="1029"/>
    <tableColumn id="28" xr3:uid="{993CBBCD-1DD0-4C3B-B415-2313DE1BF7D9}" name="2015" dataDxfId="1028"/>
    <tableColumn id="29" xr3:uid="{A43ACF14-5B5C-4FA7-86C2-7B90822DCE62}" name="2016"/>
    <tableColumn id="30" xr3:uid="{4C21FF80-4721-419B-BF7E-D478E98C439B}" name="2017"/>
    <tableColumn id="31" xr3:uid="{5A77F80E-58AB-4A65-9280-5A4DE764F094}" name="2018"/>
    <tableColumn id="32" xr3:uid="{8BFC6B71-3BCC-4CC3-B426-2DF6BDF11F6E}" name="2019"/>
    <tableColumn id="33" xr3:uid="{3FFDD460-1539-4E3C-9C0A-7E695CC7F691}" name="2020"/>
    <tableColumn id="34" xr3:uid="{FD3B0835-217D-4C2A-99C2-907A963093D2}" name="2021" dataDxfId="1027"/>
  </tableColumns>
  <tableStyleInfo name="TableStyleLight1"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4" xr:uid="{13907C47-218F-4592-9D81-B75892A2BA3C}" name="EPAFLIGHTSubWTotalTransmissionPipelineBegins2016" displayName="EPAFLIGHTSubWTotalTransmissionPipelineBegins2016" ref="A395:AJ400" totalsRowShown="0" headerRowDxfId="1026" dataDxfId="1025" tableBorderDxfId="1024">
  <autoFilter ref="A395:AJ400" xr:uid="{13907C47-218F-4592-9D81-B75892A2BA3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35C1A834-36D6-4909-8001-CA553A6148C5}" name="Pipeline and Blowdown Details" dataDxfId="1023"/>
    <tableColumn id="2" xr3:uid="{37E77339-52D1-4272-B3C4-7996D513C06D}" name="Units" dataDxfId="1022"/>
    <tableColumn id="3" xr3:uid="{040755AE-6D7D-498F-942B-044460699A76}" name="1990" dataDxfId="1021"/>
    <tableColumn id="4" xr3:uid="{101691C0-6CE5-4288-8020-AD0CE4D8F7A4}" name="1991" dataDxfId="1020"/>
    <tableColumn id="5" xr3:uid="{96775E01-B481-4538-9FBF-846532D390EA}" name="1992" dataDxfId="1019"/>
    <tableColumn id="6" xr3:uid="{9916679D-C7EF-4670-914A-2DA06D057762}" name="1993" dataDxfId="1018"/>
    <tableColumn id="7" xr3:uid="{81402E9C-41B0-49B5-A88D-92DB74ADE614}" name="1994" dataDxfId="1017"/>
    <tableColumn id="8" xr3:uid="{2DE026D0-607B-4E3D-B59F-1058CFD8BD1F}" name="1995" dataDxfId="1016"/>
    <tableColumn id="9" xr3:uid="{8C8C49D2-BFFB-4698-BB4C-89CC6091B4F3}" name="1996" dataDxfId="1015"/>
    <tableColumn id="10" xr3:uid="{FAD9FC4C-C0D6-49D6-9305-26DF64C039C4}" name="1997" dataDxfId="1014"/>
    <tableColumn id="11" xr3:uid="{265304E7-3ABD-4E04-9ACA-262C2368670A}" name="1998" dataDxfId="1013"/>
    <tableColumn id="12" xr3:uid="{BA8A1969-8513-47D9-8773-04F316CC1D14}" name="1999" dataDxfId="1012"/>
    <tableColumn id="13" xr3:uid="{3D6058DB-38AF-4872-A077-DCAC3E64F6D6}" name="2000" dataDxfId="1011"/>
    <tableColumn id="14" xr3:uid="{4050F428-7088-4A5A-88E5-D0CBE3DC592B}" name="2001" dataDxfId="1010"/>
    <tableColumn id="15" xr3:uid="{7CB61E82-0679-4CE3-A244-C76854175FDE}" name="2002" dataDxfId="1009"/>
    <tableColumn id="16" xr3:uid="{B9930A9B-58EE-4D62-A95C-370FC4183E5A}" name="2003" dataDxfId="1008"/>
    <tableColumn id="17" xr3:uid="{27AD4955-108A-4E19-958D-79996B28B830}" name="2004" dataDxfId="1007"/>
    <tableColumn id="18" xr3:uid="{B365DFF8-3A0C-4E48-A780-40E692FE78D7}" name="2005" dataDxfId="1006"/>
    <tableColumn id="19" xr3:uid="{F6B1D41B-C725-407B-8B7D-8FFF3843BD03}" name="2006" dataDxfId="1005"/>
    <tableColumn id="20" xr3:uid="{0CEE9E52-C4C6-427C-9526-48E3034FBCB2}" name="2007" dataDxfId="1004"/>
    <tableColumn id="21" xr3:uid="{DD2186AC-3CF1-4D23-97F9-4CF19B8CD056}" name="2008" dataDxfId="1003"/>
    <tableColumn id="22" xr3:uid="{97E2538B-C158-4EBE-99EC-1A83B26C5399}" name="2009" dataDxfId="1002"/>
    <tableColumn id="23" xr3:uid="{A62B231F-0BA4-44B0-B5A3-E56DC0BD8BA6}" name="2010" dataDxfId="1001"/>
    <tableColumn id="24" xr3:uid="{D0C41337-D347-4C6E-A9B9-AF744D7092B5}" name="2011" dataDxfId="1000"/>
    <tableColumn id="25" xr3:uid="{FC13FFDC-DB90-4CB1-8CA2-683C10BA03AB}" name="2012" dataDxfId="999"/>
    <tableColumn id="26" xr3:uid="{C81DB96A-1EFC-42BC-9CE0-06B411FEF593}" name="2013" dataDxfId="998"/>
    <tableColumn id="27" xr3:uid="{8BC66E73-DA2F-4E7D-8230-73F1E42D87FC}" name="2014" dataDxfId="997"/>
    <tableColumn id="28" xr3:uid="{AB8C6E53-DA96-4323-9D35-491D1EBAF313}" name="2015" dataDxfId="996"/>
    <tableColumn id="29" xr3:uid="{1360EBB9-B4D4-48F6-818E-956AEDEF11D1}" name="2016" dataDxfId="995"/>
    <tableColumn id="30" xr3:uid="{DCF2045F-08EF-40A0-8C06-AEF4DBC0C9BD}" name="2017" dataDxfId="994"/>
    <tableColumn id="31" xr3:uid="{BFE40811-860D-4A62-ADE1-99471E103DE8}" name="2018" dataDxfId="993"/>
    <tableColumn id="32" xr3:uid="{7261D1AA-554E-454F-AC18-1B5BE7A56693}" name="2019" dataDxfId="992"/>
    <tableColumn id="33" xr3:uid="{BB88FF75-A9D5-42AA-8888-5A0CBC5C266C}" name="2020" dataDxfId="991"/>
    <tableColumn id="34" xr3:uid="{9D562934-9EB4-4643-BD70-80D8A174C8E8}" name="2021" dataDxfId="990"/>
    <tableColumn id="35" xr3:uid="{FD18A690-C8AA-4927-9727-3253EE3A9C2A}" name="2022" dataDxfId="989"/>
    <tableColumn id="36" xr3:uid="{94A73937-AB5A-4F28-8C86-8B44093F6C72}" name="2023" dataDxfId="988"/>
  </tableColumns>
  <tableStyleInfo name="TableStyleLight1"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6" xr:uid="{6BAE0DE1-C3F4-40F7-9787-F422F501F915}" name="EPAFLIGHTSubWAgawamCompressorStationBegins2015" displayName="EPAFLIGHTSubWAgawamCompressorStationBegins2015" ref="A404:AJ419" totalsRowShown="0" headerRowDxfId="987" dataDxfId="985" headerRowBorderDxfId="986" tableBorderDxfId="984">
  <autoFilter ref="A404:AJ419" xr:uid="{6BAE0DE1-C3F4-40F7-9787-F422F501F91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EB9BFEA0-5ED9-4E0E-9E93-9940C6E83226}" name="Station, Compressor and Blowdown Details"/>
    <tableColumn id="2" xr3:uid="{DBB1992E-0D8D-46DB-8AB8-93996960088D}" name="Units" dataDxfId="983"/>
    <tableColumn id="3" xr3:uid="{57AC758E-09AE-4EA0-AA42-256DBEA43EB3}" name="1990" dataDxfId="982"/>
    <tableColumn id="4" xr3:uid="{CCA8551C-FF46-4245-ADE2-D680B6B51BB8}" name="1991" dataDxfId="981"/>
    <tableColumn id="5" xr3:uid="{0371A0DE-C10D-4CDF-85EB-62B3D2D165BF}" name="1992" dataDxfId="980"/>
    <tableColumn id="6" xr3:uid="{F695E709-862C-4C7C-880A-AC3D7028FA84}" name="1993" dataDxfId="979"/>
    <tableColumn id="7" xr3:uid="{C2683DFE-69C6-4EB5-8107-40E439AEA723}" name="1994" dataDxfId="978"/>
    <tableColumn id="8" xr3:uid="{17CB1B25-6D66-4027-90A8-204A68236169}" name="1995" dataDxfId="977"/>
    <tableColumn id="9" xr3:uid="{15884CDC-006E-4A71-B937-1C8208B112DD}" name="1996" dataDxfId="976"/>
    <tableColumn id="10" xr3:uid="{B95035F0-C6E5-4F71-8DDA-98D32B77E5C2}" name="1997" dataDxfId="975"/>
    <tableColumn id="11" xr3:uid="{CEF25694-2581-48F1-B966-7A154234BB0D}" name="1998" dataDxfId="974"/>
    <tableColumn id="12" xr3:uid="{2E4DB760-E9B4-4990-84C8-66CEAA219B02}" name="1999" dataDxfId="973"/>
    <tableColumn id="13" xr3:uid="{9203BA87-B2CE-4720-9958-F620E8BE80FF}" name="2000" dataDxfId="972"/>
    <tableColumn id="14" xr3:uid="{6F8A890D-FAA6-4C48-B6E6-2E3D3CE106E0}" name="2001" dataDxfId="971"/>
    <tableColumn id="15" xr3:uid="{E2A9BD25-BB17-4720-A8A5-979D9E1389B7}" name="2002" dataDxfId="970"/>
    <tableColumn id="16" xr3:uid="{CC2CCDB7-CC92-4392-A986-BF8463D26BE6}" name="2003" dataDxfId="969"/>
    <tableColumn id="17" xr3:uid="{BD317F44-FE92-46ED-8265-D2AD44FB9B04}" name="2004" dataDxfId="968"/>
    <tableColumn id="18" xr3:uid="{DFF6F681-EBB1-4038-9A42-78268599EF56}" name="2005" dataDxfId="967"/>
    <tableColumn id="19" xr3:uid="{7D536FC2-0D13-4A80-91EE-0E409AC5926C}" name="2006" dataDxfId="966"/>
    <tableColumn id="20" xr3:uid="{A2584057-3918-49C6-ABFD-A671E6E114E2}" name="2007" dataDxfId="965"/>
    <tableColumn id="21" xr3:uid="{4F8E317A-4C1C-482A-AB1D-46B234AABFEB}" name="2008" dataDxfId="964"/>
    <tableColumn id="22" xr3:uid="{73DDFFBE-B402-44E0-A176-DA9B4A117352}" name="2009" dataDxfId="963"/>
    <tableColumn id="23" xr3:uid="{A3B2599B-A643-4EC6-8FE7-B73B7D566676}" name="2010" dataDxfId="962"/>
    <tableColumn id="24" xr3:uid="{98D5920A-45E2-40B2-B6DD-9486D3ADC62E}" name="2011" dataDxfId="961"/>
    <tableColumn id="25" xr3:uid="{551A8D1C-95D4-4A0D-8F2A-2F6ACB09FF33}" name="2012" dataDxfId="960"/>
    <tableColumn id="26" xr3:uid="{BACB5453-040C-4EB1-AD9B-405F962087C5}" name="2013" dataDxfId="959"/>
    <tableColumn id="27" xr3:uid="{FB06FD91-3AE6-4AFE-9E72-C4BB27921146}" name="2014" dataDxfId="958"/>
    <tableColumn id="28" xr3:uid="{252DA7FB-E8B1-4D58-B159-ED0056CB9F3B}" name="2015" dataDxfId="957"/>
    <tableColumn id="29" xr3:uid="{EDEFD7A8-2E67-4BCD-ABCD-D41E22002DB0}" name="2016" dataDxfId="956"/>
    <tableColumn id="30" xr3:uid="{39E39579-FC1E-43C8-8712-D8DC3CF85107}" name="2017" dataDxfId="955"/>
    <tableColumn id="31" xr3:uid="{37C66CED-134E-42C2-BBA6-BF1C2AB80435}" name="2018" dataDxfId="954"/>
    <tableColumn id="32" xr3:uid="{57F33060-5928-4F15-B04E-AF39E55FFF7F}" name="2019" dataDxfId="953"/>
    <tableColumn id="33" xr3:uid="{9B82D18F-8C5C-4D99-82F6-C13D86517E58}" name="2020" dataDxfId="952"/>
    <tableColumn id="34" xr3:uid="{706B48D7-B390-4EB5-8A56-33D0D5A8F251}" name="2021" dataDxfId="951"/>
    <tableColumn id="35" xr3:uid="{E8D7F44C-4227-4230-B983-C119679452E3}" name="2022" dataDxfId="950"/>
    <tableColumn id="36" xr3:uid="{F0407C84-1AF1-45D5-9012-3D1B049FD13D}" name="2023" dataDxfId="949"/>
  </tableColumns>
  <tableStyleInfo name="TableStyleLight1"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7" xr:uid="{CC0C00CB-4082-410A-8E3B-D97BE47977A7}" name="EPAFLIGHTSubWCharltonCompressorStationBegins2015" displayName="EPAFLIGHTSubWCharltonCompressorStationBegins2015" ref="A424:AJ439" totalsRowShown="0" headerRowDxfId="948" dataDxfId="946" headerRowBorderDxfId="947" tableBorderDxfId="945">
  <autoFilter ref="A424:AJ439" xr:uid="{CC0C00CB-4082-410A-8E3B-D97BE47977A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9E79002A-DDAC-4932-AEE5-F63B9A007E0A}" name="Station, Compressor and Blowdown Details" dataDxfId="944"/>
    <tableColumn id="2" xr3:uid="{F0522F4D-1B0C-41B9-8C09-D889145295C8}" name="Units" dataDxfId="943"/>
    <tableColumn id="3" xr3:uid="{956B42BC-DC77-4B27-A900-BF445BCF5B17}" name="1990" dataDxfId="942"/>
    <tableColumn id="4" xr3:uid="{F5940092-6D85-44E4-841F-F02DA740EC35}" name="1991" dataDxfId="941"/>
    <tableColumn id="5" xr3:uid="{E493742C-B015-4C20-9093-58E985063185}" name="1992" dataDxfId="940"/>
    <tableColumn id="6" xr3:uid="{E14F84DA-34FF-48B2-8BB9-9EB69D3A9B19}" name="1993" dataDxfId="939"/>
    <tableColumn id="7" xr3:uid="{98535133-CBD9-4CEC-9624-0F806A2E45A6}" name="1994" dataDxfId="938"/>
    <tableColumn id="8" xr3:uid="{60279591-82B7-495F-8081-8CF8FF81D5E2}" name="1995" dataDxfId="937"/>
    <tableColumn id="9" xr3:uid="{D2076F2D-66AA-453A-A363-A3E8FB79E676}" name="1996" dataDxfId="936"/>
    <tableColumn id="10" xr3:uid="{4ADC8AAF-8A8F-44B0-B88D-DD2B467C5D59}" name="1997" dataDxfId="935"/>
    <tableColumn id="11" xr3:uid="{38A08CA0-BD3A-466B-808A-EBE1E6DDDB4C}" name="1998" dataDxfId="934"/>
    <tableColumn id="12" xr3:uid="{158634E1-9992-46A3-BF6D-935E22960150}" name="1999" dataDxfId="933"/>
    <tableColumn id="13" xr3:uid="{27A1D75F-FFAB-496F-AA42-D59A18B4DF28}" name="2000" dataDxfId="932"/>
    <tableColumn id="14" xr3:uid="{EAAB188D-8671-40F4-8A7E-A9DE825FDF62}" name="2001" dataDxfId="931"/>
    <tableColumn id="15" xr3:uid="{93A5F5E7-02C9-473E-B468-4D1FDC8A33D1}" name="2002" dataDxfId="930"/>
    <tableColumn id="16" xr3:uid="{2978802B-2080-400A-A1F3-429F67491EC5}" name="2003" dataDxfId="929"/>
    <tableColumn id="17" xr3:uid="{F43B1853-D3F2-477E-A9D7-C569DEA29855}" name="2004" dataDxfId="928"/>
    <tableColumn id="18" xr3:uid="{B82E0155-A896-43FF-B448-32F895EE8207}" name="2005" dataDxfId="927"/>
    <tableColumn id="19" xr3:uid="{1805E582-98C9-4163-83FC-92BAB75B2AA9}" name="2006" dataDxfId="926"/>
    <tableColumn id="20" xr3:uid="{729D21F3-9043-45AB-836E-A477DBEDAEA0}" name="2007" dataDxfId="925"/>
    <tableColumn id="21" xr3:uid="{58EA16F6-54C7-4ACC-A394-1086B8DFF3CF}" name="2008" dataDxfId="924"/>
    <tableColumn id="22" xr3:uid="{7EBC3080-90F5-40E5-A488-51B536FE79FC}" name="2009" dataDxfId="923"/>
    <tableColumn id="23" xr3:uid="{DE59C7D4-50A6-48CE-9255-46534C109614}" name="2010" dataDxfId="922"/>
    <tableColumn id="24" xr3:uid="{30F5333D-276D-4B32-B94D-9FCE92C4C637}" name="2011" dataDxfId="921"/>
    <tableColumn id="25" xr3:uid="{55514B4C-CA64-49BA-87D2-3C796DA19333}" name="2012" dataDxfId="920"/>
    <tableColumn id="26" xr3:uid="{0F10A9F1-61B7-4AB6-AAC2-461770CD4C66}" name="2013" dataDxfId="919"/>
    <tableColumn id="27" xr3:uid="{16986109-299A-441B-87B4-F0CAB1957F8E}" name="2014" dataDxfId="918"/>
    <tableColumn id="28" xr3:uid="{298F7B2C-C148-449B-991F-8A3082C5B977}" name="2015" dataDxfId="917"/>
    <tableColumn id="29" xr3:uid="{6A40DD07-E010-42CD-8B74-39D5E21FFA12}" name="2016" dataDxfId="916"/>
    <tableColumn id="30" xr3:uid="{21C143A6-A08C-4A6F-BC0C-CA92F7982D71}" name="2017" dataDxfId="915"/>
    <tableColumn id="31" xr3:uid="{2D2CC47A-FF64-4484-BD7D-F2965CE94904}" name="2018" dataDxfId="914"/>
    <tableColumn id="32" xr3:uid="{898EB3BC-F202-4C02-BF75-90A761518FD2}" name="2019" dataDxfId="913"/>
    <tableColumn id="33" xr3:uid="{182BABFA-5515-4714-86E0-94F788B46C08}" name="2020" dataDxfId="912"/>
    <tableColumn id="34" xr3:uid="{06456606-8603-48AB-908B-1EFB25901074}" name="2021" dataDxfId="911"/>
    <tableColumn id="35" xr3:uid="{1F0A0A74-0677-4E0E-B55E-CEC992A92788}" name="2022" dataDxfId="910"/>
    <tableColumn id="36" xr3:uid="{B0D87861-0CE2-4788-9B38-13926E658F9B}" name="2023" dataDxfId="909"/>
  </tableColumns>
  <tableStyleInfo name="TableStyleLight1" showFirstColumn="0" showLastColumn="0" showRowStripes="1" showColumnStripes="0"/>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8" xr:uid="{6A969E2A-02BC-4419-B720-95E69922126C}" name="EPAFLIGHTSubWMendonCompressorStation2016through2021" displayName="EPAFLIGHTSubWMendonCompressorStation2016through2021" ref="A444:AH459" totalsRowShown="0" headerRowDxfId="908" headerRowBorderDxfId="907" tableBorderDxfId="906">
  <autoFilter ref="A444:AH459" xr:uid="{6A969E2A-02BC-4419-B720-95E69922126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E05CF55F-D8F8-411A-961E-D05A84E7D379}" name="Station, Compressor and Blowdown Details" dataDxfId="905"/>
    <tableColumn id="2" xr3:uid="{A1CB4BC4-F642-4095-83BE-BED2992979B9}" name="Units" dataDxfId="904"/>
    <tableColumn id="3" xr3:uid="{8F9A4DB8-DAA3-4535-8686-FB26960B8E93}" name="1990" dataDxfId="903"/>
    <tableColumn id="4" xr3:uid="{D87CD0FF-3F98-48BB-BC6E-E6BF5FA0473E}" name="1991" dataDxfId="902"/>
    <tableColumn id="5" xr3:uid="{7232BC10-1D97-4162-AAE0-7C1D86A6FF6F}" name="1992" dataDxfId="901"/>
    <tableColumn id="6" xr3:uid="{761E82DD-F807-49E8-9C41-0DB21EE8DCA2}" name="1993" dataDxfId="900"/>
    <tableColumn id="7" xr3:uid="{C251B445-DCEA-408F-B43F-7C8A3972FF05}" name="1994" dataDxfId="899"/>
    <tableColumn id="8" xr3:uid="{6B60751A-B8B1-4541-9CA3-72E99CDA2B12}" name="1995" dataDxfId="898"/>
    <tableColumn id="9" xr3:uid="{56062AB2-5C10-447C-9EA1-09B226D52289}" name="1996" dataDxfId="897"/>
    <tableColumn id="10" xr3:uid="{875ECB21-E216-4532-A657-4EC610DD4AFB}" name="1997" dataDxfId="896"/>
    <tableColumn id="11" xr3:uid="{723FF65D-B8DE-4DBE-B6D3-B8928F1A62A0}" name="1998" dataDxfId="895"/>
    <tableColumn id="12" xr3:uid="{25369911-FEAD-462D-9D98-DCAE5241AC3D}" name="1999" dataDxfId="894"/>
    <tableColumn id="13" xr3:uid="{72095E64-27F6-49A4-988E-1A315FD03F49}" name="2000" dataDxfId="893"/>
    <tableColumn id="14" xr3:uid="{42C4A3B5-C6B8-4A03-9F7C-9B2E17C34FC6}" name="2001" dataDxfId="892"/>
    <tableColumn id="15" xr3:uid="{10A4938B-4950-42D0-A373-E60D8C372915}" name="2002" dataDxfId="891"/>
    <tableColumn id="16" xr3:uid="{DB2D38E6-07AC-45CB-A035-402E4E0B087A}" name="2003" dataDxfId="890"/>
    <tableColumn id="17" xr3:uid="{FE3C80B3-8765-4FD7-A284-077CFA50A69F}" name="2004" dataDxfId="889"/>
    <tableColumn id="18" xr3:uid="{AECE6123-F0FF-4B5E-BAE2-9E30B9A4DFE3}" name="2005" dataDxfId="888"/>
    <tableColumn id="19" xr3:uid="{F9AA2179-CC16-4ABE-B428-B5F67FCFDB86}" name="2006" dataDxfId="887"/>
    <tableColumn id="20" xr3:uid="{C38DCC0D-EA83-4DF3-BE75-6A27039E36D6}" name="2007" dataDxfId="886"/>
    <tableColumn id="21" xr3:uid="{7E76467F-F122-413D-B6E8-F4B63889CFD1}" name="2008" dataDxfId="885"/>
    <tableColumn id="22" xr3:uid="{1DAAC3FE-D7C7-4FFB-9882-B597D89F1724}" name="2009" dataDxfId="884"/>
    <tableColumn id="23" xr3:uid="{FD310727-0ADF-41FD-82E1-1D0442874454}" name="2010" dataDxfId="883"/>
    <tableColumn id="24" xr3:uid="{EDD92328-C44E-4E9B-ABD4-EE9F63FD1007}" name="2011" dataDxfId="882"/>
    <tableColumn id="25" xr3:uid="{7C1BFD4D-6160-4905-8917-14D95915FDC7}" name="2012" dataDxfId="881"/>
    <tableColumn id="26" xr3:uid="{304B2C33-FD17-47F2-827E-51B231DFA2EC}" name="2013" dataDxfId="880"/>
    <tableColumn id="27" xr3:uid="{29CE9D8B-E940-41D8-A454-4EBA4BB775F0}" name="2014" dataDxfId="879"/>
    <tableColumn id="28" xr3:uid="{43D30EEB-950D-46FA-9777-C6E3805D62FB}" name="2015" dataDxfId="878"/>
    <tableColumn id="29" xr3:uid="{8BD017D5-D2D5-4ECE-AA45-E61BFB31F062}" name="2016"/>
    <tableColumn id="30" xr3:uid="{0177CD94-FC3A-438C-A070-62D40DBA584D}" name="2017"/>
    <tableColumn id="31" xr3:uid="{96051D81-516E-4253-BD5F-05C4F94142B5}" name="2018"/>
    <tableColumn id="32" xr3:uid="{24B64064-215D-4D54-A473-76EB562A98DD}" name="2019"/>
    <tableColumn id="33" xr3:uid="{E2FE7F65-974B-41A7-95FE-7EF960BCD690}" name="2020"/>
    <tableColumn id="34" xr3:uid="{B2B482FB-2648-4F1A-81D9-0241BCCC5AAB}" name="2021"/>
  </tableColumns>
  <tableStyleInfo name="TableStyleLight1" showFirstColumn="0" showLastColumn="0" showRowStripes="1" showColumnStripes="0"/>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9" xr:uid="{AF90E390-01E5-45DB-BF7B-D1FEB0BA951E}" name="EPAFLIGHTSubWTotalCompressorStationBegins2016" displayName="EPAFLIGHTSubWTotalCompressorStationBegins2016" ref="A462:AJ478" totalsRowShown="0" headerRowDxfId="877" dataDxfId="875" headerRowBorderDxfId="876" tableBorderDxfId="874">
  <autoFilter ref="A462:AJ478" xr:uid="{AF90E390-01E5-45DB-BF7B-D1FEB0BA95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C54F1284-1157-457B-B7EC-60DF4B89971E}" name="Station, Compressor and Blowdown Details" dataDxfId="873"/>
    <tableColumn id="2" xr3:uid="{CCAE97A3-E30D-4E4C-861F-B2F609AC6993}" name="Units" dataDxfId="872"/>
    <tableColumn id="3" xr3:uid="{F59C2BD7-94C3-4AF7-A046-47BD24927345}" name="1990" dataDxfId="871"/>
    <tableColumn id="4" xr3:uid="{3B390F4D-B1FB-4D83-BAF0-35DD2F30A792}" name="1991" dataDxfId="870"/>
    <tableColumn id="5" xr3:uid="{F21AD69E-DDC8-4A03-B3EE-2995B9427BAB}" name="1992" dataDxfId="869"/>
    <tableColumn id="6" xr3:uid="{407F496A-9E68-46A4-9727-3A60FDE4CB44}" name="1993" dataDxfId="868"/>
    <tableColumn id="7" xr3:uid="{EE089B59-6ACE-4E5A-8AE8-9E68C75782A4}" name="1994" dataDxfId="867"/>
    <tableColumn id="8" xr3:uid="{4076F614-6784-4702-88F6-5CF67F15D820}" name="1995" dataDxfId="866"/>
    <tableColumn id="9" xr3:uid="{215956D4-17DC-4775-9A66-8607A1C69F4A}" name="1996" dataDxfId="865"/>
    <tableColumn id="10" xr3:uid="{EF9A05AB-DB4E-43A0-B8F9-476E1FBEA772}" name="1997" dataDxfId="864"/>
    <tableColumn id="11" xr3:uid="{06AFA65A-5EF5-48C2-8267-0BA5F72C2366}" name="1998" dataDxfId="863"/>
    <tableColumn id="12" xr3:uid="{3DD6942F-5A37-4B71-9528-BE5BEB7B73BF}" name="1999" dataDxfId="862"/>
    <tableColumn id="13" xr3:uid="{E1B551CD-C5AA-465C-B563-B82BE106EA21}" name="2000" dataDxfId="861"/>
    <tableColumn id="14" xr3:uid="{AAA52AC5-3E7A-4954-AF66-081DCFA3DD2A}" name="2001" dataDxfId="860"/>
    <tableColumn id="15" xr3:uid="{247BCA0D-859E-49CF-87B7-4C840F8ECD42}" name="2002" dataDxfId="859"/>
    <tableColumn id="16" xr3:uid="{65FA5070-5186-4D0A-A9AF-2C86C37CC5AF}" name="2003" dataDxfId="858"/>
    <tableColumn id="17" xr3:uid="{C8BB821B-3950-4386-ABD0-605E34B320C2}" name="2004" dataDxfId="857"/>
    <tableColumn id="18" xr3:uid="{7D86AB80-F100-4EA1-B4AF-529CD780F11E}" name="2005" dataDxfId="856"/>
    <tableColumn id="19" xr3:uid="{B78A3F90-2559-46DC-9AF1-288F8EBB7222}" name="2006" dataDxfId="855"/>
    <tableColumn id="20" xr3:uid="{81307B6A-540B-45FF-BD06-0637A714F076}" name="2007" dataDxfId="854"/>
    <tableColumn id="21" xr3:uid="{9F862004-9DA3-4E5B-BC97-453ADCD2C328}" name="2008" dataDxfId="853"/>
    <tableColumn id="22" xr3:uid="{92709C22-6DDD-4718-9ED3-49A5FD5A1CF8}" name="2009" dataDxfId="852"/>
    <tableColumn id="23" xr3:uid="{DDDDC811-BA81-42EB-8463-B4B1B7B09E7F}" name="2010" dataDxfId="851"/>
    <tableColumn id="24" xr3:uid="{84737581-ED72-41DC-8566-96489397A87D}" name="2011" dataDxfId="850"/>
    <tableColumn id="25" xr3:uid="{C1836EE3-239A-440E-BAAF-C987829F6580}" name="2012" dataDxfId="849"/>
    <tableColumn id="26" xr3:uid="{26FC2241-18B1-4D47-9FCE-EA0987AD59AB}" name="2013" dataDxfId="848"/>
    <tableColumn id="27" xr3:uid="{4E12A379-311F-413A-AFA2-505CDF208204}" name="2014" dataDxfId="847"/>
    <tableColumn id="28" xr3:uid="{0C0A32DE-0FF1-4A0C-8643-F364C3A748E9}" name="2015" dataDxfId="846"/>
    <tableColumn id="29" xr3:uid="{D242C9A4-B697-4F98-A0AB-B3E27CED1023}" name="2016" dataDxfId="845"/>
    <tableColumn id="30" xr3:uid="{AF4DC92A-DBA2-44BD-BEC1-AE3F290EE1ED}" name="2017" dataDxfId="844"/>
    <tableColumn id="31" xr3:uid="{E269D700-B60B-4E2A-B9A9-2E6C5B092A2F}" name="2018" dataDxfId="843"/>
    <tableColumn id="32" xr3:uid="{E7E20BD8-1CFF-4835-9770-4FB5F1F37BAE}" name="2019" dataDxfId="842"/>
    <tableColumn id="33" xr3:uid="{97224D60-6520-483B-A697-1FFB4A1D7B02}" name="2020" dataDxfId="841"/>
    <tableColumn id="34" xr3:uid="{1708A6DC-B3FD-4D16-8ACC-613F265EA8D7}" name="2021" dataDxfId="840"/>
    <tableColumn id="35" xr3:uid="{F38E6F7C-D0CE-4942-8B69-3A3F47602947}" name="2022" dataDxfId="839"/>
    <tableColumn id="36" xr3:uid="{93530000-28C1-40A1-BF08-74285D5983A1}" name="2023" dataDxfId="838"/>
  </tableColumns>
  <tableStyleInfo name="TableStyleLight1" showFirstColumn="0" showLastColumn="0" showRowStripes="1" showColumnStripes="0"/>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0" xr:uid="{07FC4261-81D8-4C9D-BB1B-F3B5B9321AA9}" name="EPAFLIGHTSubWDistrigasLNGImportStationBegins2011" displayName="EPAFLIGHTSubWDistrigasLNGImportStationBegins2011" ref="A481:AJ491" totalsRowShown="0" headerRowDxfId="837" dataDxfId="835" headerRowBorderDxfId="836" tableBorderDxfId="834">
  <autoFilter ref="A481:AJ491" xr:uid="{07FC4261-81D8-4C9D-BB1B-F3B5B9321AA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2BC7413F-926A-4E49-8113-59B0AE17AF3C}" name="Station, Compressor and Blowdown Details" dataDxfId="833"/>
    <tableColumn id="2" xr3:uid="{697FDE10-940E-4121-A6FE-DF39F7EACB92}" name="Units" dataDxfId="832"/>
    <tableColumn id="3" xr3:uid="{B8C911E6-41E8-4842-80C4-0F784E1D15B8}" name="1990" dataDxfId="831"/>
    <tableColumn id="4" xr3:uid="{E2302B09-CBE0-4AD1-9790-19D7214D8677}" name="1991" dataDxfId="830"/>
    <tableColumn id="5" xr3:uid="{997EFDEE-AAB5-4939-BE34-CA641DBB39C7}" name="1992" dataDxfId="829"/>
    <tableColumn id="6" xr3:uid="{AEBE95A4-C5AE-49BC-96EE-1D5130CE50E2}" name="1993" dataDxfId="828"/>
    <tableColumn id="7" xr3:uid="{B320B057-8113-4C6F-BAA4-F40CC4CFB379}" name="1994" dataDxfId="827"/>
    <tableColumn id="8" xr3:uid="{59883814-DEB7-4F6D-AFC7-80CD5BB730D8}" name="1995" dataDxfId="826"/>
    <tableColumn id="9" xr3:uid="{5E6CD6A7-DE35-45EE-83E8-E1FB9817DD57}" name="1996" dataDxfId="825"/>
    <tableColumn id="10" xr3:uid="{63089815-B76C-43D1-BD91-E521B0DEC18A}" name="1997" dataDxfId="824"/>
    <tableColumn id="11" xr3:uid="{FEE1E83E-ADC6-40AA-8FD4-70D542499D61}" name="1998" dataDxfId="823"/>
    <tableColumn id="12" xr3:uid="{A7E0575A-03CE-43C2-97FF-C4DE75FAC66C}" name="1999" dataDxfId="822"/>
    <tableColumn id="13" xr3:uid="{C652A65B-0D9C-4E21-A0FD-2DB94AB71412}" name="2000" dataDxfId="821"/>
    <tableColumn id="14" xr3:uid="{AD3585C0-5234-4D49-8B81-29DFE1D38D6A}" name="2001" dataDxfId="820"/>
    <tableColumn id="15" xr3:uid="{407E5120-8841-4B1F-B924-941242A93F22}" name="2002" dataDxfId="819"/>
    <tableColumn id="16" xr3:uid="{C4BAEB7D-CFBE-4475-95CF-02241A59982E}" name="2003" dataDxfId="818"/>
    <tableColumn id="17" xr3:uid="{9A583866-69DD-4E71-9476-E4D7A93EBFD5}" name="2004" dataDxfId="817"/>
    <tableColumn id="18" xr3:uid="{8AD6A38B-A806-4138-BFC6-0342A786473B}" name="2005" dataDxfId="816"/>
    <tableColumn id="19" xr3:uid="{6742D5AD-CDE7-4209-A973-A773BF3FACED}" name="2006" dataDxfId="815"/>
    <tableColumn id="20" xr3:uid="{CF5BBF48-FB6A-4CAF-ABB7-4793684F6A18}" name="2007" dataDxfId="814"/>
    <tableColumn id="21" xr3:uid="{53F432F0-697E-430C-A949-0EF3AF915567}" name="2008" dataDxfId="813"/>
    <tableColumn id="22" xr3:uid="{DB61C27A-3D1F-42C3-B97E-BE53E5594519}" name="2009" dataDxfId="812"/>
    <tableColumn id="23" xr3:uid="{40861530-9C04-495A-9E21-027E08989735}" name="2010" dataDxfId="811"/>
    <tableColumn id="24" xr3:uid="{FC46B371-B95F-4D68-ABD1-C7754CED53B9}" name="2011" dataDxfId="810"/>
    <tableColumn id="25" xr3:uid="{D3D13653-1CBF-4781-9849-F813D4B40F77}" name="2012" dataDxfId="809"/>
    <tableColumn id="26" xr3:uid="{22870EE8-40CC-4469-90E3-B5C4CE82AD3A}" name="2013" dataDxfId="808"/>
    <tableColumn id="27" xr3:uid="{9EEBAC9C-A8D6-46EE-8A5F-E93DEE92F971}" name="2014" dataDxfId="807"/>
    <tableColumn id="28" xr3:uid="{CFD016DA-B88E-406C-9842-A65039B7ED2A}" name="2015" dataDxfId="806"/>
    <tableColumn id="29" xr3:uid="{F1BE25C2-89AA-4DF6-B54E-B1B6835464C8}" name="2016" dataDxfId="805"/>
    <tableColumn id="30" xr3:uid="{129830F2-0E77-48BD-9275-FFBDC9240556}" name="2017" dataDxfId="804"/>
    <tableColumn id="31" xr3:uid="{4EFAD14B-BBDA-4E0A-802A-C66D0092447B}" name="2018" dataDxfId="803"/>
    <tableColumn id="32" xr3:uid="{90BF493A-85F6-4DFA-8150-C4B23B164649}" name="2019" dataDxfId="802"/>
    <tableColumn id="33" xr3:uid="{2CBEFB90-BE4A-4F48-8FEA-3E8F9A3AB7C1}" name="2020" dataDxfId="801"/>
    <tableColumn id="34" xr3:uid="{E8546162-47A8-40DB-9A1F-A846B8E06B30}" name="2021" dataDxfId="800"/>
    <tableColumn id="35" xr3:uid="{5C1BED00-2DD4-4D0B-86B3-6282796FDC48}" name="2022" dataDxfId="799"/>
    <tableColumn id="36" xr3:uid="{FAFD017E-32AB-4E00-9F6B-686B5F77274C}" name="2023" dataDxfId="798"/>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92EB1B7A-AA8D-49CE-AC7F-D1703C9EF586}" name="MACH4EmissionsBySectorMMTCO2e" displayName="MACH4EmissionsBySectorMMTCO2e" ref="A130:AI142" totalsRowShown="0" headerRowDxfId="5118" dataDxfId="5116" headerRowBorderDxfId="5117" tableBorderDxfId="5115">
  <autoFilter ref="A130:AI142" xr:uid="{92EB1B7A-AA8D-49CE-AC7F-D1703C9EF58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5F58E180-C854-4F2D-A117-9A2D75251E59}" name="Sector" dataDxfId="5114"/>
    <tableColumn id="2" xr3:uid="{6A34005A-2E9A-48C9-BD3C-40B874CEEA12}" name="1990" dataDxfId="5113"/>
    <tableColumn id="3" xr3:uid="{181CC0C9-668F-4055-971F-4DE5EDF5DE59}" name="1991" dataDxfId="5112"/>
    <tableColumn id="4" xr3:uid="{31062882-A118-4F1F-9A23-BACAF10AD691}" name="1992" dataDxfId="5111"/>
    <tableColumn id="5" xr3:uid="{A004957F-F77B-4E3F-9539-00FB21CCC36B}" name="1993" dataDxfId="5110"/>
    <tableColumn id="6" xr3:uid="{424A4DFB-9EF5-4518-8C67-EA62846DD3F6}" name="1994" dataDxfId="5109"/>
    <tableColumn id="7" xr3:uid="{173FDF93-46D6-4579-B927-31F7D8E754E6}" name="1995" dataDxfId="5108"/>
    <tableColumn id="8" xr3:uid="{022B55E6-CFD3-49BE-8300-F93EF9F511E5}" name="1996" dataDxfId="5107"/>
    <tableColumn id="9" xr3:uid="{D97648DD-11FB-4168-AC68-E8D55518494C}" name="1997" dataDxfId="5106"/>
    <tableColumn id="10" xr3:uid="{6FBABF92-03A8-49CD-AC34-B03FB8045AF7}" name="1998" dataDxfId="5105"/>
    <tableColumn id="11" xr3:uid="{84275265-4078-45AD-A229-6A03D89152A9}" name="1999" dataDxfId="5104"/>
    <tableColumn id="12" xr3:uid="{2CA50CCF-2ACA-4DD0-B49A-F0FDE01F8DA9}" name="2000" dataDxfId="5103"/>
    <tableColumn id="13" xr3:uid="{6C411B42-0525-432F-B000-C306161AAACD}" name="2001" dataDxfId="5102"/>
    <tableColumn id="14" xr3:uid="{8111D791-301A-47CB-8E0A-2B3C819A1B06}" name="2002" dataDxfId="5101"/>
    <tableColumn id="15" xr3:uid="{E0F047B1-5A73-494E-B5F6-F26B312371C6}" name="2003" dataDxfId="5100"/>
    <tableColumn id="16" xr3:uid="{E0F2B8B8-7C26-447A-8FB5-03984A01D840}" name="2004" dataDxfId="5099"/>
    <tableColumn id="17" xr3:uid="{5CB12E37-06F8-43FC-B9D3-9DE1C2B1654A}" name="2005" dataDxfId="5098"/>
    <tableColumn id="18" xr3:uid="{A38CD0EC-4ED3-4A7C-AE56-997EB914BA73}" name="2006" dataDxfId="5097"/>
    <tableColumn id="19" xr3:uid="{BA4E8CBA-F1E4-4D16-B579-F4860BB01C3D}" name="2007" dataDxfId="5096"/>
    <tableColumn id="20" xr3:uid="{55869155-CF6C-4C94-9387-6BFB3A292621}" name="2008" dataDxfId="5095"/>
    <tableColumn id="21" xr3:uid="{328A6EA1-D2BC-4D0F-AF04-2852538CF811}" name="2009" dataDxfId="5094"/>
    <tableColumn id="22" xr3:uid="{341386CC-C69D-4121-90A6-24311EEE996B}" name="2010" dataDxfId="5093"/>
    <tableColumn id="23" xr3:uid="{AB0C9D36-A780-4C11-A689-C8ABE2D8E5F3}" name="2011" dataDxfId="5092"/>
    <tableColumn id="24" xr3:uid="{80ED6C0C-36C1-4C9E-AB82-779E2363B539}" name="2012" dataDxfId="5091"/>
    <tableColumn id="25" xr3:uid="{8F0934BE-27C7-4EC4-A781-228B175525AB}" name="2013" dataDxfId="5090"/>
    <tableColumn id="26" xr3:uid="{4CB53B56-2E35-4FA3-B8AA-1BC37A9CAF20}" name="2014" dataDxfId="5089"/>
    <tableColumn id="27" xr3:uid="{747FE197-DB0D-4312-A465-6AACDD030832}" name="2015" dataDxfId="5088"/>
    <tableColumn id="28" xr3:uid="{1BB15894-A84C-47DA-9EE7-60E0DA417A86}" name="2016" dataDxfId="5087"/>
    <tableColumn id="29" xr3:uid="{37E8D7BD-C678-44A5-BCA5-1C6E2ACC1778}" name="2017" dataDxfId="5086"/>
    <tableColumn id="30" xr3:uid="{78A9048B-D3D7-4C16-A521-4B57F07E4E11}" name="2018" dataDxfId="5085"/>
    <tableColumn id="31" xr3:uid="{101A2242-0F69-421E-8B92-7E026676F507}" name="2019" dataDxfId="5084"/>
    <tableColumn id="32" xr3:uid="{1AF45C00-C624-4C03-B589-760AF22E1700}" name="2020" dataDxfId="5083"/>
    <tableColumn id="33" xr3:uid="{2FE0A103-76A8-4A5D-AACE-4B5A64AB33EB}" name="2021" dataDxfId="5082"/>
    <tableColumn id="34" xr3:uid="{15C010E6-3CD9-4D1D-96EB-CC8B5AFF81AA}" name="2022" dataDxfId="5081"/>
    <tableColumn id="35" xr3:uid="{1F660798-1BFE-4E9B-AED6-89BC2A67154A}" name="2023" dataDxfId="5080"/>
  </tableColumns>
  <tableStyleInfo name="TableStyleLight1" showFirstColumn="0" showLastColumn="0" showRowStripes="1" showColumnStripes="0"/>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1F7FFA3D-1510-4A09-A5E2-F31BCB2AEEC2}" name="NGTransmissionandStorageConversionFactor" displayName="NGTransmissionandStorageConversionFactor" ref="A369:B371" totalsRowShown="0" headerRowDxfId="797" headerRowBorderDxfId="796" tableBorderDxfId="795">
  <autoFilter ref="A369:B371" xr:uid="{1F7FFA3D-1510-4A09-A5E2-F31BCB2AEEC2}">
    <filterColumn colId="0" hiddenButton="1"/>
    <filterColumn colId="1" hiddenButton="1"/>
  </autoFilter>
  <tableColumns count="2">
    <tableColumn id="1" xr3:uid="{EC4E8682-9E06-4BAC-B035-A5CE31476D43}" name="Conversion Factors"/>
    <tableColumn id="2" xr3:uid="{68B63FB1-150F-4CEC-B22F-594E38996113}" name="Value"/>
  </tableColumns>
  <tableStyleInfo name="TableStyleLight1" showFirstColumn="0" showLastColumn="0" showRowStripes="1" showColumnStripes="0"/>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690267A7-190B-420F-A3BA-6435BFC72005}" name="DATAforNGTransmissionandStorage" displayName="DATAforNGTransmissionandStorage" ref="A30:D33" totalsRowShown="0" headerRowDxfId="794" headerRowBorderDxfId="793" tableBorderDxfId="792">
  <autoFilter ref="A30:D33" xr:uid="{690267A7-190B-420F-A3BA-6435BFC72005}">
    <filterColumn colId="0" hiddenButton="1"/>
    <filterColumn colId="1" hiddenButton="1"/>
    <filterColumn colId="2" hiddenButton="1"/>
    <filterColumn colId="3" hiddenButton="1"/>
  </autoFilter>
  <tableColumns count="4">
    <tableColumn id="1" xr3:uid="{93F51966-9303-4B48-B1E7-9B49D1905D28}" name="Year(s)"/>
    <tableColumn id="2" xr3:uid="{32F69381-B302-4DA4-B7AD-C3F3457EDBD2}" name="Data Source"/>
    <tableColumn id="3" xr3:uid="{63A727A5-0B02-4D6F-BA3B-1AA90570363B}" name="Version"/>
    <tableColumn id="4" xr3:uid="{0240BE2F-EF39-40CB-875E-B7EC5D2C7092}" name="Update Date"/>
  </tableColumns>
  <tableStyleInfo name="TableStyleLight1" showFirstColumn="0" showLastColumn="0" showRowStripes="1" showColumnStripes="0"/>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ED11A0AD-EC8B-40F1-AA49-8DE274ADCB3C}" name="IndustrialProcessEmissionsMTCO2e" displayName="IndustrialProcessEmissionsMTCO2e" ref="A39:AI60" totalsRowShown="0" headerRowDxfId="791" dataDxfId="789" headerRowBorderDxfId="790" tableBorderDxfId="788" dataCellStyle="Comma">
  <autoFilter ref="A39:AI60" xr:uid="{ED11A0AD-EC8B-40F1-AA49-8DE274ADCB3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17325734-7F4C-4FA2-8E21-5C01CA15AB2D}" name="Gas/Subsector" dataDxfId="787"/>
    <tableColumn id="2" xr3:uid="{A97BC911-9365-43A9-A579-B73380F42432}" name="1990" dataDxfId="786" dataCellStyle="Comma 2"/>
    <tableColumn id="3" xr3:uid="{5B570181-B946-4A31-9186-A648776FFD98}" name="1991" dataDxfId="785" dataCellStyle="Comma"/>
    <tableColumn id="4" xr3:uid="{141D9346-8D59-4D37-999A-C79C18DCAED9}" name="1992" dataDxfId="784" dataCellStyle="Comma"/>
    <tableColumn id="5" xr3:uid="{B924B6DE-D3A2-4A6D-A198-D6E64D8F25AC}" name="1993" dataDxfId="783" dataCellStyle="Comma"/>
    <tableColumn id="6" xr3:uid="{213867FB-24F2-4BA5-9C5D-C70AE032E7FA}" name="1994" dataDxfId="782" dataCellStyle="Comma"/>
    <tableColumn id="7" xr3:uid="{160D34F9-66DE-44F0-90F5-2796BFBF54FF}" name="1995" dataDxfId="781" dataCellStyle="Comma"/>
    <tableColumn id="8" xr3:uid="{4B5E8CAC-4FCC-4113-8F40-D90F5101CA7C}" name="1996" dataDxfId="780" dataCellStyle="Comma"/>
    <tableColumn id="9" xr3:uid="{2419BB42-B677-4FF7-B200-1154CB0A3E4E}" name="1997" dataDxfId="779" dataCellStyle="Comma"/>
    <tableColumn id="10" xr3:uid="{186D2BB2-0B43-4EB5-9725-FCB2B3F3E5E5}" name="1998" dataDxfId="778" dataCellStyle="Comma"/>
    <tableColumn id="11" xr3:uid="{B64037D3-F2F8-4348-B032-AAF5C93FD676}" name="1999" dataDxfId="777" dataCellStyle="Comma"/>
    <tableColumn id="12" xr3:uid="{3CA7AD0A-2562-4D3C-8A00-CB94012935F6}" name="2000" dataDxfId="776" dataCellStyle="Comma"/>
    <tableColumn id="13" xr3:uid="{D77A1A7E-ED58-4E07-BB85-AF4B09314CE2}" name="2001" dataDxfId="775" dataCellStyle="Comma"/>
    <tableColumn id="14" xr3:uid="{3DA0E302-11D1-4C5E-A660-A63EA11E4E17}" name="2002" dataDxfId="774" dataCellStyle="Comma"/>
    <tableColumn id="15" xr3:uid="{090B1703-156F-45AA-921A-89B2AE93F6AA}" name="2003" dataDxfId="773" dataCellStyle="Comma"/>
    <tableColumn id="16" xr3:uid="{337EA03F-A3D6-4284-9287-ECEFD90BE40F}" name="2004" dataDxfId="772" dataCellStyle="Comma"/>
    <tableColumn id="17" xr3:uid="{74F6D008-8514-4ABD-A6A7-7E0B3E1EC91F}" name="2005" dataDxfId="771" dataCellStyle="Comma"/>
    <tableColumn id="18" xr3:uid="{0D9821EF-01B6-4432-9390-BD45334DCDE9}" name="2006" dataDxfId="770" dataCellStyle="Comma"/>
    <tableColumn id="19" xr3:uid="{5561D353-19DE-4A3A-B0FE-603B4189FA8B}" name="2007" dataDxfId="769" dataCellStyle="Comma"/>
    <tableColumn id="20" xr3:uid="{F04A3AD4-B043-4AE4-AE65-4317A1CC20C5}" name="2008" dataDxfId="768" dataCellStyle="Comma"/>
    <tableColumn id="21" xr3:uid="{0FEA817D-D074-4179-A99F-2FE104E6B01A}" name="2009" dataDxfId="767" dataCellStyle="Comma"/>
    <tableColumn id="22" xr3:uid="{B22897A8-215F-4358-B98E-B45FB9C42460}" name="2010" dataDxfId="766" dataCellStyle="Comma"/>
    <tableColumn id="23" xr3:uid="{DAED775F-09B3-42D2-A4EC-7F658D363261}" name="2011" dataDxfId="765" dataCellStyle="Comma"/>
    <tableColumn id="24" xr3:uid="{58A54F62-4614-40E8-8260-DE3985002D8E}" name="2012" dataDxfId="764" dataCellStyle="Comma"/>
    <tableColumn id="25" xr3:uid="{DB56A0E4-A938-46EA-BC2E-CD25035054D4}" name="2013" dataDxfId="763" dataCellStyle="Comma"/>
    <tableColumn id="26" xr3:uid="{90760DD3-ABFA-40B2-BD14-A9605CAFC312}" name="2014" dataDxfId="762" dataCellStyle="Comma"/>
    <tableColumn id="27" xr3:uid="{0480F9AD-C889-414E-9D51-E854B160CE6E}" name="2015" dataDxfId="761" dataCellStyle="Comma"/>
    <tableColumn id="28" xr3:uid="{8D39960D-02C8-47FF-B42C-F79E51B747B4}" name="2016" dataDxfId="760" dataCellStyle="Comma"/>
    <tableColumn id="29" xr3:uid="{F1C6B881-6EFC-4346-9C0D-EE2E842A0A5F}" name="2017" dataDxfId="759" dataCellStyle="Comma"/>
    <tableColumn id="30" xr3:uid="{10B26A12-F14A-43EB-A24F-1E0D7D1D55FB}" name="2018" dataDxfId="758" dataCellStyle="Comma"/>
    <tableColumn id="31" xr3:uid="{05D458B0-5806-4E3B-B4EE-6C9582DFB38F}" name="2019" dataDxfId="757" dataCellStyle="Comma"/>
    <tableColumn id="32" xr3:uid="{992DDCAB-C978-4914-B475-2539D321E88C}" name="2020" dataDxfId="756" dataCellStyle="Comma"/>
    <tableColumn id="33" xr3:uid="{47BFE5A3-BAFA-499C-9F53-81DCAF74FB2C}" name="2021" dataDxfId="755" dataCellStyle="Comma"/>
    <tableColumn id="34" xr3:uid="{2DAF3740-D91A-44A7-A46E-18CEBF4140A4}" name="2022" dataDxfId="754" dataCellStyle="Comma"/>
    <tableColumn id="35" xr3:uid="{B468732F-A7D0-413D-9CA2-6731FD8121FE}" name="2023" dataDxfId="753" dataCellStyle="Comma"/>
  </tableColumns>
  <tableStyleInfo name="TableStyleLight1" showFirstColumn="0" showLastColumn="0" showRowStripes="1" showColumnStripes="0"/>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3DC80C36-2B64-40DF-B663-8A2802771F94}" name="DATAforIndustrialProcesses" displayName="DATAforIndustrialProcesses" ref="A32:D35" totalsRowShown="0" headerRowDxfId="752" headerRowBorderDxfId="751" tableBorderDxfId="750">
  <autoFilter ref="A32:D35" xr:uid="{3DC80C36-2B64-40DF-B663-8A2802771F94}">
    <filterColumn colId="0" hiddenButton="1"/>
    <filterColumn colId="1" hiddenButton="1"/>
    <filterColumn colId="2" hiddenButton="1"/>
    <filterColumn colId="3" hiddenButton="1"/>
  </autoFilter>
  <tableColumns count="4">
    <tableColumn id="1" xr3:uid="{6E91F37B-D66F-4A5A-8C05-010173554194}" name="Year(s)"/>
    <tableColumn id="2" xr3:uid="{644E3A63-B4F0-49A3-A62A-87AE30DD1D3D}" name="Data Source"/>
    <tableColumn id="3" xr3:uid="{7D420D69-FCD7-41C5-ACFD-B0D9FB0E7C0E}" name="Version"/>
    <tableColumn id="4" xr3:uid="{58E59A6F-4BCC-4066-BAAB-5136ABB48D23}" name="Update Date"/>
  </tableColumns>
  <tableStyleInfo name="TableStyleLight1" showFirstColumn="0" showLastColumn="0" showRowStripes="1" showColumnStripes="0"/>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8E904E-E7B1-410D-8352-E266EF12F5A8}" name="AgricultureEMissionsbyCategoryMMTCO2e" displayName="AgricultureEMissionsbyCategoryMMTCO2e" ref="A18:AI27" totalsRowShown="0" headerRowDxfId="749" dataDxfId="747" headerRowBorderDxfId="748" tableBorderDxfId="746" dataCellStyle="Comma">
  <autoFilter ref="A18:AI27" xr:uid="{278E904E-E7B1-410D-8352-E266EF12F5A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74D8986D-CF0A-46C5-929A-E8BD522D9E15}" name="Category" dataDxfId="745"/>
    <tableColumn id="2" xr3:uid="{C151CCCC-547C-4BF0-B141-2AA574320A27}" name="1990" dataDxfId="744" dataCellStyle="Comma"/>
    <tableColumn id="3" xr3:uid="{FA5D0975-97BA-44D4-8201-1B2B9F040EA5}" name="1991" dataDxfId="743" dataCellStyle="Comma"/>
    <tableColumn id="4" xr3:uid="{27C63B76-CA51-42C5-8F03-C76777A83887}" name="1992" dataDxfId="742" dataCellStyle="Comma"/>
    <tableColumn id="5" xr3:uid="{F66D146A-D544-4CF8-9F7F-388FF1D3394D}" name="1993" dataDxfId="741" dataCellStyle="Comma"/>
    <tableColumn id="6" xr3:uid="{10C65ADC-DA6A-4545-B31D-B33629F2431F}" name="1994" dataDxfId="740" dataCellStyle="Comma"/>
    <tableColumn id="7" xr3:uid="{652C9005-147B-42AE-A4BA-A3889C761FE9}" name="1995" dataDxfId="739" dataCellStyle="Comma"/>
    <tableColumn id="8" xr3:uid="{ABC28EEF-98C3-4DB2-9A43-542D59AABC3F}" name="1996" dataDxfId="738" dataCellStyle="Comma"/>
    <tableColumn id="9" xr3:uid="{CAC29613-FFBA-41BD-8E4E-70D0E6F7B714}" name="1997" dataDxfId="737" dataCellStyle="Comma"/>
    <tableColumn id="10" xr3:uid="{1CA156D2-DD10-4C94-ADD3-56AABB4C5B81}" name="1998" dataDxfId="736" dataCellStyle="Comma"/>
    <tableColumn id="11" xr3:uid="{79A1BBB3-2C49-4F31-AC4A-6E4607DFD66F}" name="1999" dataDxfId="735" dataCellStyle="Comma"/>
    <tableColumn id="12" xr3:uid="{A77C26E4-DE1A-4D0A-A36A-3182A588C8E5}" name="2000" dataDxfId="734" dataCellStyle="Comma"/>
    <tableColumn id="13" xr3:uid="{C971A4DD-3D16-403C-B2D7-94DE5307AB3B}" name="2001" dataDxfId="733" dataCellStyle="Comma"/>
    <tableColumn id="14" xr3:uid="{2AA8D5CB-754F-4CD5-A1E6-C116AEA5402A}" name="2002" dataDxfId="732" dataCellStyle="Comma"/>
    <tableColumn id="15" xr3:uid="{8C23ACF0-E861-4BE0-8F84-2F6AC0DB8B00}" name="2003" dataDxfId="731" dataCellStyle="Comma"/>
    <tableColumn id="16" xr3:uid="{8039E13F-B240-408F-8796-57491312B2EB}" name="2004" dataDxfId="730" dataCellStyle="Comma"/>
    <tableColumn id="17" xr3:uid="{B1533F55-3E46-4594-B27A-01AF898780E7}" name="2005" dataDxfId="729" dataCellStyle="Comma"/>
    <tableColumn id="18" xr3:uid="{F49D71E6-5605-402B-9FC9-D734FF1885FC}" name="2006" dataDxfId="728" dataCellStyle="Comma"/>
    <tableColumn id="19" xr3:uid="{FE85D9F7-E081-4F84-87A0-79829877382D}" name="2007" dataDxfId="727" dataCellStyle="Comma"/>
    <tableColumn id="20" xr3:uid="{38EEEE9B-1BDD-4EF4-93CF-6CB3C839D091}" name="2008" dataDxfId="726" dataCellStyle="Comma"/>
    <tableColumn id="21" xr3:uid="{47F9717F-BD4D-42AE-B0C3-EAFED0C59344}" name="2009" dataDxfId="725" dataCellStyle="Comma"/>
    <tableColumn id="22" xr3:uid="{9935E797-EF47-4EF8-AD02-15D376BE2B8C}" name="2010" dataDxfId="724" dataCellStyle="Comma"/>
    <tableColumn id="23" xr3:uid="{935180EA-7B03-4360-8E0E-FD56F115B0EB}" name="2011" dataDxfId="723" dataCellStyle="Comma"/>
    <tableColumn id="24" xr3:uid="{C938AA30-7DC4-4EDD-98B9-C4E6A90BA046}" name="2012" dataDxfId="722" dataCellStyle="Comma"/>
    <tableColumn id="25" xr3:uid="{C8FE37DF-682C-42B0-9A5B-E8788F0E36AE}" name="2013" dataDxfId="721" dataCellStyle="Comma"/>
    <tableColumn id="26" xr3:uid="{E6FB3BAC-1CDF-4668-8713-ED3218A1D8BD}" name="2014" dataDxfId="720" dataCellStyle="Comma"/>
    <tableColumn id="27" xr3:uid="{ECA60B5A-426B-4F36-9A7A-A1933DFDAFD5}" name="2015" dataDxfId="719" dataCellStyle="Comma"/>
    <tableColumn id="28" xr3:uid="{190308A9-DED1-466C-B0AB-1F79715C2EDB}" name="2016" dataDxfId="718" dataCellStyle="Comma"/>
    <tableColumn id="29" xr3:uid="{CA722326-0831-4A80-957B-557630B4F2AC}" name="2017" dataDxfId="717" dataCellStyle="Comma"/>
    <tableColumn id="30" xr3:uid="{4B0BDF87-2B3B-4B44-A210-77660779EA53}" name="2018" dataDxfId="716" dataCellStyle="Comma"/>
    <tableColumn id="31" xr3:uid="{8FE4DB13-7F72-411F-AF20-E76C681D9571}" name="2019" dataDxfId="715" dataCellStyle="Comma"/>
    <tableColumn id="32" xr3:uid="{32482F2F-F25D-4597-857F-6A042ED4B9B7}" name="2020" dataDxfId="714" dataCellStyle="Comma"/>
    <tableColumn id="33" xr3:uid="{A7F4EA4D-76A7-44C1-916E-15504290A6C7}" name="2021" dataDxfId="713" dataCellStyle="Comma"/>
    <tableColumn id="34" xr3:uid="{550011DA-B376-4C93-B81F-B36B675998CE}" name="2022" dataDxfId="712" dataCellStyle="Comma"/>
    <tableColumn id="35" xr3:uid="{2E643835-1154-40D8-9000-831492395F93}" name="2023" dataDxfId="711" dataCellStyle="Comma"/>
  </tableColumns>
  <tableStyleInfo name="TableStyleLight1" showFirstColumn="0" showLastColumn="0" showRowStripes="1" showColumnStripes="0"/>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2BE9336-FDB2-41CA-8473-D059561785E7}" name="AgIPCCAR4100YearGWPs" displayName="AgIPCCAR4100YearGWPs" ref="A54:B57" totalsRowShown="0" headerRowDxfId="710" dataDxfId="709">
  <autoFilter ref="A54:B57" xr:uid="{32BE9336-FDB2-41CA-8473-D059561785E7}">
    <filterColumn colId="0" hiddenButton="1"/>
    <filterColumn colId="1" hiddenButton="1"/>
  </autoFilter>
  <tableColumns count="2">
    <tableColumn id="1" xr3:uid="{77DC890D-0A77-4CE5-8516-637F6234D7F6}" name="GHG" dataDxfId="708"/>
    <tableColumn id="2" xr3:uid="{C41485EC-4FD2-4E6E-ABE2-DC41C25443EA}" name="GWP" dataDxfId="707"/>
  </tableColumns>
  <tableStyleInfo name="TableStyleLight1" showFirstColumn="0" showLastColumn="0" showRowStripes="1" showColumnStripes="0"/>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2E19918-D0B1-45C9-A89A-6F4DC63C879A}" name="AgricultureEmissionsbyGasMMTCO2e" displayName="AgricultureEmissionsbyGasMMTCO2e" ref="A46:AI51" totalsRowShown="0" headerRowDxfId="706" dataDxfId="705" dataCellStyle="Comma">
  <autoFilter ref="A46:AI51" xr:uid="{D2E19918-D0B1-45C9-A89A-6F4DC63C87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93F1DFD5-3014-4917-8C64-B91C82997759}" name="GHG" dataDxfId="704"/>
    <tableColumn id="2" xr3:uid="{E692397F-A0B3-49AD-A508-90532EAFACDD}" name="1990" dataDxfId="703" dataCellStyle="Comma"/>
    <tableColumn id="3" xr3:uid="{09CA3413-D1F6-41CA-8E58-1DB84D691DC1}" name="1991" dataDxfId="702" dataCellStyle="Comma"/>
    <tableColumn id="4" xr3:uid="{719B93B3-C44E-4DA0-A90D-522CB00A3F19}" name="1992" dataDxfId="701" dataCellStyle="Comma"/>
    <tableColumn id="5" xr3:uid="{538C1E99-1A0B-4C95-A694-49AE6FA3AD14}" name="1993" dataDxfId="700" dataCellStyle="Comma"/>
    <tableColumn id="6" xr3:uid="{DEBFC450-2761-4373-8EE1-EF4E5C8FFD49}" name="1994" dataDxfId="699" dataCellStyle="Comma"/>
    <tableColumn id="7" xr3:uid="{FE7CE9C2-0748-44CC-89A6-C9D50EA0D7CD}" name="1995" dataDxfId="698" dataCellStyle="Comma"/>
    <tableColumn id="8" xr3:uid="{15441F40-F280-45BA-B20F-73531E573762}" name="1996" dataDxfId="697" dataCellStyle="Comma"/>
    <tableColumn id="9" xr3:uid="{E8F93308-766C-4342-AAC9-A2FB6E8D8E10}" name="1997" dataDxfId="696" dataCellStyle="Comma"/>
    <tableColumn id="10" xr3:uid="{96AF6DAE-350A-4303-ADF8-FF2ED7263BF8}" name="1998" dataDxfId="695" dataCellStyle="Comma"/>
    <tableColumn id="11" xr3:uid="{3D23A0E4-44A7-4E50-8DF2-86EC6738B9D0}" name="1999" dataDxfId="694" dataCellStyle="Comma"/>
    <tableColumn id="12" xr3:uid="{51758CAE-1DEA-43AF-80FD-9A43D0FD94BA}" name="2000" dataDxfId="693" dataCellStyle="Comma"/>
    <tableColumn id="13" xr3:uid="{65173D03-DF65-46E9-A820-35D297D0BF04}" name="2001" dataDxfId="692" dataCellStyle="Comma"/>
    <tableColumn id="14" xr3:uid="{74E1BDCA-92C0-4972-9D9D-F84878845652}" name="2002" dataDxfId="691" dataCellStyle="Comma"/>
    <tableColumn id="15" xr3:uid="{FA3468CC-B4F0-4A4B-80DC-DEC0273E9111}" name="2003" dataDxfId="690" dataCellStyle="Comma"/>
    <tableColumn id="16" xr3:uid="{CD16786A-F077-41E9-BE1F-2C7DEDE05662}" name="2004" dataDxfId="689" dataCellStyle="Comma"/>
    <tableColumn id="17" xr3:uid="{892546E4-D2C7-4B33-9E75-E37A0C6A6A8B}" name="2005" dataDxfId="688" dataCellStyle="Comma"/>
    <tableColumn id="18" xr3:uid="{803AB714-241A-4676-ACDA-8D598CAEF049}" name="2006" dataDxfId="687" dataCellStyle="Comma"/>
    <tableColumn id="19" xr3:uid="{41506C03-1236-4B68-A411-8D7A7311E239}" name="2007" dataDxfId="686" dataCellStyle="Comma"/>
    <tableColumn id="20" xr3:uid="{60C24B15-F50D-44DB-B472-6C88359E0948}" name="2008" dataDxfId="685" dataCellStyle="Comma"/>
    <tableColumn id="21" xr3:uid="{46E8AE8C-AA17-440B-A3A4-FEDAE39E4688}" name="2009" dataDxfId="684" dataCellStyle="Comma"/>
    <tableColumn id="22" xr3:uid="{7B499A17-4ACB-4FED-ACB1-EF38B9B84975}" name="2010" dataDxfId="683" dataCellStyle="Comma"/>
    <tableColumn id="23" xr3:uid="{EC21236D-FDFD-4C8B-A73B-93732E6CF0A4}" name="2011" dataDxfId="682" dataCellStyle="Comma"/>
    <tableColumn id="24" xr3:uid="{80E064E6-435B-4793-A791-A840B50CAE79}" name="2012" dataDxfId="681" dataCellStyle="Comma"/>
    <tableColumn id="25" xr3:uid="{41675C19-63D8-4B0F-803F-3F7A2B3AD5B1}" name="2013" dataDxfId="680" dataCellStyle="Comma"/>
    <tableColumn id="26" xr3:uid="{E26984A7-AF05-4A8F-985A-F8F6B46EC351}" name="2014" dataDxfId="679" dataCellStyle="Comma"/>
    <tableColumn id="27" xr3:uid="{EDF02DD6-B0F4-4A6D-82C0-774A78F69DC9}" name="2015" dataDxfId="678" dataCellStyle="Comma"/>
    <tableColumn id="28" xr3:uid="{0454205C-40C5-4B39-9673-560917171712}" name="2016" dataDxfId="677" dataCellStyle="Comma"/>
    <tableColumn id="29" xr3:uid="{56319B7A-D926-4151-B2B7-594A63295855}" name="2017" dataDxfId="676" dataCellStyle="Comma"/>
    <tableColumn id="30" xr3:uid="{6DFD1B02-A758-41C6-9AB5-0FBA9873E5FA}" name="2018" dataDxfId="675" dataCellStyle="Comma"/>
    <tableColumn id="31" xr3:uid="{35A5AC98-F85D-4E4A-A027-6A7CE6CDCBD8}" name="2019" dataDxfId="674" dataCellStyle="Comma"/>
    <tableColumn id="32" xr3:uid="{CEE53F31-44A9-40D8-A907-A9C0495F70C5}" name="2020" dataDxfId="673" dataCellStyle="Comma"/>
    <tableColumn id="33" xr3:uid="{AA61500B-DC74-4250-B453-CB3641FD5D30}" name="2021" dataDxfId="672" dataCellStyle="Comma"/>
    <tableColumn id="34" xr3:uid="{A16E20E9-10C8-4F9D-9CE4-7F95C43B73D6}" name="2022" dataDxfId="671" dataCellStyle="Comma"/>
    <tableColumn id="35" xr3:uid="{A73F1B63-B382-43BC-98B2-A7287AFEF728}" name="2023" dataDxfId="670" dataCellStyle="Comma"/>
  </tableColumns>
  <tableStyleInfo name="TableStyleLight1" showFirstColumn="0" showLastColumn="0" showRowStripes="1" showColumnStripes="0"/>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0BE1F9B-A83B-4A10-BEF9-89C735CFBC0C}" name="AgricultureEmissionbyGasMMTCO2MMTCH4MMTN2O" displayName="AgricultureEmissionbyGasMMTCO2MMTCH4MMTN2O" ref="A30:AI43" totalsRowShown="0" headerRowDxfId="669" dataDxfId="667" headerRowBorderDxfId="668" tableBorderDxfId="666" dataCellStyle="Comma">
  <autoFilter ref="A30:AI43" xr:uid="{20BE1F9B-A83B-4A10-BEF9-89C735CFBC0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05F3B0EE-EA88-4D18-89A3-9D03F22FA64A}" name="GHG/Subsector" dataDxfId="665"/>
    <tableColumn id="2" xr3:uid="{000AFC2E-988D-41EC-8581-093E8FC39427}" name="1990" dataDxfId="664" dataCellStyle="Comma"/>
    <tableColumn id="3" xr3:uid="{93AC5793-8D9A-4E49-8141-D7808383ED27}" name="1991" dataDxfId="663" dataCellStyle="Comma"/>
    <tableColumn id="4" xr3:uid="{BEFD8B3A-C6D8-4B46-8DAD-1D5C1A651E02}" name="1992" dataDxfId="662" dataCellStyle="Comma"/>
    <tableColumn id="5" xr3:uid="{59AE0BD4-81ED-4A3E-B21C-5AC77B778341}" name="1993" dataDxfId="661" dataCellStyle="Comma"/>
    <tableColumn id="6" xr3:uid="{B046CEEF-9E57-4E66-902A-7D6278495E19}" name="1994" dataDxfId="660" dataCellStyle="Comma"/>
    <tableColumn id="7" xr3:uid="{E5697BC2-0590-4607-920A-58E9FAEDFE1E}" name="1995" dataDxfId="659" dataCellStyle="Comma"/>
    <tableColumn id="8" xr3:uid="{9654D09C-8F6C-4FF3-9DD9-2773281DF25D}" name="1996" dataDxfId="658" dataCellStyle="Comma"/>
    <tableColumn id="9" xr3:uid="{308807F9-0189-413D-BF91-4FD1A702F08F}" name="1997" dataDxfId="657" dataCellStyle="Comma"/>
    <tableColumn id="10" xr3:uid="{134783F1-1859-4831-BA50-A745CFCDC8EA}" name="1998" dataDxfId="656" dataCellStyle="Comma"/>
    <tableColumn id="11" xr3:uid="{208130EE-3418-4D53-8D58-027F98C7E044}" name="1999" dataDxfId="655" dataCellStyle="Comma"/>
    <tableColumn id="12" xr3:uid="{813E62CB-D1FC-46CE-A67E-6B2EAB06F891}" name="2000" dataDxfId="654" dataCellStyle="Comma"/>
    <tableColumn id="13" xr3:uid="{01AD6C23-5E60-44FA-9EED-B09FE7D12EF1}" name="2001" dataDxfId="653" dataCellStyle="Comma"/>
    <tableColumn id="14" xr3:uid="{702DA227-DF14-4EA2-9CB0-786065994D11}" name="2002" dataDxfId="652" dataCellStyle="Comma"/>
    <tableColumn id="15" xr3:uid="{DD10AEA9-CDC8-4A65-8B0C-16A5BA1BC166}" name="2003" dataDxfId="651" dataCellStyle="Comma"/>
    <tableColumn id="16" xr3:uid="{9E1CAD1B-2407-4752-94D8-DF91FDEE0B54}" name="2004" dataDxfId="650" dataCellStyle="Comma"/>
    <tableColumn id="17" xr3:uid="{380816BD-191C-4AD6-A5EB-17E26FAAC213}" name="2005" dataDxfId="649" dataCellStyle="Comma"/>
    <tableColumn id="18" xr3:uid="{A95D4A26-A41F-4239-B719-859D101355EE}" name="2006" dataDxfId="648" dataCellStyle="Comma"/>
    <tableColumn id="19" xr3:uid="{D3E604EB-2FF2-414A-BE84-4BDF9D9B2D4F}" name="2007" dataDxfId="647" dataCellStyle="Comma"/>
    <tableColumn id="20" xr3:uid="{DE83E02D-69A1-479E-A955-83BAFCDD04AC}" name="2008" dataDxfId="646" dataCellStyle="Comma"/>
    <tableColumn id="21" xr3:uid="{8F167BE3-FE0B-4C60-84B8-EB5F87282CB5}" name="2009" dataDxfId="645" dataCellStyle="Comma"/>
    <tableColumn id="22" xr3:uid="{298AB245-484E-4889-AB5D-4E7F35132F9B}" name="2010" dataDxfId="644" dataCellStyle="Comma"/>
    <tableColumn id="23" xr3:uid="{B8F3C46B-0584-40B1-987D-C401B60C61ED}" name="2011" dataDxfId="643" dataCellStyle="Comma"/>
    <tableColumn id="24" xr3:uid="{64A6C174-6BD3-4841-8804-E213CDDA7216}" name="2012" dataDxfId="642" dataCellStyle="Comma"/>
    <tableColumn id="25" xr3:uid="{4212461F-0C2D-484E-A399-82B8B357CB50}" name="2013" dataDxfId="641" dataCellStyle="Comma"/>
    <tableColumn id="26" xr3:uid="{710FCDE3-5B09-4C66-9EF3-730730F44A88}" name="2014" dataDxfId="640" dataCellStyle="Comma"/>
    <tableColumn id="27" xr3:uid="{2BD6914E-6C7C-4559-A0CF-2A126B6E8FE4}" name="2015" dataDxfId="639" dataCellStyle="Comma"/>
    <tableColumn id="28" xr3:uid="{1C451524-890C-458A-B2C6-845D57B7316D}" name="2016" dataDxfId="638" dataCellStyle="Comma"/>
    <tableColumn id="29" xr3:uid="{DB38DFA2-0AB5-4B56-BCA8-0AD370D7A5D6}" name="2017" dataDxfId="637" dataCellStyle="Comma"/>
    <tableColumn id="30" xr3:uid="{D9E109CC-74E8-4BAB-B52D-25045E84C104}" name="2018" dataDxfId="636" dataCellStyle="Comma"/>
    <tableColumn id="31" xr3:uid="{FDC941F5-3C60-4F5D-81A0-59F7D77B873D}" name="2019" dataDxfId="635" dataCellStyle="Comma"/>
    <tableColumn id="32" xr3:uid="{4598166C-CFC5-4030-98EB-04086AEFE566}" name="2020" dataDxfId="634" dataCellStyle="Comma"/>
    <tableColumn id="33" xr3:uid="{8F9F4A4B-5E2D-4030-A888-DA4EBBEDF126}" name="2021" dataDxfId="633" dataCellStyle="Comma"/>
    <tableColumn id="34" xr3:uid="{4EF19353-0D30-4340-8A9D-F006A33121C7}" name="2022" dataDxfId="632" dataCellStyle="Comma"/>
    <tableColumn id="35" xr3:uid="{A93B63D6-197A-44AD-9F11-975862800DC7}" name="2023" dataDxfId="631" dataCellStyle="Comma"/>
  </tableColumns>
  <tableStyleInfo name="TableStyleLight1" showFirstColumn="0" showLastColumn="0" showRowStripes="1" showColumnStripes="0"/>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E39D5913-F990-47C6-A1F9-D2584CAEA127}" name="DATAforAgriculture" displayName="DATAforAgriculture" ref="A6:D9" totalsRowShown="0" headerRowDxfId="630" headerRowBorderDxfId="629" tableBorderDxfId="628">
  <autoFilter ref="A6:D9" xr:uid="{E39D5913-F990-47C6-A1F9-D2584CAEA127}">
    <filterColumn colId="0" hiddenButton="1"/>
    <filterColumn colId="1" hiddenButton="1"/>
    <filterColumn colId="2" hiddenButton="1"/>
    <filterColumn colId="3" hiddenButton="1"/>
  </autoFilter>
  <tableColumns count="4">
    <tableColumn id="1" xr3:uid="{2B47792F-ECD5-41C7-8A90-44CA18B5A73B}" name="Year(s)"/>
    <tableColumn id="2" xr3:uid="{00E7AEDC-AE7A-4DF6-8351-FEFB83E923CD}" name="Data Source"/>
    <tableColumn id="3" xr3:uid="{6DAA279B-DFDE-4A45-B36E-5B1EEBA3BBCD}" name="Version"/>
    <tableColumn id="4" xr3:uid="{E8469221-C211-4359-B05B-85E0DD790756}" name="Update Date"/>
  </tableColumns>
  <tableStyleInfo name="TableStyleLight1" showFirstColumn="0" showLastColumn="0" showRowStripes="1" showColumnStripes="0"/>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E3B28BE-6196-4FFE-A6A7-F4219EB03054}" name="VariablesforSepticCH4" displayName="VariablesforSepticCH4" ref="A83:C90" totalsRowShown="0" headerRowDxfId="627">
  <autoFilter ref="A83:C90" xr:uid="{4E3B28BE-6196-4FFE-A6A7-F4219EB03054}">
    <filterColumn colId="0" hiddenButton="1"/>
    <filterColumn colId="1" hiddenButton="1"/>
    <filterColumn colId="2" hiddenButton="1"/>
  </autoFilter>
  <tableColumns count="3">
    <tableColumn id="1" xr3:uid="{AF89AF1D-A7FC-467C-81FF-644839714AB1}" name="variable" dataDxfId="626"/>
    <tableColumn id="2" xr3:uid="{504E70A4-90F3-4714-8DCD-A073290C2ECE}" name="value" dataDxfId="625"/>
    <tableColumn id="3" xr3:uid="{7FE78735-2329-4B10-957E-D146F7EF470B}" name="units" dataDxfId="624"/>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26B6B352-6B40-46A0-BCD9-28AD578549D8}" name="MAN2OEmissionsBySectorMMTCO2e" displayName="MAN2OEmissionsBySectorMMTCO2e" ref="A145:AI157" totalsRowShown="0" headerRowDxfId="5079" dataDxfId="5077" headerRowBorderDxfId="5078" tableBorderDxfId="5076">
  <autoFilter ref="A145:AI157" xr:uid="{26B6B352-6B40-46A0-BCD9-28AD578549D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FDD5E458-5EF9-4596-9146-69A5BD221C67}" name="Sector" dataDxfId="5075"/>
    <tableColumn id="2" xr3:uid="{44364CA0-7755-4029-A5F2-7C8DA4449900}" name="1990" dataDxfId="5074"/>
    <tableColumn id="3" xr3:uid="{2A44DF60-A821-48BA-B1DB-1D7E3E07696A}" name="1991" dataDxfId="5073"/>
    <tableColumn id="4" xr3:uid="{DE72B38B-A9BB-45AE-8D86-B39F679CA591}" name="1992" dataDxfId="5072"/>
    <tableColumn id="5" xr3:uid="{097272F7-36AA-45FC-AE22-50E30E0A71AA}" name="1993" dataDxfId="5071"/>
    <tableColumn id="6" xr3:uid="{986B5BF5-B562-49C3-B936-B7FE3467C0D8}" name="1994" dataDxfId="5070"/>
    <tableColumn id="7" xr3:uid="{9A33A20D-BDA2-499C-BB2D-59572766D3C9}" name="1995" dataDxfId="5069"/>
    <tableColumn id="8" xr3:uid="{A7183AB0-DA04-41F5-95A1-35BA8046B30E}" name="1996" dataDxfId="5068"/>
    <tableColumn id="9" xr3:uid="{A50C8A31-3B07-4DC8-9CA0-244E0F27061B}" name="1997" dataDxfId="5067"/>
    <tableColumn id="10" xr3:uid="{AC45517B-75F6-4E5F-B65F-42597D9FC4A5}" name="1998" dataDxfId="5066"/>
    <tableColumn id="11" xr3:uid="{D02ECBF7-3802-47E0-8B1B-EC4613E667CE}" name="1999" dataDxfId="5065"/>
    <tableColumn id="12" xr3:uid="{6F8A7E58-6F3A-4981-BB6F-27CAF7D8F992}" name="2000" dataDxfId="5064"/>
    <tableColumn id="13" xr3:uid="{EE99C805-EE39-43DF-A05E-37E3533DAFDF}" name="2001" dataDxfId="5063"/>
    <tableColumn id="14" xr3:uid="{D730BD82-22C8-4805-874D-2BD2FC561C20}" name="2002" dataDxfId="5062"/>
    <tableColumn id="15" xr3:uid="{2C235133-4C11-4DCB-B881-D08C48191C95}" name="2003" dataDxfId="5061"/>
    <tableColumn id="16" xr3:uid="{18FAC766-C783-4FF5-A2BA-26188451D761}" name="2004" dataDxfId="5060"/>
    <tableColumn id="17" xr3:uid="{1019638F-06DB-4BB8-9B84-7B1BF26FDEC9}" name="2005" dataDxfId="5059"/>
    <tableColumn id="18" xr3:uid="{23A6B27E-E39B-49BA-934C-D729858BAF28}" name="2006" dataDxfId="5058"/>
    <tableColumn id="19" xr3:uid="{AAB7A0C1-B5D3-42D7-AD99-30C0E20137B5}" name="2007" dataDxfId="5057"/>
    <tableColumn id="20" xr3:uid="{A33925A7-3212-43A2-8C94-394751BF4BE0}" name="2008" dataDxfId="5056"/>
    <tableColumn id="21" xr3:uid="{852893BE-E7E4-471F-B845-ED5B36A62ACF}" name="2009" dataDxfId="5055"/>
    <tableColumn id="22" xr3:uid="{0F6EC219-24B0-4C71-8923-FB12B3415249}" name="2010" dataDxfId="5054"/>
    <tableColumn id="23" xr3:uid="{6A709285-A8F6-4BBF-8A4E-2DF501577F8A}" name="2011" dataDxfId="5053"/>
    <tableColumn id="24" xr3:uid="{8DC0D815-082A-4413-BA9C-F940781A4148}" name="2012" dataDxfId="5052"/>
    <tableColumn id="25" xr3:uid="{38E06E8F-0220-4B08-820E-91D76782216A}" name="2013" dataDxfId="5051"/>
    <tableColumn id="26" xr3:uid="{E7143F8F-3CC1-4537-A6FD-CCF8E7A7817A}" name="2014" dataDxfId="5050"/>
    <tableColumn id="27" xr3:uid="{A7999DDA-ACED-454F-951A-BE5C7C1B1B1B}" name="2015" dataDxfId="5049"/>
    <tableColumn id="28" xr3:uid="{F0CB5911-664F-4CE2-9C46-EF3731DF8750}" name="2016" dataDxfId="5048"/>
    <tableColumn id="29" xr3:uid="{19156F69-020A-466A-BFC5-5D01423B24A2}" name="2017" dataDxfId="5047"/>
    <tableColumn id="30" xr3:uid="{4116F8C1-74E5-4597-9F7D-BE808009169D}" name="2018" dataDxfId="5046"/>
    <tableColumn id="31" xr3:uid="{A62FAABD-6359-4D3D-A377-95269C9F22D2}" name="2019" dataDxfId="5045"/>
    <tableColumn id="32" xr3:uid="{B65824CD-DE40-424B-8C35-ADCBEF603120}" name="2020" dataDxfId="5044"/>
    <tableColumn id="33" xr3:uid="{7A05F0E5-60EC-404C-B3C2-9895EB38C6FD}" name="2021" dataDxfId="5043"/>
    <tableColumn id="34" xr3:uid="{2738AFB6-E76F-4C31-8EEC-AC59CCE13DA8}" name="2022" dataDxfId="5042"/>
    <tableColumn id="35" xr3:uid="{8340A84E-053F-4365-B198-B581A941A1AC}" name="2023" dataDxfId="5041"/>
  </tableColumns>
  <tableStyleInfo name="TableStyleLight1" showFirstColumn="0" showLastColumn="0" showRowStripes="1" showColumnStripes="0"/>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71ED764-B807-4D8A-8FE3-7AB40C0E44D5}" name="VariablesforWWTPCH4" displayName="VariablesforWWTPCH4" ref="A109:C114" totalsRowShown="0" headerRowDxfId="623">
  <autoFilter ref="A109:C114" xr:uid="{771ED764-B807-4D8A-8FE3-7AB40C0E44D5}">
    <filterColumn colId="0" hiddenButton="1"/>
    <filterColumn colId="1" hiddenButton="1"/>
    <filterColumn colId="2" hiddenButton="1"/>
  </autoFilter>
  <tableColumns count="3">
    <tableColumn id="1" xr3:uid="{9556EF0D-4742-4CE4-9C11-0F36B5D9CBB8}" name="variable" dataDxfId="622"/>
    <tableColumn id="2" xr3:uid="{D1AFE176-862F-4D00-9775-451FA5DD0E34}" name="value" dataDxfId="621"/>
    <tableColumn id="3" xr3:uid="{64313941-F5C0-4F94-9FE1-9233D51EA0E8}" name="units" dataDxfId="620"/>
  </tableColumns>
  <tableStyleInfo name="TableStyleLight1" showFirstColumn="0" showLastColumn="0" showRowStripes="1" showColumnStripes="0"/>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226672B-12D6-4159-BC25-1F2A9E6367B4}" name="VariablesforWWTPN2O" displayName="VariablesforWWTPN2O" ref="A117:C119" totalsRowShown="0" headerRowDxfId="619">
  <autoFilter ref="A117:C119" xr:uid="{F226672B-12D6-4159-BC25-1F2A9E6367B4}">
    <filterColumn colId="0" hiddenButton="1"/>
    <filterColumn colId="1" hiddenButton="1"/>
    <filterColumn colId="2" hiddenButton="1"/>
  </autoFilter>
  <tableColumns count="3">
    <tableColumn id="1" xr3:uid="{C9E45684-E5BB-4AA7-91F3-7772A1BB5314}" name="variable" dataDxfId="618"/>
    <tableColumn id="2" xr3:uid="{38CBEA73-3751-48D2-B71B-7DC53EF82D87}" name="value" dataDxfId="617"/>
    <tableColumn id="3" xr3:uid="{126466DA-970C-41C1-A304-21F14E3D25F9}" name="units" dataDxfId="616"/>
  </tableColumns>
  <tableStyleInfo name="TableStyleLight1" showFirstColumn="0" showLastColumn="0" showRowStripes="1" showColumnStripes="0"/>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4DFBBDC-863A-444C-903C-CAC4B18336B9}" name="VariablesforEffluentN2O" displayName="VariablesforEffluentN2O" ref="A122:C126" totalsRowShown="0" headerRowDxfId="615" headerRowBorderDxfId="614" tableBorderDxfId="613">
  <autoFilter ref="A122:C126" xr:uid="{44DFBBDC-863A-444C-903C-CAC4B18336B9}">
    <filterColumn colId="0" hiddenButton="1"/>
    <filterColumn colId="1" hiddenButton="1"/>
    <filterColumn colId="2" hiddenButton="1"/>
  </autoFilter>
  <tableColumns count="3">
    <tableColumn id="1" xr3:uid="{37D72AA7-E4DD-4308-96C3-9F988D50435F}" name="variable" dataDxfId="612"/>
    <tableColumn id="2" xr3:uid="{FDE32DAD-EAFB-486F-98B1-5A93011F9E7D}" name="value" dataDxfId="611"/>
    <tableColumn id="3" xr3:uid="{D77797E9-5092-490A-ADD6-8095C9EA853D}" name="units" dataDxfId="610"/>
  </tableColumns>
  <tableStyleInfo name="TableStyleLight1" showFirstColumn="0" showLastColumn="0" showRowStripes="1" showColumnStripes="0"/>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8A476AB-DB4F-47E1-B2B2-A790E461054C}" name="WWIPCCAR4100YearGWPs" displayName="WWIPCCAR4100YearGWPs" ref="A129:B132" totalsRowShown="0" headerRowDxfId="609">
  <autoFilter ref="A129:B132" xr:uid="{F8A476AB-DB4F-47E1-B2B2-A790E461054C}">
    <filterColumn colId="0" hiddenButton="1"/>
    <filterColumn colId="1" hiddenButton="1"/>
  </autoFilter>
  <tableColumns count="2">
    <tableColumn id="1" xr3:uid="{F4780858-7E01-4152-9F12-E00057F4525A}" name="GHG" dataDxfId="608"/>
    <tableColumn id="2" xr3:uid="{4E3A7BAF-C5AB-499A-884E-1355B6F5106F}" name="GWP" dataDxfId="607"/>
  </tableColumns>
  <tableStyleInfo name="TableStyleLight1" showFirstColumn="0" showLastColumn="0" showRowStripes="1" showColumnStripes="0"/>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AC362FE-FF4F-4357-AA5D-8D299B05A577}" name="WastewaterEmissionsMMTCO2e" displayName="WastewaterEmissionsMMTCO2e" ref="A26:AI38" totalsRowShown="0" headerRowDxfId="606" dataDxfId="605">
  <autoFilter ref="A26:AI38" xr:uid="{7AC362FE-FF4F-4357-AA5D-8D299B05A57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DA06909D-78AB-4FF4-81DE-337DA8005164}" name="Type" dataDxfId="604"/>
    <tableColumn id="2" xr3:uid="{60B2482A-2276-4E09-A01E-01AA4A690B3C}" name="1990" dataDxfId="603"/>
    <tableColumn id="3" xr3:uid="{152CE0A9-97C5-4318-96DA-E2A82C26A70D}" name="1991" dataDxfId="602"/>
    <tableColumn id="4" xr3:uid="{3762222B-44AC-413E-83E3-45C0AAC1A8B5}" name="1992" dataDxfId="601"/>
    <tableColumn id="5" xr3:uid="{16BC002A-CFF5-4FB7-9A2B-72C4A24F9A21}" name="1993" dataDxfId="600"/>
    <tableColumn id="6" xr3:uid="{F8BB0A09-AFB7-45D7-865C-7399C3D6DD3C}" name="1994" dataDxfId="599"/>
    <tableColumn id="7" xr3:uid="{4312A882-32F0-4FC6-AB93-3A5A30019407}" name="1995" dataDxfId="598"/>
    <tableColumn id="8" xr3:uid="{A7D23D31-49E1-42C5-932C-2CBED9F12903}" name="1996" dataDxfId="597"/>
    <tableColumn id="9" xr3:uid="{9B37A6D8-51EC-4875-B9B5-F65906A3D83A}" name="1997" dataDxfId="596"/>
    <tableColumn id="10" xr3:uid="{197C179F-87F3-4481-BA72-0BD794532CC4}" name="1998" dataDxfId="595"/>
    <tableColumn id="11" xr3:uid="{E18D7DC8-2247-47AD-AE74-47B30AA6F93E}" name="1999" dataDxfId="594"/>
    <tableColumn id="12" xr3:uid="{F14891B6-6A76-4FA8-A034-2AFF02E11A18}" name="2000" dataDxfId="593"/>
    <tableColumn id="13" xr3:uid="{17438C11-CD43-4B30-9A3B-1E29848125C5}" name="2001" dataDxfId="592"/>
    <tableColumn id="14" xr3:uid="{510A5FA9-26D4-4303-BF63-8BE250C2AA5C}" name="2002" dataDxfId="591"/>
    <tableColumn id="15" xr3:uid="{C5B5DD9C-807E-46C8-8C07-E306CFAB3694}" name="2003" dataDxfId="590"/>
    <tableColumn id="16" xr3:uid="{60E92493-1B62-4251-8B24-5CE254398656}" name="2004" dataDxfId="589"/>
    <tableColumn id="17" xr3:uid="{E29C044C-8DFF-443B-BCAE-3E3251DF729B}" name="2005" dataDxfId="588"/>
    <tableColumn id="18" xr3:uid="{89FE7AE4-62F2-4225-8F3E-EA42BA33E3C7}" name="2006" dataDxfId="587"/>
    <tableColumn id="19" xr3:uid="{0425B078-5320-4641-AD9B-01DEFA2C3273}" name="2007" dataDxfId="586"/>
    <tableColumn id="20" xr3:uid="{3F6B7066-CE4F-4658-838C-0EAF559A1061}" name="2008" dataDxfId="585"/>
    <tableColumn id="21" xr3:uid="{67FC2B1B-E415-464F-AB34-4B47541C185C}" name="2009" dataDxfId="584"/>
    <tableColumn id="22" xr3:uid="{4E8361FA-E710-4383-88D0-0945A3C2EA76}" name="2010" dataDxfId="583"/>
    <tableColumn id="23" xr3:uid="{0C7AD214-3B52-4BF0-B034-26E9B75DD543}" name="2011" dataDxfId="582"/>
    <tableColumn id="24" xr3:uid="{DF09D548-9793-4D89-B865-2B1D47EDFA98}" name="2012" dataDxfId="581"/>
    <tableColumn id="25" xr3:uid="{A80BC424-D017-45CE-BE27-27F38380B9E0}" name="2013" dataDxfId="580"/>
    <tableColumn id="26" xr3:uid="{DA0FE156-F7D4-4F4A-94B7-EC364EB633A7}" name="2014" dataDxfId="579"/>
    <tableColumn id="27" xr3:uid="{D9D7D6D7-0BBA-4B7A-BBCE-1DD15CFD232B}" name="2015" dataDxfId="578"/>
    <tableColumn id="28" xr3:uid="{10008D45-A72C-46DF-9092-120EBA33D006}" name="2016" dataDxfId="577"/>
    <tableColumn id="29" xr3:uid="{58123D29-53AB-49B2-8F5E-C0A79FACD7F4}" name="2017" dataDxfId="576"/>
    <tableColumn id="30" xr3:uid="{7F3F5770-C357-4E28-8F4D-AA782B6AAB0D}" name="2018" dataDxfId="575"/>
    <tableColumn id="31" xr3:uid="{E186277F-6BA7-4F7A-B88A-A4A5C3752618}" name="2019" dataDxfId="574"/>
    <tableColumn id="32" xr3:uid="{38864343-C7C1-40B9-B73C-13DC14A64DF8}" name="2020" dataDxfId="573"/>
    <tableColumn id="33" xr3:uid="{221BBEE3-91ED-456E-96B9-03C7649C3F84}" name="2021" dataDxfId="572"/>
    <tableColumn id="34" xr3:uid="{ECE72DE9-D7C0-4462-BD1D-4B9FC8314F81}" name="2022" dataDxfId="571"/>
    <tableColumn id="35" xr3:uid="{04DC2F2E-DDD8-4599-86F5-B8F733B72255}" name="2023" dataDxfId="570"/>
  </tableColumns>
  <tableStyleInfo name="TableStyleLight1" showFirstColumn="0" showLastColumn="0" showRowStripes="1" showColumnStripes="0"/>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F23E21B-8A0A-4B3F-83D7-44D431FF9A20}" name="PopulationDataandCalculationsforUpdatedMethodologyBeginning2000" displayName="PopulationDataandCalculationsforUpdatedMethodologyBeginning2000" ref="A53:AI63" totalsRowShown="0" headerRowDxfId="569" dataDxfId="568" tableBorderDxfId="567" dataCellStyle="Comma">
  <autoFilter ref="A53:AI63" xr:uid="{AF23E21B-8A0A-4B3F-83D7-44D431FF9A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940CBF7A-C3AF-457C-8DB8-F79BEBF272A9}" name="Region or Town" dataDxfId="566"/>
    <tableColumn id="2" xr3:uid="{7956AECD-0128-47C0-B21D-534EA9436D42}" name="1990" dataDxfId="565"/>
    <tableColumn id="3" xr3:uid="{366258BD-9B06-47BD-B6A7-9E5A55E2B8C9}" name="1991" dataDxfId="564"/>
    <tableColumn id="4" xr3:uid="{21AC5FDA-5FC4-4C06-8E75-977CB946EE49}" name="1992" dataDxfId="563"/>
    <tableColumn id="5" xr3:uid="{3ED09208-103E-4641-BD89-8DAF1ED1D130}" name="1993" dataDxfId="562"/>
    <tableColumn id="6" xr3:uid="{D2E86BFB-5340-4146-A1B3-9ED6B10CA90C}" name="1994" dataDxfId="561"/>
    <tableColumn id="7" xr3:uid="{F1FEF1A4-7CB3-49CC-8775-E858CBAB764F}" name="1995" dataDxfId="560"/>
    <tableColumn id="8" xr3:uid="{73D51657-4ACF-4296-8175-548B448C5C17}" name="1996" dataDxfId="559"/>
    <tableColumn id="9" xr3:uid="{E3EC2B3F-C4BC-40BC-880F-D444BB0FFB8A}" name="1997" dataDxfId="558"/>
    <tableColumn id="10" xr3:uid="{85F1E1A1-3F7F-46F3-87FC-C985D0D41630}" name="1998" dataDxfId="557"/>
    <tableColumn id="11" xr3:uid="{622D0D4B-2494-472B-83FC-C3A22BC53182}" name="1999" dataDxfId="556"/>
    <tableColumn id="12" xr3:uid="{150E6991-8872-4B40-8427-7665DBF7DFAD}" name="2000" dataDxfId="555"/>
    <tableColumn id="13" xr3:uid="{211A1EDA-6749-4E61-B0BA-7A0277B60FA6}" name="2001" dataDxfId="554"/>
    <tableColumn id="14" xr3:uid="{11B23B12-5242-4CEB-9DCD-61AEC9ECFAAF}" name="2002" dataDxfId="553"/>
    <tableColumn id="15" xr3:uid="{0381E59F-FBB3-4D8B-A156-0F6901729B1E}" name="2003" dataDxfId="552"/>
    <tableColumn id="16" xr3:uid="{FD684508-2BA2-491E-8D24-E30F0C4B5DC6}" name="2004" dataDxfId="551"/>
    <tableColumn id="17" xr3:uid="{8A19CC86-7B5F-4F6F-9BE9-CA5F5D1EA162}" name="2005" dataDxfId="550"/>
    <tableColumn id="18" xr3:uid="{4EBFBE6A-B260-4ECC-959A-34C767048A27}" name="2006" dataDxfId="549"/>
    <tableColumn id="19" xr3:uid="{02753F9B-A48A-481A-965B-A507D4638449}" name="2007" dataDxfId="548"/>
    <tableColumn id="20" xr3:uid="{03E77FF1-22DC-41E1-9DE3-17B4B18E28D4}" name="2008" dataDxfId="547"/>
    <tableColumn id="21" xr3:uid="{3B62208E-9C44-46D9-ADC5-1139BE9DCAF6}" name="2009" dataDxfId="546"/>
    <tableColumn id="22" xr3:uid="{04A6402E-AB17-4D0E-8CA5-A56F6468CC59}" name="2010" dataDxfId="545" dataCellStyle="Comma"/>
    <tableColumn id="23" xr3:uid="{E66AA632-1C70-4300-9653-217ABE1DBAA1}" name="2011" dataDxfId="544" dataCellStyle="Comma"/>
    <tableColumn id="24" xr3:uid="{6903A8FB-0274-41E5-B926-8DB8F200C767}" name="2012" dataDxfId="543" dataCellStyle="Comma"/>
    <tableColumn id="25" xr3:uid="{9AE4C008-918A-4EB4-9F68-6A393C328017}" name="2013" dataDxfId="542" dataCellStyle="Comma"/>
    <tableColumn id="26" xr3:uid="{26390E00-6D72-4529-9A09-3081E584E85D}" name="2014" dataDxfId="541" dataCellStyle="Comma"/>
    <tableColumn id="27" xr3:uid="{06DB391A-A087-4EBC-B439-BF548EAF3696}" name="2015" dataDxfId="540" dataCellStyle="Comma"/>
    <tableColumn id="28" xr3:uid="{3A91ADCB-DA59-4645-8356-0D52DF2CA9AB}" name="2016" dataDxfId="539" dataCellStyle="Comma"/>
    <tableColumn id="29" xr3:uid="{A703DA19-4F7E-47EF-A473-09F11C9C6D3A}" name="2017" dataDxfId="538" dataCellStyle="Comma"/>
    <tableColumn id="30" xr3:uid="{15CABBAD-8FDD-4193-9F2F-7D43B3D9D524}" name="2018" dataDxfId="537" dataCellStyle="Comma"/>
    <tableColumn id="31" xr3:uid="{B4839A7A-F429-47E0-8EEB-E9DECED5297B}" name="2019" dataDxfId="536" dataCellStyle="Comma"/>
    <tableColumn id="32" xr3:uid="{A3C849C6-79F3-4F5F-8517-FFE421C53B01}" name="2020" dataDxfId="535" dataCellStyle="Comma"/>
    <tableColumn id="33" xr3:uid="{5FA3E422-E1EA-4E88-B048-0A3E6205235B}" name="2021" dataDxfId="534" dataCellStyle="Comma"/>
    <tableColumn id="34" xr3:uid="{61D3C981-BBC0-41AC-BC66-658DA6E7A2E3}" name="2022" dataDxfId="533" dataCellStyle="Comma"/>
    <tableColumn id="35" xr3:uid="{443A7836-5884-474B-9376-BDEBA5EA887A}" name="2023" dataDxfId="532" dataCellStyle="Comma"/>
  </tableColumns>
  <tableStyleInfo name="TableStyleLight1" showFirstColumn="0" showLastColumn="0" showRowStripes="1" showColumnStripes="0"/>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15DA428-279A-4356-BD1C-099AD7988D76}" name="UpdatedMethodologyforWastewaterCalculationsBeginning2000inMT" displayName="UpdatedMethodologyforWastewaterCalculationsBeginning2000inMT" ref="A44:AI49" totalsRowShown="0" headerRowDxfId="531" dataDxfId="530" tableBorderDxfId="529" dataCellStyle="Comma">
  <autoFilter ref="A44:AI49" xr:uid="{715DA428-279A-4356-BD1C-099AD7988D7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D70E1C4D-293A-494F-B066-39F1244C43C6}" name="calculations" dataDxfId="528"/>
    <tableColumn id="2" xr3:uid="{DA7D72BC-FAB7-44E3-930B-98960CC9C931}" name="1990" dataDxfId="527"/>
    <tableColumn id="3" xr3:uid="{422D0E41-3AB0-4024-815C-1768C8B360DE}" name="1991" dataDxfId="526"/>
    <tableColumn id="4" xr3:uid="{A77B5287-DF32-4F29-BD25-D8EBEC666FEB}" name="1992" dataDxfId="525"/>
    <tableColumn id="5" xr3:uid="{5CB6C425-FF11-45DB-88DC-1CBEDBD97C39}" name="1993" dataDxfId="524"/>
    <tableColumn id="6" xr3:uid="{15D9B35F-9041-49FA-9E88-DF7C68561AB8}" name="1994" dataDxfId="523"/>
    <tableColumn id="7" xr3:uid="{838153F9-3ED0-4BA5-B198-B0501BA8C2E3}" name="1995" dataDxfId="522"/>
    <tableColumn id="8" xr3:uid="{26560210-4B59-45D4-90DD-936ECBA7E38B}" name="1996" dataDxfId="521"/>
    <tableColumn id="9" xr3:uid="{7AFDB97F-0B4E-4907-B8C2-2CB6199F9708}" name="1997" dataDxfId="520"/>
    <tableColumn id="10" xr3:uid="{21B236DA-6D3F-476E-85AD-7420F6781496}" name="1998" dataDxfId="519"/>
    <tableColumn id="11" xr3:uid="{309CA3AE-1764-4893-B688-CCAE47103021}" name="1999" dataDxfId="518"/>
    <tableColumn id="12" xr3:uid="{A39D6E42-2827-4B24-A9EE-D7089EB0679B}" name="2000" dataDxfId="517" dataCellStyle="Comma"/>
    <tableColumn id="13" xr3:uid="{08FE79A4-5F7E-4096-B7F5-982678139CD2}" name="2001" dataDxfId="516" dataCellStyle="Comma"/>
    <tableColumn id="14" xr3:uid="{54C3C3C5-7FC8-4E88-ABF2-4239F09D1531}" name="2002" dataDxfId="515" dataCellStyle="Comma"/>
    <tableColumn id="15" xr3:uid="{22C9C82E-A0F3-4D2C-BC07-194EBA709660}" name="2003" dataDxfId="514" dataCellStyle="Comma"/>
    <tableColumn id="16" xr3:uid="{4CD42FAA-1D18-49FE-B73F-F871858A2C03}" name="2004" dataDxfId="513" dataCellStyle="Comma"/>
    <tableColumn id="17" xr3:uid="{F436C4FF-5038-41C1-A7F4-882FA0B122BD}" name="2005" dataDxfId="512" dataCellStyle="Comma"/>
    <tableColumn id="18" xr3:uid="{D36806A4-9CFD-4B53-8E0E-E462CF323D86}" name="2006" dataDxfId="511" dataCellStyle="Comma"/>
    <tableColumn id="19" xr3:uid="{9477A49A-8752-4648-BBBF-F21D6F93FB17}" name="2007" dataDxfId="510" dataCellStyle="Comma"/>
    <tableColumn id="20" xr3:uid="{EA00E1C4-5B43-4D6F-8F75-320DF90F0033}" name="2008" dataDxfId="509" dataCellStyle="Comma"/>
    <tableColumn id="21" xr3:uid="{0137ECBC-73AE-42EE-86AB-EA1A81B6FBD8}" name="2009" dataDxfId="508" dataCellStyle="Comma"/>
    <tableColumn id="22" xr3:uid="{6E012F43-6219-45D1-B901-960FF8E45429}" name="2010" dataDxfId="507" dataCellStyle="Comma"/>
    <tableColumn id="23" xr3:uid="{7F5FE49B-C88C-4067-BE82-50F821B52289}" name="2011" dataDxfId="506" dataCellStyle="Comma"/>
    <tableColumn id="24" xr3:uid="{EF8B26B2-70D3-4182-AAB8-54446E59CB37}" name="2012" dataDxfId="505" dataCellStyle="Comma"/>
    <tableColumn id="25" xr3:uid="{D3CD923C-C594-4F49-8F2F-47594CFC47DB}" name="2013" dataDxfId="504" dataCellStyle="Comma"/>
    <tableColumn id="26" xr3:uid="{8C692AC0-103C-4C36-A90D-CB20D3A29C8F}" name="2014" dataDxfId="503" dataCellStyle="Comma"/>
    <tableColumn id="27" xr3:uid="{2B7C7C72-F016-4FFF-8105-25D33865DA60}" name="2015" dataDxfId="502" dataCellStyle="Comma"/>
    <tableColumn id="28" xr3:uid="{69B330D5-0361-4D26-AF51-0C570A5266ED}" name="2016" dataDxfId="501" dataCellStyle="Comma"/>
    <tableColumn id="29" xr3:uid="{DA11EF8D-8C00-41B4-87D4-7B5F7AFA680F}" name="2017" dataDxfId="500" dataCellStyle="Comma"/>
    <tableColumn id="30" xr3:uid="{5AE3BF94-50AF-4DC9-B355-968A0E761FAD}" name="2018" dataDxfId="499" dataCellStyle="Comma"/>
    <tableColumn id="31" xr3:uid="{56539C89-5D4C-4ADE-AAAB-7F4EE31C34D8}" name="2019" dataDxfId="498" dataCellStyle="Comma"/>
    <tableColumn id="32" xr3:uid="{1E07B8E3-4D96-42E8-946B-04EDD04E108E}" name="2020" dataDxfId="497" dataCellStyle="Comma"/>
    <tableColumn id="33" xr3:uid="{F9ED396A-90F5-43C5-B00E-AFD0F0770376}" name="2021" dataDxfId="496" dataCellStyle="Comma"/>
    <tableColumn id="34" xr3:uid="{BB45A4DF-5759-4481-926F-00EB456DC83D}" name="2022" dataDxfId="495" dataCellStyle="Comma"/>
    <tableColumn id="35" xr3:uid="{093E4BD9-606A-4241-AF52-2936DDB5350A}" name="2023" dataDxfId="494" dataCellStyle="Comma"/>
  </tableColumns>
  <tableStyleInfo name="TableStyleLight1" showFirstColumn="0" showLastColumn="0" showRowStripes="1" showColumnStripes="0"/>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225C987B-7CC9-4AB7-B37A-DC6524B0E96C}" name="AnnualEffluentN2OVariablesBeginning2000" displayName="AnnualEffluentN2OVariablesBeginning2000" ref="A67:AI70" totalsRowShown="0" headerRowDxfId="493">
  <autoFilter ref="A67:AI70" xr:uid="{225C987B-7CC9-4AB7-B37A-DC6524B0E96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4F36A776-496E-4BA7-A4EF-AAA156A90893}" name="annual variables" dataDxfId="492" dataCellStyle="Comma"/>
    <tableColumn id="2" xr3:uid="{F32C7D55-BEE6-41B3-99F9-2E7E9DB286CF}" name="1990" dataDxfId="491"/>
    <tableColumn id="3" xr3:uid="{D58624F5-977C-4D3B-A6EB-2155048F64C1}" name="1991" dataDxfId="490"/>
    <tableColumn id="4" xr3:uid="{E13D6898-D4E5-41CB-AEB4-D327CD8F8C29}" name="1992" dataDxfId="489"/>
    <tableColumn id="5" xr3:uid="{50D7C70A-CC52-49E1-B800-78F2271034C1}" name="1993" dataDxfId="488"/>
    <tableColumn id="6" xr3:uid="{B5F072A6-E4AC-46FF-B242-A21F3783B2C6}" name="1994" dataDxfId="487"/>
    <tableColumn id="7" xr3:uid="{5A39620E-BEB1-4862-A0CB-F1C4D2D63705}" name="1995" dataDxfId="486"/>
    <tableColumn id="8" xr3:uid="{19A28D23-3630-40C3-9434-409624434048}" name="1996" dataDxfId="485"/>
    <tableColumn id="9" xr3:uid="{7BA84C70-D264-4DFF-98CC-C84299F1BE1A}" name="1997" dataDxfId="484"/>
    <tableColumn id="10" xr3:uid="{5187DC71-61FB-4DB1-B0C0-954663CF49C6}" name="1998" dataDxfId="483"/>
    <tableColumn id="11" xr3:uid="{4B9E6C07-4602-4AEC-A37E-461F6EF3D2D3}" name="1999" dataDxfId="482"/>
    <tableColumn id="12" xr3:uid="{DD9F7FBC-8913-44EF-AA2D-BFD7C473C3F4}" name="2000"/>
    <tableColumn id="13" xr3:uid="{BB0ECD88-9C4B-47D7-9879-6010ACDF6651}" name="2001"/>
    <tableColumn id="14" xr3:uid="{2E4C598D-7B5A-4205-ABBD-527CBDE08459}" name="2002"/>
    <tableColumn id="15" xr3:uid="{DA49C9BF-060B-4DAC-9CAA-6AD67E631C6E}" name="2003"/>
    <tableColumn id="16" xr3:uid="{8E761284-5381-4C91-8421-BB00CCDAC834}" name="2004"/>
    <tableColumn id="17" xr3:uid="{CF2B820F-9F6F-42B3-98E5-E2823792729A}" name="2005"/>
    <tableColumn id="18" xr3:uid="{EFB388DF-E9C7-4499-94B1-8D1D416E1136}" name="2006"/>
    <tableColumn id="19" xr3:uid="{189F5D6A-6904-409D-9FFF-4938D0A586EE}" name="2007"/>
    <tableColumn id="20" xr3:uid="{B5CC6E65-749A-4E5D-ACA4-52E5C5F749EB}" name="2008"/>
    <tableColumn id="21" xr3:uid="{E77AB6F7-080F-4E20-904F-4F1D2BA14320}" name="2009"/>
    <tableColumn id="22" xr3:uid="{C46542A9-D367-4683-8FC8-A926D7DABA97}" name="2010"/>
    <tableColumn id="23" xr3:uid="{4B5BDAC3-75D0-476A-9CAD-827B825ACC03}" name="2011"/>
    <tableColumn id="24" xr3:uid="{1E34B1F6-21AC-4FD3-823D-333DDF772411}" name="2012"/>
    <tableColumn id="25" xr3:uid="{01434AA9-6F1C-488B-9B06-8F0B0A4FD1DA}" name="2013"/>
    <tableColumn id="26" xr3:uid="{B16A6BFD-51CE-4DB5-A0D6-A1821B510647}" name="2014"/>
    <tableColumn id="27" xr3:uid="{688022D6-15D2-4CA6-8312-76CF18782422}" name="2015"/>
    <tableColumn id="28" xr3:uid="{72263A0E-1F46-4A65-99D7-95239B4E1B51}" name="2016"/>
    <tableColumn id="29" xr3:uid="{CC1130F5-3429-43B3-B4D8-FEC801DDD01B}" name="2017"/>
    <tableColumn id="30" xr3:uid="{F7A700EE-A9AE-4738-B788-1D5CDF6A4355}" name="2018"/>
    <tableColumn id="31" xr3:uid="{E88A3189-AF17-4A7D-8EB2-8633900483ED}" name="2019"/>
    <tableColumn id="32" xr3:uid="{4C8A2BE5-A869-4BE1-95A3-39260C51A0BD}" name="2020"/>
    <tableColumn id="33" xr3:uid="{683A0463-F604-45A4-AF63-CB49F41661CA}" name="2021"/>
    <tableColumn id="34" xr3:uid="{839456DD-9BB9-4710-994D-5A05ECA18933}" name="2022"/>
    <tableColumn id="35" xr3:uid="{770BAEA7-80CC-4917-9C0E-4FB652C76F84}" name="2023"/>
  </tableColumns>
  <tableStyleInfo name="TableStyleLight1" showFirstColumn="0" showLastColumn="0" showRowStripes="1" showColumnStripes="0"/>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4" xr:uid="{C70CDFF2-F432-40DB-8B97-0A2E242C7537}" name="DATAforWastewater" displayName="DATAforWastewater" ref="A6:D11" totalsRowShown="0" headerRowDxfId="481" headerRowBorderDxfId="480" tableBorderDxfId="479">
  <autoFilter ref="A6:D11" xr:uid="{C70CDFF2-F432-40DB-8B97-0A2E242C7537}">
    <filterColumn colId="0" hiddenButton="1"/>
    <filterColumn colId="1" hiddenButton="1"/>
    <filterColumn colId="2" hiddenButton="1"/>
    <filterColumn colId="3" hiddenButton="1"/>
  </autoFilter>
  <tableColumns count="4">
    <tableColumn id="1" xr3:uid="{B82BD134-7C61-4D0D-909F-32FD126873CC}" name="Year(s)"/>
    <tableColumn id="2" xr3:uid="{CBB55350-3FBE-4FD5-9771-27D186438495}" name="Methodology"/>
    <tableColumn id="3" xr3:uid="{38EF672C-8898-49F5-BB01-156D2AE8C1D5}" name="Version"/>
    <tableColumn id="4" xr3:uid="{3CDDA2B9-C4E2-4CB1-97A8-3B6D11227CA4}" name="Update Date" dataDxfId="478"/>
  </tableColumns>
  <tableStyleInfo name="TableStyleLight1" showFirstColumn="0" showLastColumn="0" showRowStripes="1" showColumnStripes="0"/>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7F9823CC-4B44-430C-9308-348A8992F44E}" name="EmissionFactorsforMunicipalSolidWaste" displayName="EmissionFactorsforMunicipalSolidWaste" ref="A112:E118" totalsRowShown="0" headerRowDxfId="477" dataDxfId="476">
  <autoFilter ref="A112:E118" xr:uid="{7F9823CC-4B44-430C-9308-348A8992F44E}">
    <filterColumn colId="0" hiddenButton="1"/>
    <filterColumn colId="1" hiddenButton="1"/>
    <filterColumn colId="2" hiddenButton="1"/>
    <filterColumn colId="3" hiddenButton="1"/>
    <filterColumn colId="4" hiddenButton="1"/>
  </autoFilter>
  <tableColumns count="5">
    <tableColumn id="1" xr3:uid="{341D068B-95CB-440D-9616-9E5CBF2A66BE}" name="Sources" dataDxfId="475"/>
    <tableColumn id="2" xr3:uid="{5CA4C151-FEDD-462A-9622-93505134B6A0}" name="Units" dataDxfId="474"/>
    <tableColumn id="3" xr3:uid="{D812DC1A-9D5D-41DF-B519-6F7694F09B30}" name="CO2" dataDxfId="473"/>
    <tableColumn id="4" xr3:uid="{D44F6958-EDA1-47A7-9409-6176268CA9E5}" name="CH4" dataDxfId="472"/>
    <tableColumn id="5" xr3:uid="{DFBBE240-FE6E-48FD-8DBA-F54E4CA87951}" name="N2O" dataDxfId="471"/>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469BAF1B-A37A-4FDF-941B-465258FB0764}" name="MASF6andOtherGasEmissionsBySectorMMTCO2e" displayName="MASF6andOtherGasEmissionsBySectorMMTCO2e" ref="A160:AI168" totalsRowShown="0" headerRowDxfId="5040" dataDxfId="5038" headerRowBorderDxfId="5039" tableBorderDxfId="5037">
  <autoFilter ref="A160:AI168" xr:uid="{469BAF1B-A37A-4FDF-941B-465258FB076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927800D0-1D50-41A9-9E9A-1882789D7070}" name="Sector" dataDxfId="5036"/>
    <tableColumn id="2" xr3:uid="{FF7F7E9E-2FBC-49B6-AD9E-5F5B88FF9786}" name="1990" dataDxfId="5035"/>
    <tableColumn id="3" xr3:uid="{CBC2D574-657C-49F0-9553-88FD58316AB8}" name="1991" dataDxfId="5034"/>
    <tableColumn id="4" xr3:uid="{0F0583CA-8BB8-431B-BCBD-48544E1725F5}" name="1992" dataDxfId="5033"/>
    <tableColumn id="5" xr3:uid="{9D234639-BD90-49B4-8149-A726D2998A83}" name="1993" dataDxfId="5032"/>
    <tableColumn id="6" xr3:uid="{ACCA36D7-5D46-40F4-BD5F-932AA6FBC493}" name="1994" dataDxfId="5031"/>
    <tableColumn id="7" xr3:uid="{6AB08B5B-6E46-4F0C-96E5-FC392302CB1F}" name="1995" dataDxfId="5030"/>
    <tableColumn id="8" xr3:uid="{DDEC114C-DE66-45AC-883C-831904B70C8B}" name="1996" dataDxfId="5029"/>
    <tableColumn id="9" xr3:uid="{5B952749-7DF5-4B12-A463-BB7138E01877}" name="1997" dataDxfId="5028"/>
    <tableColumn id="10" xr3:uid="{CF4BCE29-4EF1-4827-8642-96B93D2045E3}" name="1998" dataDxfId="5027"/>
    <tableColumn id="11" xr3:uid="{57226309-8DA3-480B-A3B9-5B450438388B}" name="1999" dataDxfId="5026"/>
    <tableColumn id="12" xr3:uid="{ADAB45F1-6384-4F61-A170-C8EF75ADC3D4}" name="2000" dataDxfId="5025"/>
    <tableColumn id="13" xr3:uid="{3E360BE1-7CA9-4787-B7D4-7517826C3F8C}" name="2001" dataDxfId="5024"/>
    <tableColumn id="14" xr3:uid="{860BB70F-F8EE-4D56-8508-CB944A450310}" name="2002" dataDxfId="5023"/>
    <tableColumn id="15" xr3:uid="{BBF20B0C-B12D-4581-A012-900A45F2B265}" name="2003" dataDxfId="5022"/>
    <tableColumn id="16" xr3:uid="{194CCF54-9892-4B98-800F-6004A020055A}" name="2004" dataDxfId="5021"/>
    <tableColumn id="17" xr3:uid="{29963A7D-6430-4638-AED6-1122ED858EBE}" name="2005" dataDxfId="5020"/>
    <tableColumn id="18" xr3:uid="{EAB6A4B7-BBD7-40AD-9A25-194777575A7C}" name="2006" dataDxfId="5019"/>
    <tableColumn id="19" xr3:uid="{AE00B95E-945C-4F79-8197-3E9A59274235}" name="2007" dataDxfId="5018"/>
    <tableColumn id="20" xr3:uid="{0FCFB25C-C830-492E-ABDF-D42373EFB742}" name="2008" dataDxfId="5017"/>
    <tableColumn id="21" xr3:uid="{FF0487A9-C727-4978-8223-72359C7D8C5D}" name="2009" dataDxfId="5016"/>
    <tableColumn id="22" xr3:uid="{10E16FB8-ED9B-4CF5-A7F7-479B5724F9A2}" name="2010" dataDxfId="5015"/>
    <tableColumn id="23" xr3:uid="{FFF6D407-620B-4DE7-9083-93332C476B82}" name="2011" dataDxfId="5014"/>
    <tableColumn id="24" xr3:uid="{BE6F7AB7-3F2B-44CA-800F-B11584D520B5}" name="2012" dataDxfId="5013"/>
    <tableColumn id="25" xr3:uid="{93446E45-A7F4-4B3F-BB24-7473AC730F25}" name="2013" dataDxfId="5012"/>
    <tableColumn id="26" xr3:uid="{24716E47-4AE4-4104-8510-2D977CB53F49}" name="2014" dataDxfId="5011"/>
    <tableColumn id="27" xr3:uid="{BC68810B-A333-4C91-9618-BD3A85FD2DF8}" name="2015" dataDxfId="5010"/>
    <tableColumn id="28" xr3:uid="{53F8799D-7709-463D-9387-6630515BF296}" name="2016" dataDxfId="5009"/>
    <tableColumn id="29" xr3:uid="{E754493B-BE3F-47FA-9F79-5A3488C081AF}" name="2017" dataDxfId="5008"/>
    <tableColumn id="30" xr3:uid="{AE7A9A9C-5E4D-4BC0-949E-B2E1732DE564}" name="2018" dataDxfId="5007"/>
    <tableColumn id="31" xr3:uid="{D58C185C-833F-4755-A7D5-71EA8F1EF763}" name="2019" dataDxfId="5006"/>
    <tableColumn id="32" xr3:uid="{D83BC59C-9BFF-4E5F-A187-5B40D9A83B6A}" name="2020" dataDxfId="5005"/>
    <tableColumn id="33" xr3:uid="{F1EB5D59-E575-4111-9097-1D52A1260291}" name="2021" dataDxfId="5004"/>
    <tableColumn id="34" xr3:uid="{21CD3AD2-86D8-4C13-9BEA-31C350BA99DB}" name="2022" dataDxfId="5003"/>
    <tableColumn id="35" xr3:uid="{3CCED17E-3E26-48B5-ACBD-154BA54F47E4}" name="2023" dataDxfId="5002"/>
  </tableColumns>
  <tableStyleInfo name="TableStyleLight1" showFirstColumn="0" showLastColumn="0" showRowStripes="1" showColumnStripes="0"/>
</table>
</file>

<file path=xl/tables/table1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22F0B971-C82E-4551-871E-241AE1EFF418}" name="CH4EmissionfromLandfillsMTCO2e" displayName="CH4EmissionfromLandfillsMTCO2e" ref="A20:AI27" totalsRowShown="0" headerRowDxfId="470" tableBorderDxfId="469" headerRowCellStyle="Normal_Energy Module2">
  <autoFilter ref="A20:AI27" xr:uid="{22F0B971-C82E-4551-871E-241AE1EFF41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C8B76344-B25C-4B7B-B48A-8A8149DAD755}" name="Gas/Type"/>
    <tableColumn id="2" xr3:uid="{3749820B-7B2B-4702-A1D2-22BDED97BC1D}" name="1990"/>
    <tableColumn id="3" xr3:uid="{71F41810-5BBF-4C6F-AE23-18D26A452C92}" name="1991"/>
    <tableColumn id="4" xr3:uid="{2075D4E0-DC5B-4D48-AAC8-4BB81EC2073D}" name="1992"/>
    <tableColumn id="5" xr3:uid="{F792C0B7-4F43-48F3-A1FD-0441639ABEF6}" name="1993"/>
    <tableColumn id="6" xr3:uid="{D42D7CAA-37E2-4ECF-B242-EC338A6752DF}" name="1994"/>
    <tableColumn id="7" xr3:uid="{B8E47A63-8565-4AFB-BE71-3266CD7035CA}" name="1995"/>
    <tableColumn id="8" xr3:uid="{8B1B1EB9-F0AB-4996-B98F-285146115F9B}" name="1996"/>
    <tableColumn id="9" xr3:uid="{63A03AE6-19A3-4116-A212-60A0BA76925A}" name="1997"/>
    <tableColumn id="10" xr3:uid="{E6571EE4-0F81-4C0D-AC4B-744B699A8706}" name="1998"/>
    <tableColumn id="11" xr3:uid="{D434C873-718F-43F3-931B-650895509293}" name="1999"/>
    <tableColumn id="12" xr3:uid="{0154E5C1-A859-4B3E-8957-26334489E739}" name="2000"/>
    <tableColumn id="13" xr3:uid="{0A9EE99D-1DD4-44A0-A6DB-F1A100B1A49E}" name="2001"/>
    <tableColumn id="14" xr3:uid="{F8B7E776-E1EE-4457-B533-3F9A431B3319}" name="2002"/>
    <tableColumn id="15" xr3:uid="{873BF97A-84BD-476B-8318-C84B58DA37DD}" name="2003"/>
    <tableColumn id="16" xr3:uid="{D086DA85-42C1-4599-B7CB-AC9849FFFAAC}" name="2004"/>
    <tableColumn id="17" xr3:uid="{C9075620-5C77-48CD-8035-A2314776FB65}" name="2005"/>
    <tableColumn id="18" xr3:uid="{1ECB90C5-6C47-44B9-8582-420E7E9371F0}" name="2006"/>
    <tableColumn id="19" xr3:uid="{446D17CF-DE0B-48F5-A2DC-34A2F09E78C6}" name="2007"/>
    <tableColumn id="20" xr3:uid="{40852E58-B4D6-42E5-93FB-75F8E2EF0C24}" name="2008"/>
    <tableColumn id="21" xr3:uid="{7A6CA481-61FD-4BEC-B8F3-9296ECA5DF85}" name="2009"/>
    <tableColumn id="22" xr3:uid="{B9871E40-266A-4130-973C-45A1D742E56B}" name="2010"/>
    <tableColumn id="23" xr3:uid="{BF17F5DC-644C-470D-9207-866CF4354BE5}" name="2011"/>
    <tableColumn id="24" xr3:uid="{A6F3B2E8-A519-4FFF-A1BF-107246BA93A0}" name="2012"/>
    <tableColumn id="25" xr3:uid="{B4469085-8399-4702-8EDE-AEAD5A0ACD29}" name="2013"/>
    <tableColumn id="26" xr3:uid="{072793B0-75B0-4A94-821C-7369BC1C9E67}" name="2014"/>
    <tableColumn id="27" xr3:uid="{3B42A9CC-7664-4FB5-9047-5255A8123E8C}" name="2015"/>
    <tableColumn id="28" xr3:uid="{A12BD984-D61D-49A4-B22E-0C9133362A5D}" name="2016"/>
    <tableColumn id="29" xr3:uid="{0EA02F3F-46DC-4AEA-9B06-F2EA0C2D8C82}" name="2017"/>
    <tableColumn id="30" xr3:uid="{6E77D93D-ED4D-4E0F-B6B9-A49DFBD1C4AD}" name="2018"/>
    <tableColumn id="31" xr3:uid="{89A42050-59F1-4715-AD37-0B33047110EC}" name="2019"/>
    <tableColumn id="32" xr3:uid="{1E1774D3-6429-49C2-B924-A3D11F201EF5}" name="2020"/>
    <tableColumn id="33" xr3:uid="{202C4B70-363C-4EB6-A2AE-408BA2C5A39F}" name="2021"/>
    <tableColumn id="34" xr3:uid="{C08FF061-52C9-48E7-8881-217B9A87E8C9}" name="2022"/>
    <tableColumn id="35" xr3:uid="{C6AA46D1-6E5D-48E5-853F-98FD05C1433D}" name="2023"/>
  </tableColumns>
  <tableStyleInfo name="TableStyleLight1" showFirstColumn="0" showLastColumn="0" showRowStripes="1" showColumnStripes="0"/>
</table>
</file>

<file path=xl/tables/table1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78151BF3-AA54-4454-943D-5AFC215B55FF}" name="LandfillOxidationandFlareCombustionEmissionsMMTCO2e" displayName="LandfillOxidationandFlareCombustionEmissionsMMTCO2e" ref="A35:AI40" totalsRowShown="0" headerRowDxfId="468" headerRowBorderDxfId="467" tableBorderDxfId="466" headerRowCellStyle="Normal_Energy Module2">
  <autoFilter ref="A35:AI40" xr:uid="{78151BF3-AA54-4454-943D-5AFC215B55F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79F7ECFA-0CAB-4875-A5F3-BE57FA222621}" name="Gas/Type"/>
    <tableColumn id="2" xr3:uid="{4F664696-FB4B-41DE-9BB2-430B5733BF2A}" name="1990"/>
    <tableColumn id="3" xr3:uid="{59DBDEBF-5224-4B97-898D-C2B7FE1C739D}" name="1991" dataDxfId="465" dataCellStyle="Comma"/>
    <tableColumn id="4" xr3:uid="{B4636A4C-C504-4B63-BCDB-9AC4B72DFC6E}" name="1992" dataDxfId="464" dataCellStyle="Comma"/>
    <tableColumn id="5" xr3:uid="{1694CE9F-89CA-48D1-BFAD-649731FE0F1A}" name="1993" dataDxfId="463" dataCellStyle="Comma"/>
    <tableColumn id="6" xr3:uid="{EACE1906-56EB-45C4-9753-636105C7E89F}" name="1994" dataDxfId="462" dataCellStyle="Comma"/>
    <tableColumn id="7" xr3:uid="{C48E6054-E851-4898-917B-DDF1B539861C}" name="1995" dataDxfId="461" dataCellStyle="Comma"/>
    <tableColumn id="8" xr3:uid="{0CD86954-61E8-4B10-B81A-5A85D9F37EC0}" name="1996" dataDxfId="460" dataCellStyle="Comma"/>
    <tableColumn id="9" xr3:uid="{A938CAAB-8C70-4841-8314-ED91C244CE84}" name="1997" dataDxfId="459" dataCellStyle="Comma"/>
    <tableColumn id="10" xr3:uid="{D180EA30-A2DB-4DDE-BF65-394FC60E99D1}" name="1998" dataDxfId="458" dataCellStyle="Comma"/>
    <tableColumn id="11" xr3:uid="{2F5A33FD-D66E-4021-8453-8BEEA1F39A7D}" name="1999" dataDxfId="457" dataCellStyle="Comma"/>
    <tableColumn id="12" xr3:uid="{92982A33-17A7-48D7-A59B-95D68B706EF0}" name="2000" dataDxfId="456" dataCellStyle="Comma"/>
    <tableColumn id="13" xr3:uid="{701161A1-4943-4867-ACD4-D3245142C797}" name="2001" dataDxfId="455" dataCellStyle="Comma"/>
    <tableColumn id="14" xr3:uid="{0114E6DA-C42F-44BC-ACEA-5D8CCDB826C8}" name="2002" dataDxfId="454" dataCellStyle="Comma"/>
    <tableColumn id="15" xr3:uid="{B869CF5F-A73D-4E8C-89F7-24BE5368A06F}" name="2003" dataDxfId="453" dataCellStyle="Comma"/>
    <tableColumn id="16" xr3:uid="{47BDC2FD-45D6-47C2-9F76-D5E364280ED3}" name="2004" dataDxfId="452" dataCellStyle="Comma"/>
    <tableColumn id="17" xr3:uid="{1044EE87-FA24-464C-A062-EF7F5D77236D}" name="2005" dataDxfId="451" dataCellStyle="Comma"/>
    <tableColumn id="18" xr3:uid="{2128C890-B204-44C1-BC18-036B6482F99F}" name="2006" dataDxfId="450" dataCellStyle="Comma"/>
    <tableColumn id="19" xr3:uid="{93F8AAB0-9F94-4C6B-A4FD-47BE5AB5B54C}" name="2007" dataDxfId="449" dataCellStyle="Comma"/>
    <tableColumn id="20" xr3:uid="{A60C27F5-5D94-4AD3-85FC-3D6F58543B0B}" name="2008" dataDxfId="448" dataCellStyle="Comma"/>
    <tableColumn id="21" xr3:uid="{5FE87205-70D1-41CE-95DF-F684154EB37A}" name="2009" dataDxfId="447" dataCellStyle="Comma"/>
    <tableColumn id="22" xr3:uid="{7495CCB3-924A-4C09-A64B-BF00ECF9C99B}" name="2010"/>
    <tableColumn id="23" xr3:uid="{441F5A7A-90F9-493A-AD1D-8858C8D06207}" name="2011"/>
    <tableColumn id="24" xr3:uid="{A7DD2C04-EEA6-4906-BF1D-955882C68CF9}" name="2012"/>
    <tableColumn id="25" xr3:uid="{C15C39BF-4639-4D9D-89F8-600BAFF8FDB9}" name="2013"/>
    <tableColumn id="26" xr3:uid="{048C19E2-FE7E-46EA-A1FD-D36D361D8D07}" name="2014"/>
    <tableColumn id="27" xr3:uid="{4F7AF156-3BA1-4863-BE6F-288ECB555511}" name="2015"/>
    <tableColumn id="28" xr3:uid="{A789A676-9B5C-4319-AF91-E48CD36B9153}" name="2016"/>
    <tableColumn id="29" xr3:uid="{26A549ED-A263-40E1-B341-4B862615962C}" name="2017"/>
    <tableColumn id="30" xr3:uid="{9AB0F085-DBF5-45E6-B773-28F5E8B217AC}" name="2018"/>
    <tableColumn id="31" xr3:uid="{567817E7-F83F-414A-A259-6C055625EA96}" name="2019"/>
    <tableColumn id="32" xr3:uid="{13947CC5-053E-4095-9AB7-8F11CD0A80C1}" name="2020"/>
    <tableColumn id="33" xr3:uid="{C159026C-7514-4796-943B-FB79BBF54B85}" name="2021"/>
    <tableColumn id="34" xr3:uid="{427B664A-E0A8-4A63-B7C0-187D8F25CBA8}" name="2022"/>
    <tableColumn id="35" xr3:uid="{773C1665-1FEB-430C-982D-444EFEB6943B}" name="2023"/>
  </tableColumns>
  <tableStyleInfo name="TableStyleLight1" showFirstColumn="0" showLastColumn="0" showRowStripes="1" showColumnStripes="0"/>
</table>
</file>

<file path=xl/tables/table1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4DAE3117-3E46-496F-9CD8-8AC5251001EE}" name="TotalEmissionsfromLandfillsbyGasMMTCO2e" displayName="TotalEmissionsfromLandfillsbyGasMMTCO2e" ref="A48:AI53" totalsRowShown="0" headerRowDxfId="446" headerRowBorderDxfId="445" tableBorderDxfId="444" headerRowCellStyle="Normal_Energy Module2">
  <autoFilter ref="A48:AI53" xr:uid="{4DAE3117-3E46-496F-9CD8-8AC5251001E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E5496532-7333-43E1-92D1-4BAD48A623AF}" name="Gas"/>
    <tableColumn id="2" xr3:uid="{8F1383F8-A600-43C7-8AE2-A82A2F7AB66F}" name="1990"/>
    <tableColumn id="3" xr3:uid="{63C3A1FD-5A55-481D-A855-689BB52F86DD}" name="1991"/>
    <tableColumn id="4" xr3:uid="{FE3CF448-B591-4066-9810-4709A2460647}" name="1992"/>
    <tableColumn id="5" xr3:uid="{9C42B39F-19DA-42CD-A30D-1C78DC667B9B}" name="1993"/>
    <tableColumn id="6" xr3:uid="{E5E9D0FE-B559-46FB-9F21-B5D9A252B1CC}" name="1994"/>
    <tableColumn id="7" xr3:uid="{ADA67DE4-73C0-48BC-A67E-FD42590D2790}" name="1995"/>
    <tableColumn id="8" xr3:uid="{FC23AFA8-6D41-4C4E-AE0F-C98CD1BBFCB0}" name="1996"/>
    <tableColumn id="9" xr3:uid="{D13B1CEC-FF1D-4C89-9406-A1F626D39BA5}" name="1997"/>
    <tableColumn id="10" xr3:uid="{BF0D5610-5528-4618-8F7C-2CBD65F71F6C}" name="1998"/>
    <tableColumn id="11" xr3:uid="{FF1DEA9A-AF26-4AF8-A007-E360B0AC13C4}" name="1999"/>
    <tableColumn id="12" xr3:uid="{F789DD5D-9DF1-4FB0-B248-0719DB19F8A9}" name="2000"/>
    <tableColumn id="13" xr3:uid="{CDC2178C-2D79-47A1-B7A1-03516979E55D}" name="2001"/>
    <tableColumn id="14" xr3:uid="{4BD03E98-8199-4CC7-AA54-79FF0B1CFBC0}" name="2002"/>
    <tableColumn id="15" xr3:uid="{7D7BE743-8738-428B-AFFB-B18315C57AB4}" name="2003"/>
    <tableColumn id="16" xr3:uid="{370727AB-4A0B-4AF1-B8B1-5C5E35C13193}" name="2004"/>
    <tableColumn id="17" xr3:uid="{3CFADE23-00C9-49D4-A71D-73D5B4397A12}" name="2005"/>
    <tableColumn id="18" xr3:uid="{61D8151E-37A0-4564-BDAF-D12DA22C3A5B}" name="2006"/>
    <tableColumn id="19" xr3:uid="{17F19D18-D6E7-4B1B-A271-C43EAA0C3D28}" name="2007"/>
    <tableColumn id="20" xr3:uid="{D6474ABA-B0DE-470A-9231-30ADBF4E120C}" name="2008"/>
    <tableColumn id="21" xr3:uid="{AA47498E-A6A0-453E-B2B5-50276A305E84}" name="2009"/>
    <tableColumn id="22" xr3:uid="{AE431597-9EAF-424A-B340-906F5B225F8D}" name="2010"/>
    <tableColumn id="23" xr3:uid="{270916BD-6A77-4A35-A2EE-898DECA8C652}" name="2011"/>
    <tableColumn id="24" xr3:uid="{6D9C86E6-D2D0-4068-B328-F580AB3D0633}" name="2012"/>
    <tableColumn id="25" xr3:uid="{EB6964DF-4330-4BC2-B453-370F1FBD38B4}" name="2013"/>
    <tableColumn id="26" xr3:uid="{745CECC6-AEE9-420E-B49B-BC2DCDC7DA66}" name="2014"/>
    <tableColumn id="27" xr3:uid="{B78DCD92-F101-4262-A8B8-26A4160E2E85}" name="2015"/>
    <tableColumn id="28" xr3:uid="{C949CE6A-8F37-42F0-B46F-412A914AE8F2}" name="2016"/>
    <tableColumn id="29" xr3:uid="{FC5337C8-408A-4DFE-B78D-71FC7EE3CFAD}" name="2017"/>
    <tableColumn id="30" xr3:uid="{63C1EF87-D21F-4A1F-8228-C94C0D1F8ACE}" name="2018"/>
    <tableColumn id="31" xr3:uid="{5EFC8364-EC3D-483C-825F-ADC45C623A5D}" name="2019"/>
    <tableColumn id="32" xr3:uid="{F258C372-025E-4905-A0F3-A6584F8EE889}" name="2020"/>
    <tableColumn id="33" xr3:uid="{3762D93C-ED58-4021-8559-1E18F4F0A6D0}" name="2021"/>
    <tableColumn id="34" xr3:uid="{A1B924CF-A2DC-47B7-847C-D1281D9A42E7}" name="2022"/>
    <tableColumn id="35" xr3:uid="{9B56E994-30E5-4A1D-9ECD-6463F4CC0A22}" name="2023"/>
  </tableColumns>
  <tableStyleInfo name="TableStyleLight1" showFirstColumn="0" showLastColumn="0" showRowStripes="1" showColumnStripes="0"/>
</table>
</file>

<file path=xl/tables/table1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7354500A-36EC-4D4D-9BC7-ECBF02A2EA36}" name="ElectricSectorEmissionsfromWasteCombustion" displayName="ElectricSectorEmissionsfromWasteCombustion" ref="A57:AI66" totalsRowShown="0" headerRowDxfId="443" headerRowBorderDxfId="442" tableBorderDxfId="441" headerRowCellStyle="Normal_Energy Module2">
  <autoFilter ref="A57:AI66" xr:uid="{7354500A-36EC-4D4D-9BC7-ECBF02A2EA3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541D3506-2827-4A01-98BD-556B70A4CCC6}" name="Gas/Type"/>
    <tableColumn id="2" xr3:uid="{971EBD32-E7A1-4917-84AF-1D5F522F6358}" name="1990"/>
    <tableColumn id="3" xr3:uid="{07C67D0B-F6B9-4726-961D-DE402E0EC207}" name="1991"/>
    <tableColumn id="4" xr3:uid="{00754E37-8AB2-48E0-B760-42C397E71D76}" name="1992"/>
    <tableColumn id="5" xr3:uid="{BB5D2B02-15B2-463D-874F-42B50C7F6839}" name="1993"/>
    <tableColumn id="6" xr3:uid="{324A2602-1A96-480A-B2C1-485A8A0CBDDE}" name="1994"/>
    <tableColumn id="7" xr3:uid="{C1EC90D2-F6C9-458F-8898-DDD28D169E25}" name="1995"/>
    <tableColumn id="8" xr3:uid="{B6CD5743-2A77-4288-A588-39116534DA52}" name="1996"/>
    <tableColumn id="9" xr3:uid="{F248759D-7ABF-4FEC-B29D-3ADCC965626F}" name="1997"/>
    <tableColumn id="10" xr3:uid="{E3EC4B1C-9BF6-4DE4-82FB-4426ABC506AD}" name="1998"/>
    <tableColumn id="11" xr3:uid="{2C6A3D55-DB39-4106-A8C3-AA7B6C8F9344}" name="1999"/>
    <tableColumn id="12" xr3:uid="{E38FE37E-8691-4D5F-A1CE-5B7CC9E07909}" name="2000"/>
    <tableColumn id="13" xr3:uid="{91095B68-CE7F-4EEC-B46A-5785DD1C5ED3}" name="2001"/>
    <tableColumn id="14" xr3:uid="{3FCD59B1-B936-4628-BEA9-DED440E84448}" name="2002"/>
    <tableColumn id="15" xr3:uid="{62592834-FD39-4BB2-9A46-43080EBC5A49}" name="2003"/>
    <tableColumn id="16" xr3:uid="{28E10629-55D3-44DB-82E1-5E4C4349BEE0}" name="2004"/>
    <tableColumn id="17" xr3:uid="{7F7190CE-F595-471B-8CB7-BDCCBB27DA56}" name="2005"/>
    <tableColumn id="18" xr3:uid="{739933FE-FE79-4150-9620-BACDE7A615A2}" name="2006"/>
    <tableColumn id="19" xr3:uid="{0FDB9E23-4C5E-4263-91D9-DBCE7BF17AD6}" name="2007"/>
    <tableColumn id="20" xr3:uid="{C6B36508-8634-430E-8751-6AEC57C5FC33}" name="2008"/>
    <tableColumn id="21" xr3:uid="{173547EC-0DE8-4690-8D3B-9BED8DD0689E}" name="2009"/>
    <tableColumn id="22" xr3:uid="{8808B29C-5322-491D-BE00-CDFDFDF0327E}" name="2010"/>
    <tableColumn id="23" xr3:uid="{F358DED8-6CF7-41A9-9122-B98AA89419C3}" name="2011"/>
    <tableColumn id="24" xr3:uid="{1D7A9004-E85D-4F37-B961-B4A4F6E18569}" name="2012"/>
    <tableColumn id="25" xr3:uid="{CD7198C9-03C8-4B39-8168-E7475DF61E74}" name="2013"/>
    <tableColumn id="26" xr3:uid="{DE9644AF-8DCA-424C-BFB3-57284F067830}" name="2014"/>
    <tableColumn id="27" xr3:uid="{BC1BCBF6-3A3A-4C35-B1A4-A5212956B45B}" name="2015"/>
    <tableColumn id="28" xr3:uid="{7E7664ED-7F1B-409F-9978-CBED8C845AC6}" name="2016"/>
    <tableColumn id="29" xr3:uid="{D37D5363-6B9D-4156-B519-BF6A50F99BB9}" name="2017"/>
    <tableColumn id="30" xr3:uid="{6D11543E-D7DE-4A0E-AF3D-A21AAE9C2154}" name="2018"/>
    <tableColumn id="31" xr3:uid="{34E200D8-3EFE-4276-A053-8DB4CA76B6C1}" name="2019"/>
    <tableColumn id="32" xr3:uid="{087241FE-F025-47DF-A1F4-7109BEC43308}" name="2020"/>
    <tableColumn id="33" xr3:uid="{E5BC8DB5-9FF1-475A-95A7-130BEB360400}" name="2021"/>
    <tableColumn id="34" xr3:uid="{B29D62F2-84B7-4465-8242-1BAF87128BCD}" name="2022"/>
    <tableColumn id="35" xr3:uid="{71DA47D0-062E-40CD-8219-0AAF28DCFBE0}" name="2023"/>
  </tableColumns>
  <tableStyleInfo name="TableStyleLight1" showFirstColumn="0" showLastColumn="0" showRowStripes="1" showColumnStripes="0"/>
</table>
</file>

<file path=xl/tables/table1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52200AE4-2443-4C59-A683-FC10E70D9157}" name="IndustrialSectorEmissionsfromWasteCombustionthrough2022" displayName="IndustrialSectorEmissionsfromWasteCombustionthrough2022" ref="A74:AH80" totalsRowShown="0" headerRowDxfId="440" headerRowBorderDxfId="439" tableBorderDxfId="438" headerRowCellStyle="Normal_Energy Module2">
  <autoFilter ref="A74:AH80" xr:uid="{52200AE4-2443-4C59-A683-FC10E70D915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F5BE65B3-1653-41F3-A834-2DD317A1EC25}" name="Gas"/>
    <tableColumn id="2" xr3:uid="{BDCE11CE-E501-4A23-AAE5-1CFBF344C894}" name="1990*"/>
    <tableColumn id="3" xr3:uid="{C03EDD24-630A-457C-80A0-DB27DC343DEA}" name="1991"/>
    <tableColumn id="4" xr3:uid="{CEDB345D-ADCA-4E54-8611-3B0423C020DF}" name="1992"/>
    <tableColumn id="5" xr3:uid="{AA36058B-6338-440F-9042-6A5E9862EE45}" name="1993"/>
    <tableColumn id="6" xr3:uid="{F80D6446-26BC-47B7-833B-4D4271D79EE0}" name="1994"/>
    <tableColumn id="7" xr3:uid="{DEA0D4EC-C454-461A-B202-8702F5A96CDB}" name="1995"/>
    <tableColumn id="8" xr3:uid="{167C6180-FC1E-455B-A626-B0C85E50DB71}" name="1996"/>
    <tableColumn id="9" xr3:uid="{BC491E8D-C113-4CEA-9000-A1B39BF4CC2F}" name="1997"/>
    <tableColumn id="10" xr3:uid="{4BF228FC-D76B-47B5-BA19-2CA8BB428110}" name="1998"/>
    <tableColumn id="11" xr3:uid="{149F95B5-EA7C-445A-9801-88E4C3947E3D}" name="1999"/>
    <tableColumn id="12" xr3:uid="{59261748-3018-40CF-85AD-1CB8DF8A79B8}" name="2000"/>
    <tableColumn id="13" xr3:uid="{1F2B9304-8E5C-488D-9F90-19C8FB1420D0}" name="2001"/>
    <tableColumn id="14" xr3:uid="{B2E8FC16-7A47-4614-A022-EA5E7FA34A83}" name="2002"/>
    <tableColumn id="15" xr3:uid="{33FFFA06-CC69-4F94-9F3E-73BC5E5896E2}" name="2003"/>
    <tableColumn id="16" xr3:uid="{8815F12B-DCB5-40AD-AC73-FDF9ED2A14DE}" name="2004"/>
    <tableColumn id="17" xr3:uid="{F9A11442-58CC-4F35-8A0A-339670D3EE19}" name="2005"/>
    <tableColumn id="18" xr3:uid="{D1539A78-AC65-41A8-881B-DC913F687466}" name="2006"/>
    <tableColumn id="19" xr3:uid="{F217A5B5-73FC-4E77-B655-CA04D9AFE657}" name="2007"/>
    <tableColumn id="20" xr3:uid="{425DC3B5-6AA2-457E-96FC-DA9BAE6B5FDF}" name="2008"/>
    <tableColumn id="21" xr3:uid="{52B71A61-5D41-4BED-B94C-BC19F91C73D6}" name="2009"/>
    <tableColumn id="22" xr3:uid="{6E2BB9DB-5D04-4304-A37E-9F047B941306}" name="2010"/>
    <tableColumn id="23" xr3:uid="{DFF69464-5C5A-49F5-B363-37D7C5DE866F}" name="2011"/>
    <tableColumn id="24" xr3:uid="{395EA0A2-83B4-4AE7-A18F-7B6116FE2031}" name="2012"/>
    <tableColumn id="25" xr3:uid="{7F53C7B4-A610-4F88-9250-9E16F24EED66}" name="2013"/>
    <tableColumn id="26" xr3:uid="{DD3CD2F3-622A-466B-9F82-127B3FE2CC46}" name="2014"/>
    <tableColumn id="27" xr3:uid="{8CCE3E20-D14C-410D-9B61-F7A58DFB01E4}" name="2015"/>
    <tableColumn id="28" xr3:uid="{CD60F6BE-D3B5-453E-A732-11EEB3A495D6}" name="2016"/>
    <tableColumn id="29" xr3:uid="{7AC22FC5-AA79-4CDF-9D46-D586B9F0FAA9}" name="2017"/>
    <tableColumn id="30" xr3:uid="{F4CA2704-9DE7-4AC6-A7DE-D40C4FEE40E9}" name="2018"/>
    <tableColumn id="31" xr3:uid="{6DD23173-8D72-461C-AA78-93D08855B307}" name="2019"/>
    <tableColumn id="32" xr3:uid="{475D1453-C9D5-4CEC-8787-ECB9E27382D7}" name="2020"/>
    <tableColumn id="33" xr3:uid="{C04A7F2E-35DC-4AE3-A584-D7306566EC94}" name="2021"/>
    <tableColumn id="34" xr3:uid="{434F7F86-3A0B-4261-8548-632DE368BA12}" name="2022"/>
  </tableColumns>
  <tableStyleInfo name="TableStyleLight1" showFirstColumn="0" showLastColumn="0" showRowStripes="1" showColumnStripes="0"/>
</table>
</file>

<file path=xl/tables/table1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B9D5F76F-57B7-407A-AF60-585D0C0E7125}" name="IndustrialSectorEmissionsfromWasteCombustionthrough2009lbs" displayName="IndustrialSectorEmissionsfromWasteCombustionthrough2009lbs" ref="A101:U107" totalsRowShown="0" headerRowDxfId="437" dataDxfId="435" headerRowBorderDxfId="436" tableBorderDxfId="434" headerRowCellStyle="Normal_Energy Module2">
  <autoFilter ref="A101:U107" xr:uid="{B9D5F76F-57B7-407A-AF60-585D0C0E712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4ADF5599-AB0B-4F18-8D11-2D499AC529E8}" name="Gas" dataDxfId="433"/>
    <tableColumn id="2" xr3:uid="{517A718F-B258-420D-9A2B-379648D8931A}" name="1990" dataDxfId="432"/>
    <tableColumn id="3" xr3:uid="{2A48D33B-02E7-4FBC-B947-F143D8989A24}" name="1991" dataDxfId="431"/>
    <tableColumn id="4" xr3:uid="{3E0D58CD-CC27-41F8-9989-F7A2DC893780}" name="1992" dataDxfId="430"/>
    <tableColumn id="5" xr3:uid="{0E593DCE-5CF7-4AE7-A9B6-8C17ABED4E27}" name="1993" dataDxfId="429"/>
    <tableColumn id="6" xr3:uid="{991377C9-AD7A-44A3-8CC7-600E859383BE}" name="1994" dataDxfId="428"/>
    <tableColumn id="7" xr3:uid="{0CED5CF5-4454-4226-AA5B-59709E71E09C}" name="1995" dataDxfId="427"/>
    <tableColumn id="8" xr3:uid="{BD4E0C85-C6AC-48F8-90B2-90E786DADC56}" name="1996" dataDxfId="426"/>
    <tableColumn id="9" xr3:uid="{C0395E47-CACD-49C7-B983-93DA79011F11}" name="1997" dataDxfId="425"/>
    <tableColumn id="10" xr3:uid="{2AAFFD57-4A61-4D37-BCA2-7052EBCF3772}" name="1998" dataDxfId="424"/>
    <tableColumn id="11" xr3:uid="{2981394F-54B9-4FB4-86DE-901C3D81CC34}" name="1999" dataDxfId="423"/>
    <tableColumn id="12" xr3:uid="{74AF81A4-BD24-448B-B7A7-63D963FC7029}" name="2000" dataDxfId="422"/>
    <tableColumn id="13" xr3:uid="{B8546E2C-A2A5-42B2-B184-EC539E2BBDC3}" name="2001" dataDxfId="421"/>
    <tableColumn id="14" xr3:uid="{662C5D55-F4A6-4A3C-8952-9F5D8F8923CB}" name="2002" dataDxfId="420"/>
    <tableColumn id="15" xr3:uid="{E5328F86-35C5-4E13-AF1A-D00C4FD89887}" name="2003" dataDxfId="419"/>
    <tableColumn id="16" xr3:uid="{FECE9CEA-E2EF-4A6A-BC77-294FCF4D0F51}" name="2004" dataDxfId="418"/>
    <tableColumn id="17" xr3:uid="{1A81ACF8-5C4C-4EDA-8827-EF4BBF70AC4B}" name="2005" dataDxfId="417"/>
    <tableColumn id="18" xr3:uid="{0EA78FF4-F7EB-4D62-86C9-8CACF0D10FDF}" name="2006" dataDxfId="416"/>
    <tableColumn id="19" xr3:uid="{7380C280-829D-4B4F-A7BB-671499E33BD3}" name="2007" dataDxfId="415"/>
    <tableColumn id="20" xr3:uid="{D945C0E4-CBBB-46E5-9C54-A415F4358889}" name="2008" dataDxfId="414"/>
    <tableColumn id="21" xr3:uid="{FF6FB7DD-1DAC-497E-AFAA-E9050DEF4B5C}" name="2009" dataDxfId="413"/>
  </tableColumns>
  <tableStyleInfo name="TableStyleLight1" showFirstColumn="0" showLastColumn="0" showRowStripes="1" showColumnStripes="0"/>
</table>
</file>

<file path=xl/tables/table1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B4684CEC-7424-4056-AAE0-9B9EEBE79268}" name="DeterminationofMSBandMSNfromMSWforIndustrialSectorthrough2009" displayName="DeterminationofMSBandMSNfromMSWforIndustrialSectorthrough2009" ref="A86:U93" totalsRowShown="0" headerRowDxfId="412" tableBorderDxfId="411">
  <autoFilter ref="A86:U93" xr:uid="{B4684CEC-7424-4056-AAE0-9B9EEBE7926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88CF17AF-FE84-48C2-98F9-69C224979AEA}" name="Type of Solid Waste" dataDxfId="410"/>
    <tableColumn id="2" xr3:uid="{3C9089AF-5E21-47F8-B58F-AEBC89CA54A8}" name="1990"/>
    <tableColumn id="3" xr3:uid="{84785ECD-38D9-41C7-BCB2-D03905A52CD6}" name="1991"/>
    <tableColumn id="4" xr3:uid="{D13A2ADA-51DD-4537-81B6-D86C5D608DDF}" name="1992"/>
    <tableColumn id="5" xr3:uid="{6B0B1D6E-AAC1-4800-841B-F94F39F0AD39}" name="1993"/>
    <tableColumn id="6" xr3:uid="{C5C61D4D-2B99-494C-9C60-0DCB4871F173}" name="1994"/>
    <tableColumn id="7" xr3:uid="{B9745880-ABA4-4C8D-AE3C-459D014DDBDE}" name="1995"/>
    <tableColumn id="8" xr3:uid="{2E88C3A9-F3CE-49F4-8B94-96EA3D5336A5}" name="1996"/>
    <tableColumn id="9" xr3:uid="{40FD8CF0-DE3C-459F-9A6F-E71BED638F74}" name="1997"/>
    <tableColumn id="10" xr3:uid="{A8F6700A-4030-4374-9C58-CA98CB6CF17A}" name="1998"/>
    <tableColumn id="11" xr3:uid="{98D5F033-14FD-4BC7-8F3A-1D3B86EAC72C}" name="1999"/>
    <tableColumn id="12" xr3:uid="{B55C06F7-5A1C-4AAD-95D9-906020B5B3DC}" name="2000"/>
    <tableColumn id="13" xr3:uid="{53911ADA-BC0A-4869-B731-9593F577B62E}" name="2001"/>
    <tableColumn id="14" xr3:uid="{C6AA5304-F8ED-4B72-9B2B-5C092E97AD00}" name="2002"/>
    <tableColumn id="15" xr3:uid="{A13F2F3E-6D46-413C-9472-A95B2A61095C}" name="2003"/>
    <tableColumn id="16" xr3:uid="{5B8054FB-1B08-46BD-9AF0-ED455CEB94D6}" name="2004"/>
    <tableColumn id="17" xr3:uid="{00987B7C-E54B-476C-85EC-8B7EC8065571}" name="2005"/>
    <tableColumn id="18" xr3:uid="{28F46BEC-2B03-4C1D-85E6-4E64AEFD4AA7}" name="2006"/>
    <tableColumn id="19" xr3:uid="{823946A9-715A-4746-ADC7-8A48F04CBC46}" name="2007"/>
    <tableColumn id="20" xr3:uid="{DD7D3A52-F178-45F4-B9AB-5AE71DD80588}" name="2008"/>
    <tableColumn id="21" xr3:uid="{2B81AB73-AC2D-4411-BA76-97C8598A1773}" name="2009" dataDxfId="409"/>
  </tableColumns>
  <tableStyleInfo name="TableStyleLight1" showFirstColumn="0" showLastColumn="0" showRowStripes="1" showColumnStripes="0"/>
</table>
</file>

<file path=xl/tables/table1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227FE829-F171-4361-91B9-BF22D9B11B16}" name="SolidWasteConversionFactors" displayName="SolidWasteConversionFactors" ref="A123:B128" totalsRowShown="0" headerRowDxfId="408">
  <autoFilter ref="A123:B128" xr:uid="{227FE829-F171-4361-91B9-BF22D9B11B16}">
    <filterColumn colId="0" hiddenButton="1"/>
    <filterColumn colId="1" hiddenButton="1"/>
  </autoFilter>
  <tableColumns count="2">
    <tableColumn id="1" xr3:uid="{5373FC41-6498-4D07-8224-FC491B09385C}" name="Conversion Factors"/>
    <tableColumn id="2" xr3:uid="{C91FF746-228B-41EB-BA45-FF909BACE8E2}" name="Value"/>
  </tableColumns>
  <tableStyleInfo name="TableStyleLight1" showFirstColumn="0" showLastColumn="0" showRowStripes="1" showColumnStripes="0"/>
</table>
</file>

<file path=xl/tables/table1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5" xr:uid="{CD59C33B-8819-4878-90DD-E1927846424C}" name="DATAforSolidWaste" displayName="DATAforSolidWaste" ref="A6:D10" totalsRowShown="0" headerRowDxfId="407" headerRowBorderDxfId="406" tableBorderDxfId="405">
  <autoFilter ref="A6:D10" xr:uid="{CD59C33B-8819-4878-90DD-E1927846424C}">
    <filterColumn colId="0" hiddenButton="1"/>
    <filterColumn colId="1" hiddenButton="1"/>
    <filterColumn colId="2" hiddenButton="1"/>
    <filterColumn colId="3" hiddenButton="1"/>
  </autoFilter>
  <tableColumns count="4">
    <tableColumn id="1" xr3:uid="{204A84BB-42B6-4C98-9D03-82BAB88CB147}" name="Year(s)"/>
    <tableColumn id="2" xr3:uid="{2710A6D3-AF03-46F5-8F21-12DE1537531F}" name="Data Source"/>
    <tableColumn id="3" xr3:uid="{DA736D02-C766-4C67-ADF7-92A9980449B2}" name="Version"/>
    <tableColumn id="4" xr3:uid="{F9DAD672-2870-4464-ADF5-AE297C3B06C6}" name="Update Date"/>
  </tableColumns>
  <tableStyleInfo name="TableStyleLight1" showFirstColumn="0" showLastColumn="0" showRowStripes="1" showColumnStripes="0"/>
</table>
</file>

<file path=xl/tables/table1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DDC678B-3D4B-4E58-8301-11290DC884A5}" name="EIAAMassachusettsAdjustment" displayName="EIAAMassachusettsAdjustment" ref="J80:O100" totalsRowShown="0" headerRowDxfId="404" dataDxfId="403">
  <autoFilter ref="J80:O100" xr:uid="{6DDC678B-3D4B-4E58-8301-11290DC884A5}">
    <filterColumn colId="0" hiddenButton="1"/>
    <filterColumn colId="1" hiddenButton="1"/>
    <filterColumn colId="2" hiddenButton="1"/>
    <filterColumn colId="3" hiddenButton="1"/>
    <filterColumn colId="4" hiddenButton="1"/>
    <filterColumn colId="5" hiddenButton="1"/>
  </autoFilter>
  <tableColumns count="6">
    <tableColumn id="1" xr3:uid="{9987345D-BF34-4BF6-B913-3497B85EB614}" name="Year" dataDxfId="402"/>
    <tableColumn id="2" xr3:uid="{36B94822-4B48-4824-92A0-8E5013A07C6E}" name="EIA MA Generation (MWh)" dataDxfId="401"/>
    <tableColumn id="3" xr3:uid="{7CCA8604-2BB7-47F7-8359-B258EBCF7A31}" name="ISO-NE MA Generation (MWh)" dataDxfId="400"/>
    <tableColumn id="4" xr3:uid="{8D48D36F-EA7C-4DE1-B128-F950A69CD979}" name="Difference (MWh)" dataDxfId="399">
      <calculatedColumnFormula>L81-K81</calculatedColumnFormula>
    </tableColumn>
    <tableColumn id="5" xr3:uid="{17BE06AE-2436-4888-97AC-9B9E1676FECA}" name="Difference as Percent" dataDxfId="398" dataCellStyle="Percent">
      <calculatedColumnFormula>M81/K81</calculatedColumnFormula>
    </tableColumn>
    <tableColumn id="6" xr3:uid="{10CF2CD2-E798-4832-B9F2-B1D560DDFCC7}" name="Adjusted EIA MA Generation (MWh)" dataDxfId="397">
      <calculatedColumnFormula>K81+(N81*K81)</calculatedColumnFormula>
    </tableColumn>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1D6D2162-07BE-4618-817E-D48B64A72C81}" name="MAEmissionsByGasMMTCO2e" displayName="MAEmissionsByGasMMTCO2e" ref="A171:AI178" totalsRowShown="0" headerRowDxfId="5001" headerRowBorderDxfId="5000" tableBorderDxfId="4999">
  <autoFilter ref="A171:AI178" xr:uid="{1D6D2162-07BE-4618-817E-D48B64A72C8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CFB8A5E5-4322-4C1E-811F-79A4ECF4D918}" name="Gas"/>
    <tableColumn id="2" xr3:uid="{04DA17E7-60CF-4ED3-B5A5-E793D5AB9AA4}" name="1990"/>
    <tableColumn id="3" xr3:uid="{3C6FC150-9132-4857-B59A-4ABF3C6D2DB2}" name="1991"/>
    <tableColumn id="4" xr3:uid="{51123F7B-FD0D-4905-BDD9-F30309C1D1AC}" name="1992"/>
    <tableColumn id="5" xr3:uid="{E86FB980-5C1A-49C2-BFBC-922F18E29C92}" name="1993"/>
    <tableColumn id="6" xr3:uid="{01AEE546-0144-4A4A-9A02-C86BBA8D1543}" name="1994"/>
    <tableColumn id="7" xr3:uid="{392AE933-3A70-4D31-BE8F-7252D8BE2E34}" name="1995"/>
    <tableColumn id="8" xr3:uid="{28E667E5-B580-49E1-B7A5-3E8619FDD93A}" name="1996"/>
    <tableColumn id="9" xr3:uid="{5FC749B7-98B7-421F-A5A0-060F2D92830A}" name="1997"/>
    <tableColumn id="10" xr3:uid="{5E1E619B-97AB-4DE3-B024-AA30A18AAFA6}" name="1998"/>
    <tableColumn id="11" xr3:uid="{2FC40212-8724-43F1-AFC1-9A8728ADFC54}" name="1999"/>
    <tableColumn id="12" xr3:uid="{244067AC-CB2A-422A-8E63-72116736585C}" name="2000"/>
    <tableColumn id="13" xr3:uid="{1D9E0F04-ADDC-457D-A283-B65AB2B09ED7}" name="2001"/>
    <tableColumn id="14" xr3:uid="{E7AF1761-139C-40EC-836F-0D4599A29B0A}" name="2002"/>
    <tableColumn id="15" xr3:uid="{E6A1FF9C-4800-43FE-BE8F-36E38214951E}" name="2003"/>
    <tableColumn id="16" xr3:uid="{0A9B54A0-8F68-40D8-B3EE-25E6A18A1233}" name="2004"/>
    <tableColumn id="17" xr3:uid="{629FDF38-C9FA-4DE0-A3EC-CEE1F793B4AB}" name="2005"/>
    <tableColumn id="18" xr3:uid="{CC516C21-51E7-4D7C-831A-E5D29CD2C7A2}" name="2006"/>
    <tableColumn id="19" xr3:uid="{DAE0CAF6-5BC8-4B62-9640-B1133FBD28DD}" name="2007"/>
    <tableColumn id="20" xr3:uid="{275ACB83-1F35-4FC8-A9AE-02F5C1780794}" name="2008"/>
    <tableColumn id="21" xr3:uid="{3B131425-6C5A-4208-8320-DECE7A321BD3}" name="2009"/>
    <tableColumn id="22" xr3:uid="{FD3BF6F9-D2D7-4DCF-8654-37F58BFC947D}" name="2010"/>
    <tableColumn id="23" xr3:uid="{A1614F2B-649B-4465-9EE3-F407EF36EE49}" name="2011"/>
    <tableColumn id="24" xr3:uid="{7089110A-C34C-4598-A255-D4BB62CCCC90}" name="2012"/>
    <tableColumn id="25" xr3:uid="{A2DB4CB8-0B6D-4803-9E75-4C69409079B7}" name="2013"/>
    <tableColumn id="26" xr3:uid="{B1C88A3A-3A90-404F-900C-55428712639E}" name="2014"/>
    <tableColumn id="27" xr3:uid="{11BC0E20-3D0A-4DEE-9733-EC3B65FFB26B}" name="2015"/>
    <tableColumn id="28" xr3:uid="{B69C6A91-40EA-485A-B4A6-3202D59FAC0D}" name="2016"/>
    <tableColumn id="29" xr3:uid="{76A9A38D-C655-4168-A486-EC0BEECEC326}" name="2017"/>
    <tableColumn id="30" xr3:uid="{55803A11-5983-4624-8D57-3657E439F4F3}" name="2018"/>
    <tableColumn id="31" xr3:uid="{7C5EDB6B-6683-4303-A39D-8EE9E456EED8}" name="2019"/>
    <tableColumn id="32" xr3:uid="{6B74361E-BDB1-4A0E-85AB-36D6C92C6226}" name="2020"/>
    <tableColumn id="33" xr3:uid="{E5967DCB-07FF-4C5A-9818-E0454068F350}" name="2021"/>
    <tableColumn id="34" xr3:uid="{58F63CF3-1592-4D13-80A0-4BFBF9D80FA1}" name="2022"/>
    <tableColumn id="35" xr3:uid="{5C903643-325D-4991-859B-26EB0B2A0E84}" name="2023"/>
  </tableColumns>
  <tableStyleInfo name="TableStyleLight1" showFirstColumn="0" showLastColumn="0" showRowStripes="1" showColumnStripes="0"/>
</table>
</file>

<file path=xl/tables/table1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D383A22-F5C4-496F-8993-27BEC43EBB0A}" name="EIAMaineAdjustment" displayName="EIAMaineAdjustment" ref="Q80:V100" totalsRowShown="0" headerRowDxfId="396" dataDxfId="395">
  <autoFilter ref="Q80:V100" xr:uid="{7D383A22-F5C4-496F-8993-27BEC43EBB0A}">
    <filterColumn colId="0" hiddenButton="1"/>
    <filterColumn colId="1" hiddenButton="1"/>
    <filterColumn colId="2" hiddenButton="1"/>
    <filterColumn colId="3" hiddenButton="1"/>
    <filterColumn colId="4" hiddenButton="1"/>
    <filterColumn colId="5" hiddenButton="1"/>
  </autoFilter>
  <tableColumns count="6">
    <tableColumn id="1" xr3:uid="{B8E7B9C6-EE34-431E-ADBA-DAF6EBC0900D}" name="Year" dataDxfId="394"/>
    <tableColumn id="2" xr3:uid="{8E730B3F-2CA5-4C3B-AF54-A325468DBAC1}" name="EIA ME Generation (MWh)" dataDxfId="393"/>
    <tableColumn id="3" xr3:uid="{A95DAC2F-8BC5-48F1-BC54-44C41D8A2CC2}" name="ISO-NE ME Generation (MWh)" dataDxfId="392"/>
    <tableColumn id="4" xr3:uid="{3FCDDCDB-8862-4931-AD2C-936580C77A6C}" name="Difference (MWh)" dataDxfId="391"/>
    <tableColumn id="5" xr3:uid="{DAF94BB1-345D-498B-8CF1-9B5E2337CFCC}" name="Difference as Percent" dataDxfId="390" dataCellStyle="Percent"/>
    <tableColumn id="6" xr3:uid="{E4EF530A-BF29-4AB0-B3CD-E6FC79EAB9F2}" name="Adjusted EIA ME Generation (MWh)" dataDxfId="389"/>
  </tableColumns>
  <tableStyleInfo name="TableStyleLight1" showFirstColumn="0" showLastColumn="0" showRowStripes="1" showColumnStripes="0"/>
</table>
</file>

<file path=xl/tables/table1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5522715-F197-4351-9CAC-9E0F79D4DE37}" name="EIANewHampshireAdjustment" displayName="EIANewHampshireAdjustment" ref="X80:AC100" totalsRowShown="0" headerRowDxfId="388" dataDxfId="387">
  <autoFilter ref="X80:AC100" xr:uid="{05522715-F197-4351-9CAC-9E0F79D4DE37}">
    <filterColumn colId="0" hiddenButton="1"/>
    <filterColumn colId="1" hiddenButton="1"/>
    <filterColumn colId="2" hiddenButton="1"/>
    <filterColumn colId="3" hiddenButton="1"/>
    <filterColumn colId="4" hiddenButton="1"/>
    <filterColumn colId="5" hiddenButton="1"/>
  </autoFilter>
  <tableColumns count="6">
    <tableColumn id="1" xr3:uid="{18C81833-8888-4E81-82E2-9451040C906C}" name="Year" dataDxfId="386"/>
    <tableColumn id="2" xr3:uid="{266B7103-06CF-4FF8-90AE-1FEC6C480EF5}" name="EIA NH Generation (MWh)" dataDxfId="385"/>
    <tableColumn id="3" xr3:uid="{60E95525-0F7B-434F-9D8E-292D78780DD7}" name="ISO-NE NH Generation (MWh)" dataDxfId="384"/>
    <tableColumn id="4" xr3:uid="{855652D7-CF14-4F9F-9FC0-D9C56A263857}" name="Difference (MWh)" dataDxfId="383">
      <calculatedColumnFormula>Z81-Y81</calculatedColumnFormula>
    </tableColumn>
    <tableColumn id="5" xr3:uid="{734C48F5-A2C3-428A-BE5D-F72BC3B69105}" name="Difference as Percent" dataDxfId="382" dataCellStyle="Percent">
      <calculatedColumnFormula>AA81/Y81</calculatedColumnFormula>
    </tableColumn>
    <tableColumn id="6" xr3:uid="{427F97E1-1B73-4AA2-AFB5-CD8A554A4772}" name="Adjusted EIA NH Generation (MWh)" dataDxfId="381">
      <calculatedColumnFormula>Y81+(AB81*Y81)</calculatedColumnFormula>
    </tableColumn>
  </tableColumns>
  <tableStyleInfo name="TableStyleLight1" showFirstColumn="0" showLastColumn="0" showRowStripes="1" showColumnStripes="0"/>
</table>
</file>

<file path=xl/tables/table1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32B333C-BFC3-4507-86AF-5AB1AE717129}" name="EIAVermontAdjustment" displayName="EIAVermontAdjustment" ref="AE80:AJ100" totalsRowShown="0" headerRowDxfId="380" dataDxfId="379">
  <autoFilter ref="AE80:AJ100" xr:uid="{D32B333C-BFC3-4507-86AF-5AB1AE717129}">
    <filterColumn colId="0" hiddenButton="1"/>
    <filterColumn colId="1" hiddenButton="1"/>
    <filterColumn colId="2" hiddenButton="1"/>
    <filterColumn colId="3" hiddenButton="1"/>
    <filterColumn colId="4" hiddenButton="1"/>
    <filterColumn colId="5" hiddenButton="1"/>
  </autoFilter>
  <tableColumns count="6">
    <tableColumn id="1" xr3:uid="{69713647-D647-4DC2-A453-A6386456F59B}" name="Year" dataDxfId="378"/>
    <tableColumn id="2" xr3:uid="{4BD05DAF-994D-429D-9BDF-5D94B5DE958C}" name="EIA VT Generation (MWh)" dataDxfId="377"/>
    <tableColumn id="3" xr3:uid="{4FC1D54B-9A0A-4928-8309-88E9A2DAC3E1}" name="ISO-NE VT Generation (MWh)" dataDxfId="376"/>
    <tableColumn id="4" xr3:uid="{4579F43F-FFB2-4A71-9B71-75F7AE1EC5F9}" name="Difference (MWh)" dataDxfId="375">
      <calculatedColumnFormula>AG81-AF81</calculatedColumnFormula>
    </tableColumn>
    <tableColumn id="5" xr3:uid="{44544D00-F03D-40C6-A710-FDE2675C663A}" name="Difference as Percent" dataDxfId="374" dataCellStyle="Percent">
      <calculatedColumnFormula>AH81/AF81</calculatedColumnFormula>
    </tableColumn>
    <tableColumn id="6" xr3:uid="{FAA972BC-65EA-4F01-AFCF-80CC563FB1F5}" name="Adjusted EIA VT Generation (MWh)" dataDxfId="373">
      <calculatedColumnFormula>AF81+(AI81*AF81)</calculatedColumnFormula>
    </tableColumn>
  </tableColumns>
  <tableStyleInfo name="TableStyleLight1" showFirstColumn="0" showLastColumn="0" showRowStripes="1" showColumnStripes="0"/>
</table>
</file>

<file path=xl/tables/table1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342B53E-2313-47C5-BC75-12EA697D8504}" name="EIAConnecticutAdjustment" displayName="EIAConnecticutAdjustment" ref="AL80:AQ100" totalsRowShown="0" headerRowDxfId="372" dataDxfId="371">
  <autoFilter ref="AL80:AQ100" xr:uid="{7342B53E-2313-47C5-BC75-12EA697D8504}">
    <filterColumn colId="0" hiddenButton="1"/>
    <filterColumn colId="1" hiddenButton="1"/>
    <filterColumn colId="2" hiddenButton="1"/>
    <filterColumn colId="3" hiddenButton="1"/>
    <filterColumn colId="4" hiddenButton="1"/>
    <filterColumn colId="5" hiddenButton="1"/>
  </autoFilter>
  <tableColumns count="6">
    <tableColumn id="1" xr3:uid="{3C72F700-DB5E-496C-B47F-632ECB73E755}" name="Year" dataDxfId="370"/>
    <tableColumn id="2" xr3:uid="{5BE614B4-AD55-49AD-9558-5DDA246F735D}" name="EIA CT Generation (MWh)" dataDxfId="369"/>
    <tableColumn id="3" xr3:uid="{9C39CAF9-DB8C-4692-812C-07E54E6567A5}" name="ISO-NE CT Generation (MWh)" dataDxfId="368"/>
    <tableColumn id="4" xr3:uid="{9A095F75-8E79-4BB8-8513-08A5E0A2F42A}" name="Difference (MWh)" dataDxfId="367">
      <calculatedColumnFormula>AN81-AM81</calculatedColumnFormula>
    </tableColumn>
    <tableColumn id="5" xr3:uid="{32496EB9-B311-4B69-B9BC-D210319C8DD5}" name="Difference as Percent" dataDxfId="366" dataCellStyle="Percent">
      <calculatedColumnFormula>AO81/AM81</calculatedColumnFormula>
    </tableColumn>
    <tableColumn id="6" xr3:uid="{D5A39D07-1079-41E4-A633-FF19FCDAF7E3}" name="Adjusted EIA CT Generation (MWh)" dataDxfId="365">
      <calculatedColumnFormula>AM81+(AP81*AM81)</calculatedColumnFormula>
    </tableColumn>
  </tableColumns>
  <tableStyleInfo name="TableStyleLight1" showFirstColumn="0" showLastColumn="0" showRowStripes="1" showColumnStripes="0"/>
</table>
</file>

<file path=xl/tables/table1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D93764C-E337-4BE2-8DFF-A4A6F41DAA4F}" name="EIARhodeIslandAdjustment" displayName="EIARhodeIslandAdjustment" ref="AS80:AX100" totalsRowShown="0" headerRowDxfId="364" dataDxfId="363">
  <autoFilter ref="AS80:AX100" xr:uid="{4D93764C-E337-4BE2-8DFF-A4A6F41DAA4F}">
    <filterColumn colId="0" hiddenButton="1"/>
    <filterColumn colId="1" hiddenButton="1"/>
    <filterColumn colId="2" hiddenButton="1"/>
    <filterColumn colId="3" hiddenButton="1"/>
    <filterColumn colId="4" hiddenButton="1"/>
    <filterColumn colId="5" hiddenButton="1"/>
  </autoFilter>
  <tableColumns count="6">
    <tableColumn id="1" xr3:uid="{720B821B-9465-4EF4-ABBD-3F618B6CFD97}" name="Year" dataDxfId="362"/>
    <tableColumn id="2" xr3:uid="{9406EB67-40EF-428A-B94D-CC7C55C4BAAF}" name="EIA RI Generation (MWh)" dataDxfId="361"/>
    <tableColumn id="3" xr3:uid="{D33B7FA7-11AA-409F-8F4A-4A8CBD72E684}" name="ISO-NE RI Generation (MWh)" dataDxfId="360"/>
    <tableColumn id="4" xr3:uid="{06D66BAD-2DAB-4621-B917-AC0FBADC5A22}" name="Difference (MWh)" dataDxfId="359">
      <calculatedColumnFormula>AU81-AT81</calculatedColumnFormula>
    </tableColumn>
    <tableColumn id="5" xr3:uid="{75BBC5B1-4E4B-413F-ADFA-819A7C1A4058}" name="Difference as Percent" dataDxfId="358" dataCellStyle="Percent">
      <calculatedColumnFormula>AV81/AT81</calculatedColumnFormula>
    </tableColumn>
    <tableColumn id="6" xr3:uid="{A5111732-4D0B-4EAD-83F9-4E2E2BB6661F}" name="Adjusted EIA RI Generation (MWh)" dataDxfId="357">
      <calculatedColumnFormula>AT81+(AW81*AT81)</calculatedColumnFormula>
    </tableColumn>
  </tableColumns>
  <tableStyleInfo name="TableStyleLight1" showFirstColumn="0" showLastColumn="0" showRowStripes="1" showColumnStripes="0"/>
</table>
</file>

<file path=xl/tables/table1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72036B9-C093-4581-B51B-E218AEFA6C33}" name="EIAWholeISONEAdjustment" displayName="EIAWholeISONEAdjustment" ref="A80:H100" totalsRowShown="0" headerRowDxfId="356" dataDxfId="355">
  <autoFilter ref="A80:H100" xr:uid="{972036B9-C093-4581-B51B-E218AEFA6C33}">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208561E-7B83-4DF3-9661-AEB57DD5697B}" name="Year" dataDxfId="354"/>
    <tableColumn id="2" xr3:uid="{91C9748E-48C8-4D93-8E18-A61B62ABE7C1}" name="EIA MA Generation (MWh)" dataDxfId="353">
      <calculatedColumnFormula>O81</calculatedColumnFormula>
    </tableColumn>
    <tableColumn id="3" xr3:uid="{339C3F67-F469-4276-99A6-3AF4B8F0D5F8}" name="CT" dataDxfId="352">
      <calculatedColumnFormula>AQ81</calculatedColumnFormula>
    </tableColumn>
    <tableColumn id="4" xr3:uid="{25407A0F-BDE9-461A-A263-7B398C3BB964}" name="ME" dataDxfId="351">
      <calculatedColumnFormula>V81</calculatedColumnFormula>
    </tableColumn>
    <tableColumn id="5" xr3:uid="{9EFA8062-8DF3-4227-B1C8-4E2B84F288ED}" name="NH" dataDxfId="350">
      <calculatedColumnFormula>AC81</calculatedColumnFormula>
    </tableColumn>
    <tableColumn id="6" xr3:uid="{06C30686-BD56-4934-BD83-41565EC3928D}" name="RI" dataDxfId="349">
      <calculatedColumnFormula>AX81</calculatedColumnFormula>
    </tableColumn>
    <tableColumn id="7" xr3:uid="{F2F82740-4FC4-4F90-96C0-E0EE6C32E6AC}" name="VT" dataDxfId="348">
      <calculatedColumnFormula>AJ81</calculatedColumnFormula>
    </tableColumn>
    <tableColumn id="8" xr3:uid="{BE03141C-38D8-4202-BDFC-261DCCC384AF}" name="EIA Total NE generation (MWh)" dataDxfId="347">
      <calculatedColumnFormula>SUM(B81:G81)</calculatedColumnFormula>
    </tableColumn>
  </tableColumns>
  <tableStyleInfo name="TableStyleLight1" showFirstColumn="0" showLastColumn="0" showRowStripes="1" showColumnStripes="0"/>
</table>
</file>

<file path=xl/tables/table1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CD16E5E1-D8C5-44E1-B3B7-9EA0775FF1F8}" name="CalculationofAverageMaineAdjustmentValuetoAccountforNMISA2000through2008" displayName="CalculationofAverageMaineAdjustmentValuetoAccountforNMISA2000through2008" ref="A109:E120" totalsRowShown="0" headerRowDxfId="346" headerRowBorderDxfId="345" tableBorderDxfId="344">
  <autoFilter ref="A109:E120" xr:uid="{CD16E5E1-D8C5-44E1-B3B7-9EA0775FF1F8}">
    <filterColumn colId="0" hiddenButton="1"/>
    <filterColumn colId="1" hiddenButton="1"/>
    <filterColumn colId="2" hiddenButton="1"/>
    <filterColumn colId="3" hiddenButton="1"/>
    <filterColumn colId="4" hiddenButton="1"/>
  </autoFilter>
  <tableColumns count="5">
    <tableColumn id="1" xr3:uid="{78B47998-BB3D-4663-BD58-FA882047C787}" name="Year" dataDxfId="343"/>
    <tableColumn id="2" xr3:uid="{F12BA5DF-DFD0-4D18-9DD7-654E167E2CAA}" name="NMISA Generation (MWh)" dataDxfId="342" dataCellStyle="Comma"/>
    <tableColumn id="3" xr3:uid="{05A54C33-0E3F-40AD-81BB-0E0CB991BE97}" name="ISO ME Generation (MWh)" dataDxfId="341" dataCellStyle="Comma"/>
    <tableColumn id="4" xr3:uid="{477C8860-4A15-461F-A576-FA3D759BED7E}" name="Total ME Generation (MWh)" dataDxfId="340"/>
    <tableColumn id="5" xr3:uid="{800A87D4-F1C4-451F-8082-781BA91E6252}" name="ISO Gen % of Total ME Generation" dataDxfId="339"/>
  </tableColumns>
  <tableStyleInfo name="TableStyleLight1" showFirstColumn="0" showLastColumn="0" showRowStripes="1" showColumnStripes="0"/>
</table>
</file>

<file path=xl/tables/table1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537E1168-35C9-4737-A7C0-662C98B778B8}" name="CalculationofAvergaeEmissionFactorforExtraNewEnglandImports1990through1999" displayName="CalculationofAvergaeEmissionFactorforExtraNewEnglandImports1990through1999" ref="A128:B139" totalsRowShown="0" headerRowDxfId="338" headerRowBorderDxfId="337" tableBorderDxfId="336">
  <autoFilter ref="A128:B139" xr:uid="{537E1168-35C9-4737-A7C0-662C98B778B8}">
    <filterColumn colId="0" hiddenButton="1"/>
    <filterColumn colId="1" hiddenButton="1"/>
  </autoFilter>
  <tableColumns count="2">
    <tableColumn id="1" xr3:uid="{5EC8E73E-AD5B-42CD-A482-3756926E5CD3}" name="Year" dataDxfId="335"/>
    <tableColumn id="2" xr3:uid="{5CD1A094-B83F-4B50-AF50-91DC2D675F4B}" name="(MMTCO2e/MWh)" dataDxfId="334"/>
  </tableColumns>
  <tableStyleInfo name="TableStyleLight1" showFirstColumn="0" showLastColumn="0" showRowStripes="1" showColumnStripes="0"/>
</table>
</file>

<file path=xl/tables/table1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1CD1D736-A2C1-4797-9DE2-3F525BFAE0FA}" name="IntraISONEElectricityImportsMaine" displayName="IntraISONEElectricityImportsMaine" ref="V31:AF51" totalsRowShown="0" headerRowDxfId="333" dataDxfId="331" headerRowBorderDxfId="332" tableBorderDxfId="330" totalsRowBorderDxfId="329">
  <autoFilter ref="V31:AF51" xr:uid="{1CD1D736-A2C1-4797-9DE2-3F525BFAE0F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FB9CD3BF-CEFD-4DFD-A231-C262446CC852}" name="Year" dataDxfId="328"/>
    <tableColumn id="2" xr3:uid="{C5868AF9-683F-4443-9995-49AE4CE8CBB9}" name="Electric Generation (MWh)" dataDxfId="327">
      <calculatedColumnFormula>'Electricity Imports'!S81</calculatedColumnFormula>
    </tableColumn>
    <tableColumn id="3" xr3:uid="{3A30F7D4-43B5-4477-B685-ED72368FD917}" name="Electric Load (MWh)" dataDxfId="326"/>
    <tableColumn id="4" xr3:uid="{FCE324CE-CF48-4EE0-82A3-85349BF3D75B}" name="Electric Load Including Pumping (MWh)" dataDxfId="325">
      <calculatedColumnFormula>X32+((X32/DD32)*DE32)</calculatedColumnFormula>
    </tableColumn>
    <tableColumn id="5" xr3:uid="{AACFFC4A-90E7-4C5D-969A-54D912FA19DD}" name="Net Export (MWh)" dataDxfId="324">
      <calculatedColumnFormula>IF(W32&gt;Y32,W32-Y32,0)</calculatedColumnFormula>
    </tableColumn>
    <tableColumn id="6" xr3:uid="{CB133B8A-C0AB-45AE-AA5C-A1A9EFB3E990}" name="MA Share of Net Exports (MWh)" dataDxfId="323">
      <calculatedColumnFormula>Z32*J32</calculatedColumnFormula>
    </tableColumn>
    <tableColumn id="7" xr3:uid="{5EA9F941-157D-41FF-BF02-1368BFF7C0AF}" name="CO2 Emissions from Electricity (MMTCO2e)" dataDxfId="322"/>
    <tableColumn id="8" xr3:uid="{848423C7-4804-460B-B7AC-B92ABF2BAF8D}" name="CH4 and N2O Emissions from Electricity (MMTCO2e)" dataDxfId="321"/>
    <tableColumn id="9" xr3:uid="{E7FD67EC-977B-4492-B20B-F7387628C3B1}" name="GHG Emissions from Electricity (MMTCO2e)" dataDxfId="320">
      <calculatedColumnFormula>AB32+AC32</calculatedColumnFormula>
    </tableColumn>
    <tableColumn id="10" xr3:uid="{48B4DFFA-E742-428C-A034-8A53CC0F689D}" name="GHG Emissions from Exports (MMTCO2e)" dataDxfId="319">
      <calculatedColumnFormula>AD32*(Z32/W32)</calculatedColumnFormula>
    </tableColumn>
    <tableColumn id="11" xr3:uid="{928BCA03-DEE1-4A34-96D3-084ACC5C3A96}" name="MA Share of GHG Emissions from Exports (MMTCO2e)" dataDxfId="318">
      <calculatedColumnFormula>AE32*J32</calculatedColumnFormula>
    </tableColumn>
  </tableColumns>
  <tableStyleInfo name="TableStyleLight1" showFirstColumn="0" showLastColumn="0" showRowStripes="1" showColumnStripes="0"/>
</table>
</file>

<file path=xl/tables/table1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DF91DFA3-7A5D-4EFA-8303-4F52CE8F7757}" name="IntraISONEElectricityImportsNewHampshire" displayName="IntraISONEElectricityImportsNewHampshire" ref="AH31:AR51" totalsRowShown="0" headerRowDxfId="317" dataDxfId="316">
  <autoFilter ref="AH31:AR51" xr:uid="{DF91DFA3-7A5D-4EFA-8303-4F52CE8F775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FFBB2B8-A2FA-45F1-A162-E68E5C0DE8F0}" name="Year" dataDxfId="315"/>
    <tableColumn id="2" xr3:uid="{48C2A701-147B-432F-A1A9-447454C0C7AE}" name="Electric Generation (MWh)" dataDxfId="314"/>
    <tableColumn id="3" xr3:uid="{F68F34BF-91E7-455E-865F-4AC1E72024E1}" name="Electric Load (MWh)" dataDxfId="313"/>
    <tableColumn id="4" xr3:uid="{C7FEB0BC-AB1A-442F-99E5-B1B84A8D63B3}" name="Electric Load Including Pumping (MWh)" dataDxfId="312"/>
    <tableColumn id="5" xr3:uid="{917FDEAE-726C-4CFC-8A94-AA8C8B7BD770}" name="Net Export (MWh)" dataDxfId="311"/>
    <tableColumn id="6" xr3:uid="{499D4376-8BC6-4DF5-836F-A6C4EC9A38E9}" name="MA Share of Net Exports (MWh)" dataDxfId="310"/>
    <tableColumn id="7" xr3:uid="{813A152A-BEC9-45A1-BED2-E4B0DFBB080A}" name="CO2 Emissions from Electricity (MMTCO2e)" dataDxfId="309"/>
    <tableColumn id="8" xr3:uid="{6B890005-5563-414E-967C-12FB9F64B45A}" name="CH4 and N2O Emissions from Electricity (MMTCO2e)" dataDxfId="308"/>
    <tableColumn id="9" xr3:uid="{7018D889-2E50-4D66-8CFC-D4FC3570EA65}" name="GHG Emissions from Electricity (MMTCO2e)" dataDxfId="307"/>
    <tableColumn id="10" xr3:uid="{3F52AE74-7CEF-49B2-ABD8-5FBA408933EC}" name="GHG Emissions from Exports (MMTCO2e)" dataDxfId="306"/>
    <tableColumn id="11" xr3:uid="{4B65087F-818D-4EDF-A73B-D581F3394731}" name="MA Share of GHG Emissions from Exports (MMTCO2e)" dataDxfId="305"/>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E6228CAD-CDFF-4DC7-9A50-9961245212C6}" name="MAEmissionsAsMetricTonsofCO2CH4andN2O" displayName="MAEmissionsAsMetricTonsofCO2CH4andN2O" ref="A181:AI185" totalsRowShown="0" headerRowDxfId="4998" dataDxfId="4996" headerRowBorderDxfId="4997">
  <autoFilter ref="A181:AI185" xr:uid="{E6228CAD-CDFF-4DC7-9A50-9961245212C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5A112F35-42BA-48A2-9443-7D88E8658B4C}" name="Gas" dataDxfId="4995"/>
    <tableColumn id="2" xr3:uid="{FABE2C48-8BC0-4223-A31F-A91714D7FE93}" name="1990" dataDxfId="4994"/>
    <tableColumn id="3" xr3:uid="{EB0050E7-DCDD-4543-A253-0AD1C46AEB29}" name="1991" dataDxfId="4993"/>
    <tableColumn id="4" xr3:uid="{48D2A222-88A8-4933-9FFF-BDC11C7A747F}" name="1992" dataDxfId="4992"/>
    <tableColumn id="5" xr3:uid="{BA2DF270-8152-4BD6-B4D9-AC4528EB61B2}" name="1993" dataDxfId="4991"/>
    <tableColumn id="6" xr3:uid="{551A189C-E730-449F-887F-F054B5048C01}" name="1994" dataDxfId="4990"/>
    <tableColumn id="7" xr3:uid="{08D04757-8B05-4516-B814-D8BDD1B09003}" name="1995" dataDxfId="4989"/>
    <tableColumn id="8" xr3:uid="{FC9901DD-6AAE-47E5-9550-ACC5E7607F29}" name="1996" dataDxfId="4988"/>
    <tableColumn id="9" xr3:uid="{E0130027-9BDE-4FF8-84FC-735093E7D144}" name="1997" dataDxfId="4987"/>
    <tableColumn id="10" xr3:uid="{939F8346-949D-4F8B-93EF-5383C04B1A8C}" name="1998" dataDxfId="4986"/>
    <tableColumn id="11" xr3:uid="{1B4186EC-C4D2-48E6-AB93-E9152BC4E19E}" name="1999" dataDxfId="4985"/>
    <tableColumn id="12" xr3:uid="{8D548621-CDD9-42CD-A3DF-48CBB39F1796}" name="2000" dataDxfId="4984"/>
    <tableColumn id="13" xr3:uid="{069C99BD-5088-4E00-A24C-E5EAEE3DC064}" name="2001" dataDxfId="4983"/>
    <tableColumn id="14" xr3:uid="{6503B7E5-122B-4385-A196-FA5E22ECA6F5}" name="2002" dataDxfId="4982"/>
    <tableColumn id="15" xr3:uid="{F4D44345-94C0-4632-BD89-F1AAA2E46FF8}" name="2003" dataDxfId="4981"/>
    <tableColumn id="16" xr3:uid="{3732D15A-0DD0-4CD0-8DF7-82C94070DDF3}" name="2004" dataDxfId="4980"/>
    <tableColumn id="17" xr3:uid="{BC488EC2-EC60-4398-B2E5-2C23EB6F2D81}" name="2005" dataDxfId="4979"/>
    <tableColumn id="18" xr3:uid="{08A0D77E-C2ED-4901-B227-67D54621B396}" name="2006" dataDxfId="4978"/>
    <tableColumn id="19" xr3:uid="{7401346D-974D-4EA3-BA1A-4D5CAE84CF31}" name="2007" dataDxfId="4977"/>
    <tableColumn id="20" xr3:uid="{BA2F9C58-8448-4D96-BFF1-8C950EBCF107}" name="2008" dataDxfId="4976"/>
    <tableColumn id="21" xr3:uid="{3338CF3C-91C0-4A49-A879-5214F6607560}" name="2009" dataDxfId="4975"/>
    <tableColumn id="22" xr3:uid="{992F9F39-1014-4248-A95E-13FD852760D2}" name="2010" dataDxfId="4974"/>
    <tableColumn id="23" xr3:uid="{05D5A6B6-960B-4442-9BF5-5468C7037168}" name="2011" dataDxfId="4973"/>
    <tableColumn id="24" xr3:uid="{D67FF9CF-50DE-49BF-805D-64DF73BA0056}" name="2012" dataDxfId="4972"/>
    <tableColumn id="25" xr3:uid="{8A7E470A-965A-46DA-901F-6107D6F20123}" name="2013" dataDxfId="4971"/>
    <tableColumn id="26" xr3:uid="{B9122F58-D586-4CD0-B060-89439F250E12}" name="2014" dataDxfId="4970"/>
    <tableColumn id="27" xr3:uid="{EB6FD946-60E7-4FBC-91A3-3A27F59CAF33}" name="2015" dataDxfId="4969"/>
    <tableColumn id="28" xr3:uid="{CCAD2AB3-F564-4A92-9A87-5A8BF98377A9}" name="2016" dataDxfId="4968"/>
    <tableColumn id="29" xr3:uid="{32CC17C1-7853-495E-82A8-8E36865D3AE5}" name="2017" dataDxfId="4967"/>
    <tableColumn id="30" xr3:uid="{E208B27B-9EC6-4CCA-8624-5FA65D4C7D39}" name="2018" dataDxfId="4966"/>
    <tableColumn id="31" xr3:uid="{E1CBCD99-5FEF-456C-BEAA-2F6C38CFE27B}" name="2019" dataDxfId="4965"/>
    <tableColumn id="32" xr3:uid="{8BFC403E-44A0-4527-AD4E-BE9245D4AEEC}" name="2020" dataDxfId="4964"/>
    <tableColumn id="33" xr3:uid="{2C99361E-6112-486F-B510-8145E34DCCDB}" name="2021" dataDxfId="4963"/>
    <tableColumn id="34" xr3:uid="{B8F7316B-15DB-4E6A-B93C-212BA2FCBF47}" name="2022" dataDxfId="4962"/>
    <tableColumn id="35" xr3:uid="{2B5150E6-2928-40B5-B49A-0E47013B936A}" name="2023" dataDxfId="4961"/>
  </tableColumns>
  <tableStyleInfo name="TableStyleLight1" showFirstColumn="0" showLastColumn="0" showRowStripes="1" showColumnStripes="0"/>
</table>
</file>

<file path=xl/tables/table1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865BF95C-5E28-425E-8B7B-AD20DECB51D9}" name="IntraISONEElectricityImportsVermont" displayName="IntraISONEElectricityImportsVermont" ref="AT31:BD51" totalsRowShown="0" headerRowDxfId="304" dataDxfId="302" headerRowBorderDxfId="303" tableBorderDxfId="301">
  <autoFilter ref="AT31:BD51" xr:uid="{865BF95C-5E28-425E-8B7B-AD20DECB5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FA46D3C5-BA42-42AB-90F2-E286DBEC9083}" name="Year" dataDxfId="300"/>
    <tableColumn id="2" xr3:uid="{9B8A2E4E-33BC-4EDE-8244-5BC3FADA0453}" name="Electric Generation (MWh)" dataDxfId="299"/>
    <tableColumn id="3" xr3:uid="{12688980-1C2B-4B2B-AC96-44CE39EBB0B5}" name="Electric Load (MWh)" dataDxfId="298"/>
    <tableColumn id="4" xr3:uid="{0A99DD3A-CA12-4BB4-8F83-30BED770D5AD}" name="Electric Load Including Pumping (MWh)" dataDxfId="297"/>
    <tableColumn id="5" xr3:uid="{B4495CC0-DEC7-48F5-9D2A-FB8C06704951}" name="Net Export (MWh)" dataDxfId="296"/>
    <tableColumn id="6" xr3:uid="{A20D169B-E002-441E-8E54-50CDBBC2B2ED}" name="MA Share of Net Exports (MWh)" dataDxfId="295"/>
    <tableColumn id="7" xr3:uid="{7098BF04-848E-4897-9FC6-539899BA58F8}" name="CO2 Emissions from Electricity (MMTCO2e)" dataDxfId="294"/>
    <tableColumn id="8" xr3:uid="{A7563FC6-BD80-42F8-928A-047446DE88C6}" name="CH4 and N2O Emissions from Electricity (MMTCO2e)" dataDxfId="293"/>
    <tableColumn id="9" xr3:uid="{FD3D0B58-2387-45DF-89AC-5743F64F480D}" name="GHG Emissions from Electricity (MMTCO2e)" dataDxfId="292"/>
    <tableColumn id="10" xr3:uid="{6E727603-9C67-4D1F-9713-FF534B681FF1}" name="GHG Emissions from Exports (MMTCO2e)" dataDxfId="291"/>
    <tableColumn id="11" xr3:uid="{350A50B4-7E43-476E-B69B-FE4A755AADD8}" name="MA Share of GHG Emissions from Exports (MMTCO2e)" dataDxfId="290"/>
  </tableColumns>
  <tableStyleInfo name="TableStyleLight1" showFirstColumn="0" showLastColumn="0" showRowStripes="1" showColumnStripes="0"/>
</table>
</file>

<file path=xl/tables/table1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9" xr:uid="{866C295E-589F-4469-BA3F-9DC0853B8CF1}" name="IntraISONEElectricityImportsConnecticut" displayName="IntraISONEElectricityImportsConnecticut" ref="BF31:BP51" totalsRowShown="0" headerRowDxfId="289" dataDxfId="287" headerRowBorderDxfId="288" tableBorderDxfId="286" totalsRowBorderDxfId="285">
  <autoFilter ref="BF31:BP51" xr:uid="{866C295E-589F-4469-BA3F-9DC0853B8CF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A5EDF84E-A420-46D8-9833-77937FD9F575}" name="Year" dataDxfId="284"/>
    <tableColumn id="2" xr3:uid="{02416E76-A8F4-4B4E-BFBB-F0C899CC399A}" name="Electric Generation (MWh)" dataDxfId="283">
      <calculatedColumnFormula>'Electricity Imports'!AN81</calculatedColumnFormula>
    </tableColumn>
    <tableColumn id="3" xr3:uid="{DDA893A7-753D-449E-94BD-746AC5248277}" name="Electric Load (MWh)" dataDxfId="282"/>
    <tableColumn id="4" xr3:uid="{68EEA760-50E1-4666-A847-5C0C22A06AC8}" name="Electric Load Including Pumping (MWh)" dataDxfId="281">
      <calculatedColumnFormula>BH32+((BH32/DD32)*DE32)</calculatedColumnFormula>
    </tableColumn>
    <tableColumn id="5" xr3:uid="{12D7CF03-73A2-4E04-B53F-B8D455BA5F17}" name="Net Export (MWh)" dataDxfId="280">
      <calculatedColumnFormula>IF(BG32&gt;BI32,BG32-BI32,0)</calculatedColumnFormula>
    </tableColumn>
    <tableColumn id="6" xr3:uid="{A7B7A8AE-830D-4DA1-B13F-70CB4BCC08C2}" name="MA Share of Net Exports (MWh)" dataDxfId="279">
      <calculatedColumnFormula>BJ32*J32</calculatedColumnFormula>
    </tableColumn>
    <tableColumn id="7" xr3:uid="{C263204B-8241-4707-884B-D50C6C4AD5C6}" name="CO2 Emissions from Electricity (MMTCO2e)" dataDxfId="278"/>
    <tableColumn id="8" xr3:uid="{468539C3-F72D-43AC-A351-386538C9172B}" name="CH4 and N2O Emissions from Electricity (MMTCO2e)" dataDxfId="277"/>
    <tableColumn id="9" xr3:uid="{D05A2949-026A-4491-823B-74A411DED993}" name="GHG Emissions from Electricity (MMTCO2e)" dataDxfId="276">
      <calculatedColumnFormula>BL32+BM32</calculatedColumnFormula>
    </tableColumn>
    <tableColumn id="10" xr3:uid="{CFD92DF7-E32C-4952-9091-8BE00D4570FA}" name="GHG Emissions from Exports (MMTCO2e)" dataDxfId="275">
      <calculatedColumnFormula>BN32*(BJ32/BG32)</calculatedColumnFormula>
    </tableColumn>
    <tableColumn id="11" xr3:uid="{2A5742F1-7500-41F9-AD49-7505FB0E1062}" name="MA Share of GHG Emissions from Exports (MMTCO2e)" dataDxfId="274">
      <calculatedColumnFormula>BO32*J32</calculatedColumnFormula>
    </tableColumn>
  </tableColumns>
  <tableStyleInfo name="TableStyleLight1" showFirstColumn="0" showLastColumn="0" showRowStripes="1" showColumnStripes="0"/>
</table>
</file>

<file path=xl/tables/table1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0" xr:uid="{BE4714EB-17F5-419E-BA4E-448ADE44190C}" name="IntraISONEElectricityImportsRhodeIsland" displayName="IntraISONEElectricityImportsRhodeIsland" ref="BR31:CB51" totalsRowShown="0" headerRowDxfId="273" dataDxfId="271" headerRowBorderDxfId="272" tableBorderDxfId="270" totalsRowBorderDxfId="269">
  <autoFilter ref="BR31:CB51" xr:uid="{BE4714EB-17F5-419E-BA4E-448ADE44190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348DF6FA-0D39-46A1-89C7-CE3EC2B69445}" name="Year" dataDxfId="268"/>
    <tableColumn id="2" xr3:uid="{D1222A1B-79A9-4868-A596-EE2B8DC554CB}" name="Electric Generation (MWh)" dataDxfId="267">
      <calculatedColumnFormula>'Electricity Imports'!AU81</calculatedColumnFormula>
    </tableColumn>
    <tableColumn id="3" xr3:uid="{D5D3E5C8-E896-477F-96F5-BA4CF1A6553F}" name="Electric Load (MWh)" dataDxfId="266"/>
    <tableColumn id="4" xr3:uid="{273ABE5A-AFFA-4044-AC9D-57CDA51F765B}" name="Electric Load Including Pumping (MWh)" dataDxfId="265">
      <calculatedColumnFormula>BT32+((BT32/DD32)*DE32)</calculatedColumnFormula>
    </tableColumn>
    <tableColumn id="5" xr3:uid="{EACDCBD0-8859-42D0-BD49-E1072722B1B0}" name="Net Export (MWh)" dataDxfId="264">
      <calculatedColumnFormula>IF(BS32&gt;BU32,BS32-BU32,0)</calculatedColumnFormula>
    </tableColumn>
    <tableColumn id="6" xr3:uid="{64C2D5C9-2261-40F8-B3CF-1DDED3246E80}" name="MA Share of Net Exports (MWh)" dataDxfId="263">
      <calculatedColumnFormula>BV32*J32</calculatedColumnFormula>
    </tableColumn>
    <tableColumn id="7" xr3:uid="{E71EBDC2-6070-4918-8C4F-A1289B8585EC}" name="CO2 Emissions from Electricity (MMTCO2e)" dataDxfId="262"/>
    <tableColumn id="8" xr3:uid="{E87F13B9-261E-4F8E-993C-DC35206B47B4}" name="CH4 and N2O Emissions from Electricity (MMTCO2e)" dataDxfId="261"/>
    <tableColumn id="9" xr3:uid="{84D1283C-7E89-4F64-8786-E13C7AE49C09}" name="GHG Emissions from Electricity (MMTCO2e)" dataDxfId="260">
      <calculatedColumnFormula>BX32+BY32</calculatedColumnFormula>
    </tableColumn>
    <tableColumn id="10" xr3:uid="{6D195C87-5380-4B57-B4B0-8C8B038B93DA}" name="GHG Emissions from Exports (MMTCO2e)" dataDxfId="259">
      <calculatedColumnFormula>BZ32*(BV32/BS32)</calculatedColumnFormula>
    </tableColumn>
    <tableColumn id="11" xr3:uid="{840DBB8B-0B20-42CB-9505-95DFBC2C2B68}" name="MA Share of GHG Emissions from Exports (MMTCO2e)" dataDxfId="258">
      <calculatedColumnFormula>CA32*J32</calculatedColumnFormula>
    </tableColumn>
  </tableColumns>
  <tableStyleInfo name="TableStyleLight1" showFirstColumn="0" showLastColumn="0" showRowStripes="1" showColumnStripes="0"/>
</table>
</file>

<file path=xl/tables/table1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1" xr:uid="{DE281B7E-567A-4653-B2F1-ED6B09D2AD05}" name="ExtraISONEElectricityImportsNewYork" displayName="ExtraISONEElectricityImportsNewYork" ref="CD31:CN51" totalsRowShown="0" headerRowDxfId="257" headerRowBorderDxfId="256" tableBorderDxfId="255" totalsRowBorderDxfId="254">
  <autoFilter ref="CD31:CN51" xr:uid="{DE281B7E-567A-4653-B2F1-ED6B09D2AD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9AF0A887-DBF2-4F61-A7AD-7B43CB4897D1}" name="Year" dataDxfId="253"/>
    <tableColumn id="2" xr3:uid="{928E640D-77D3-4BCD-A316-240DDAB06028}" name="Generation (MWh)" dataDxfId="252"/>
    <tableColumn id="3" xr3:uid="{A8756727-AB2B-4FC2-8EFB-093ADBE98B2A}" name="Exports into NE minus Imports from NE (MWh)" dataDxfId="251"/>
    <tableColumn id="4" xr3:uid="{417B2C0E-9742-4FB5-A756-0F2D5307CE6F}" name="Net Exports into NE (MWh)" dataDxfId="250">
      <calculatedColumnFormula>IF(CF32&gt;0,CF32,0)</calculatedColumnFormula>
    </tableColumn>
    <tableColumn id="5" xr3:uid="{E2DF35E4-8694-4DF3-BAE2-8BED0C3D6E41}" name="MA Share of NY Net Exports (MWh)" dataDxfId="249">
      <calculatedColumnFormula>CG32*J32</calculatedColumnFormula>
    </tableColumn>
    <tableColumn id="6" xr3:uid="{4C8E2104-E5F1-4EC5-BB0B-0B090EF25823}" name="Electricity CO2 Emissions (MMTCO2e)" dataDxfId="248"/>
    <tableColumn id="7" xr3:uid="{DB6A74A4-C0D4-450C-A074-0BAAA2824FD2}" name="CO2 Emissions from Exports (MMTCO2e)" dataDxfId="247"/>
    <tableColumn id="8" xr3:uid="{04773B25-5979-40F5-A771-035D4D02E029}" name="MA Share of CO2 Emissions from Exports (MMTCO2e)" dataDxfId="246">
      <calculatedColumnFormula>CJ32*J32</calculatedColumnFormula>
    </tableColumn>
    <tableColumn id="9" xr3:uid="{B9D31D45-FD4C-48AB-AB34-2A152453079C}" name="Electricity CH4 and N2O Emissions (MMTCO2e)" dataDxfId="245"/>
    <tableColumn id="10" xr3:uid="{3816BC63-9613-4338-8BDC-DAFBC9F60414}" name="CH4 and N2O Emissions from Exports (MMTCO2e)" dataDxfId="244">
      <calculatedColumnFormula>CG32/CE32*CL32</calculatedColumnFormula>
    </tableColumn>
    <tableColumn id="11" xr3:uid="{F9600D73-0F6D-445E-B2B8-101139CD3F3D}" name="MA Share of CH4 and N2O Emissions from Exports (MMTCO2e)" dataDxfId="243">
      <calculatedColumnFormula>CM32*J32</calculatedColumnFormula>
    </tableColumn>
  </tableColumns>
  <tableStyleInfo name="TableStyleLight1" showFirstColumn="0" showLastColumn="0" showRowStripes="1" showColumnStripes="0"/>
</table>
</file>

<file path=xl/tables/table1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2" xr:uid="{75D402B1-0387-4575-B1C1-957E595B1C0B}" name="ExtraISONEElectricityImportsNewBrunswick" displayName="ExtraISONEElectricityImportsNewBrunswick" ref="CP31:CT51" totalsRowShown="0" headerRowDxfId="242" dataDxfId="240" headerRowBorderDxfId="241" tableBorderDxfId="239">
  <autoFilter ref="CP31:CT51" xr:uid="{75D402B1-0387-4575-B1C1-957E595B1C0B}">
    <filterColumn colId="0" hiddenButton="1"/>
    <filterColumn colId="1" hiddenButton="1"/>
    <filterColumn colId="2" hiddenButton="1"/>
    <filterColumn colId="3" hiddenButton="1"/>
    <filterColumn colId="4" hiddenButton="1"/>
  </autoFilter>
  <tableColumns count="5">
    <tableColumn id="1" xr3:uid="{B5FBB78C-338B-4681-A7FB-9D23C313A29C}" name="Year" dataDxfId="238"/>
    <tableColumn id="2" xr3:uid="{BED11F65-9C33-4D61-8073-C1A7059FEAD5}" name="Exports into NE minus Imports from NE (GWh)" dataDxfId="237"/>
    <tableColumn id="3" xr3:uid="{FF075D81-5402-47DE-BB99-29ED91466C6C}" name="Net Exports into NE (MWh)" dataDxfId="236"/>
    <tableColumn id="4" xr3:uid="{766B2C06-EB71-437D-B700-2E673A607A6F}" name="MA Share of NB Net Exports (MWh)" dataDxfId="235"/>
    <tableColumn id="5" xr3:uid="{F513748E-CF7A-48A7-9FEB-C9DC5C24044A}" name="MA Share of Total Emissions from Exports (MMTCO2e)" dataDxfId="234"/>
  </tableColumns>
  <tableStyleInfo name="TableStyleLight1" showFirstColumn="0" showLastColumn="0" showRowStripes="1" showColumnStripes="0"/>
</table>
</file>

<file path=xl/tables/table1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3" xr:uid="{521EBAFE-D0CC-4778-9EAB-70B90A378F9F}" name="ExtraISONEElectricityImportsQuebec" displayName="ExtraISONEElectricityImportsQuebec" ref="CV31:CZ51" totalsRowShown="0" headerRowDxfId="233" dataDxfId="231" headerRowBorderDxfId="232" tableBorderDxfId="230">
  <autoFilter ref="CV31:CZ51" xr:uid="{521EBAFE-D0CC-4778-9EAB-70B90A378F9F}">
    <filterColumn colId="0" hiddenButton="1"/>
    <filterColumn colId="1" hiddenButton="1"/>
    <filterColumn colId="2" hiddenButton="1"/>
    <filterColumn colId="3" hiddenButton="1"/>
    <filterColumn colId="4" hiddenButton="1"/>
  </autoFilter>
  <tableColumns count="5">
    <tableColumn id="1" xr3:uid="{C97A32F6-AEC5-4715-86BF-8F36F650E692}" name="Year" dataDxfId="229"/>
    <tableColumn id="2" xr3:uid="{C4B7E81D-3714-4950-A441-7CAB6EE5C57C}" name="Exports into NE minus Imports from NE (GWh)" dataDxfId="228"/>
    <tableColumn id="3" xr3:uid="{C1490C78-5088-40AE-BF55-375DA2FE777E}" name="Net Exports into NE (MWh)" dataDxfId="227"/>
    <tableColumn id="4" xr3:uid="{04AD91A3-A167-4F09-8B37-F7269A22BC77}" name="MA Share of Quebec Net Exports (MWh)" dataDxfId="226"/>
    <tableColumn id="5" xr3:uid="{A0C9077D-9CCC-4D92-94C2-EC29C07C878B}" name="MA Share of Total Emissions from Exports (MMTCO2e)" dataDxfId="225"/>
  </tableColumns>
  <tableStyleInfo name="TableStyleLight1" showFirstColumn="0" showLastColumn="0" showRowStripes="1" showColumnStripes="0"/>
</table>
</file>

<file path=xl/tables/table1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4" xr:uid="{F390B164-1AB8-40F3-ABAC-4956EF41C32F}" name="MAElectricityEmissionsRegionWideBasisNewEngland" displayName="MAElectricityEmissionsRegionWideBasisNewEngland" ref="DB31:DJ51" totalsRowShown="0" headerRowDxfId="224" dataDxfId="222" headerRowBorderDxfId="223" tableBorderDxfId="221">
  <autoFilter ref="DB31:DJ51" xr:uid="{F390B164-1AB8-40F3-ABAC-4956EF41C32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64DE916-4239-467A-9192-8BC7C325E2E0}" name="Year" dataDxfId="220"/>
    <tableColumn id="2" xr3:uid="{AD66F6FF-FBEB-4FA2-80C0-EA9EFE63C956}" name="Total NE Generation [except N. ME] (MWh)" dataDxfId="219"/>
    <tableColumn id="3" xr3:uid="{E0F946C7-3489-4E5B-B646-7CB9621AD09A}" name="NE Load (MWh)" dataDxfId="218"/>
    <tableColumn id="4" xr3:uid="{800ED4EE-B7B1-4ACF-A437-71321CDDBBC4}" name="NE Hydro Pumping Load (MWh)" dataDxfId="217"/>
    <tableColumn id="5" xr3:uid="{34FE825E-C3ED-4023-BB32-27074E2559D4}" name="Total NE Load (MWh)" dataDxfId="216"/>
    <tableColumn id="6" xr3:uid="{8017F456-6C19-4AC2-8F9A-ED809D9F79B1}" name="Actual Imports (MWh)" dataDxfId="215"/>
    <tableColumn id="7" xr3:uid="{EB6A92A9-4D8C-435B-ABFA-C066A4AE9577}" name="NE GHG Emissions Associated with Load (MMTCO2e)" dataDxfId="214"/>
    <tableColumn id="8" xr3:uid="{5D7D5434-73D0-4B63-B676-B28604D9C570}" name="NE Average GHG Emission Factor (MMTCO2e/MWh)" dataDxfId="213"/>
    <tableColumn id="9" xr3:uid="{2C685C21-AC4B-49B9-B1D1-F5D329039EE3}" name="MA Electricity Consumption Emissions based on NE Average GHG Emission Factor (MMTCO2e)" dataDxfId="212"/>
  </tableColumns>
  <tableStyleInfo name="TableStyleLight1" showFirstColumn="0" showLastColumn="0" showRowStripes="1" showColumnStripes="0"/>
</table>
</file>

<file path=xl/tables/table1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5" xr:uid="{B81C4918-E73C-4DA2-8E21-D7092F6054F6}" name="MAElectricityImportEmissionsfor1990through2000" displayName="MAElectricityImportEmissionsfor1990through2000" ref="A31:T51" totalsRowShown="0" headerRowDxfId="211" headerRowBorderDxfId="210" tableBorderDxfId="209">
  <autoFilter ref="A31:T51" xr:uid="{B81C4918-E73C-4DA2-8E21-D7092F6054F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173C0E40-3F48-4059-9399-67F9BA7CF4B8}" name="Year" dataDxfId="208"/>
    <tableColumn id="2" xr3:uid="{CCF5AAE3-FB79-4B06-948A-FB4298B23290}" name="MA Electric Generation (MWh)" dataDxfId="207"/>
    <tableColumn id="3" xr3:uid="{37604799-8D1B-4DBD-B386-2C560910A52E}" name="MA Electric Load (MWh)" dataDxfId="206"/>
    <tableColumn id="4" xr3:uid="{3E6D0F42-9A3A-4428-9FC8-C0953E15E475}" name="MA Electric Load Including Pumping (MWh)" dataDxfId="205"/>
    <tableColumn id="5" xr3:uid="{7DF1C251-3B53-496A-9D58-A583971E2805}" name="CO2 Emissions from Electricity (MMTCO2e)" dataDxfId="204"/>
    <tableColumn id="6" xr3:uid="{79AB56A7-DD32-4006-A361-52354D6E48A8}" name="CH4 and N2O Emissions from Electricity (MMTCO2e)" dataDxfId="203"/>
    <tableColumn id="7" xr3:uid="{1F96C7E6-4C3D-4BC4-A1BF-E3396DE66A80}" name="GHG Emissions from Electricity (MMTCO2e)" dataDxfId="202"/>
    <tableColumn id="8" xr3:uid="{DF4C7F8B-8FF6-4F91-90A7-498F5E68A18E}" name="MA Electricity Imports [Gen-Load] (MWh)" dataDxfId="201"/>
    <tableColumn id="9" xr3:uid="{34E2CC9D-02A3-4C7F-B05B-99F6761AB879}" name="Total of State/Region Shortfalls [incl. NY, NB, Q] (MWh)" dataDxfId="200"/>
    <tableColumn id="10" xr3:uid="{BB1D0346-5C84-4638-BB92-53B3E92E65CF}" name="MA Fraction of Intra-NE imports" dataDxfId="199"/>
    <tableColumn id="11" xr3:uid="{770BEFB6-DBC8-4F31-9906-F9FB0AAAB2B2}" name="Imports to MA from other NE States (MWh)" dataDxfId="198"/>
    <tableColumn id="12" xr3:uid="{1A938665-67E4-40DC-8517-1FEDDEAB5B29}" name="Imports to MA from outside NE (MWh)" dataDxfId="197"/>
    <tableColumn id="13" xr3:uid="{201A9276-16FF-4588-9F60-546DEF19570E}" name="Total Imports to MA (MWh)" dataDxfId="196"/>
    <tableColumn id="14" xr3:uid="{2D1B8D75-5E94-438E-A952-F4736C6556AB}" name="MA GHG Emissions from Intra-NE Imports (MMTCO2e)" dataDxfId="195"/>
    <tableColumn id="15" xr3:uid="{7981D171-49AF-4F0C-B679-1992E9272FBF}" name="MA CO2 Emissions from NY Imports (MMTCO2e)" dataDxfId="194"/>
    <tableColumn id="16" xr3:uid="{24AFC51D-6E9A-4C7F-8A22-0A3CAC872E9A}" name="MA CH4 and N2O Emissions from NY Imports (MMTCO2e)" dataDxfId="193"/>
    <tableColumn id="17" xr3:uid="{9E6D73B8-D7B2-4835-B65E-FD50E90C3EE0}" name="MA Total Emissions from NB and Quebec Imports (MMTCO2e)" dataDxfId="192"/>
    <tableColumn id="18" xr3:uid="{F496CFD8-340F-47C5-9453-D1568ABA4421}" name="MA Total Emissions from Extra-NE Imports (MMTCO2e)" dataDxfId="191"/>
    <tableColumn id="19" xr3:uid="{4C420EB6-9EE8-4119-A2BE-BDAA5221C494}" name="MA Total Emissions from Electricity Imports (MMTCO2e)" dataDxfId="190"/>
    <tableColumn id="20" xr3:uid="{C0459002-DA30-4340-82EF-DDE8547EA3D1}" name="MA Total Emissions from Electricity Consumption (MMTCO2e)" dataDxfId="189"/>
  </tableColumns>
  <tableStyleInfo name="TableStyleLight1" showFirstColumn="0" showLastColumn="0" showRowStripes="1" showColumnStripes="0"/>
</table>
</file>

<file path=xl/tables/table1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6" xr:uid="{999B6C45-9BA6-4110-BBDB-166CF9476280}" name="QuebecGHGIntensity1990through2008" displayName="QuebecGHGIntensity1990through2008" ref="A147:C167" totalsRowShown="0" headerRowBorderDxfId="188" tableBorderDxfId="187" totalsRowBorderDxfId="186">
  <autoFilter ref="A147:C167" xr:uid="{999B6C45-9BA6-4110-BBDB-166CF9476280}">
    <filterColumn colId="0" hiddenButton="1"/>
    <filterColumn colId="1" hiddenButton="1"/>
    <filterColumn colId="2" hiddenButton="1"/>
  </autoFilter>
  <tableColumns count="3">
    <tableColumn id="1" xr3:uid="{8C2872BE-F23B-42CA-950F-45F46DE105AA}" name="Year" dataDxfId="185"/>
    <tableColumn id="2" xr3:uid="{8024536A-BD8A-4F19-B11C-1D7DAD4AD263}" name="g CO2e/ kWh" dataDxfId="184"/>
    <tableColumn id="3" xr3:uid="{C4282463-456E-460F-A343-9DC53D1B1FF6}" name="MMTCO2e/MWh" dataDxfId="183"/>
  </tableColumns>
  <tableStyleInfo name="TableStyleLight1" showFirstColumn="0" showLastColumn="0" showRowStripes="1" showColumnStripes="0"/>
</table>
</file>

<file path=xl/tables/table1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7" xr:uid="{A4395C24-41E6-4978-9CAB-17FCA613CBE4}" name="NewBrunswickGHGIntensity1990through2008" displayName="NewBrunswickGHGIntensity1990through2008" ref="E147:G167" totalsRowShown="0" headerRowBorderDxfId="182" tableBorderDxfId="181" totalsRowBorderDxfId="180">
  <autoFilter ref="E147:G167" xr:uid="{A4395C24-41E6-4978-9CAB-17FCA613CBE4}">
    <filterColumn colId="0" hiddenButton="1"/>
    <filterColumn colId="1" hiddenButton="1"/>
    <filterColumn colId="2" hiddenButton="1"/>
  </autoFilter>
  <tableColumns count="3">
    <tableColumn id="1" xr3:uid="{64610912-E76C-440E-BE3D-CB886500D9C6}" name="Year" dataDxfId="179"/>
    <tableColumn id="2" xr3:uid="{B9DCE00A-ECC8-43DD-87FF-9E39CAFDC026}" name="g CO2e/ kWh" dataDxfId="178"/>
    <tableColumn id="3" xr3:uid="{AF4B7834-293F-4CF5-8141-E2E000126BF7}" name="MMTCO2e/MWh" dataDxfId="177"/>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7" xr:uid="{1E606B19-84AE-4AA7-A0A2-BB1E39F5929B}" name="ContentsGeneralOrdeofInformationonEachWorksheet" displayName="ContentsGeneralOrdeofInformationonEachWorksheet" ref="A46:B56" totalsRowShown="0" dataDxfId="5308">
  <autoFilter ref="A46:B56" xr:uid="{1E606B19-84AE-4AA7-A0A2-BB1E39F5929B}">
    <filterColumn colId="0" hiddenButton="1"/>
    <filterColumn colId="1" hiddenButton="1"/>
  </autoFilter>
  <tableColumns count="2">
    <tableColumn id="1" xr3:uid="{84D76575-D75A-4560-80AB-5AAF341696F5}" name="Item" dataDxfId="5307"/>
    <tableColumn id="2" xr3:uid="{7FDD2E1B-222C-4A24-BEEC-D2D88204B11A}" name="Location and Information on Each Worksheet" dataDxfId="5306"/>
  </tableColumns>
  <tableStyleInfo name="TableStyleMedium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5" xr:uid="{C4957F6C-EB23-4B9C-9225-E505B717E77C}" name="SumbyGasIPCCAR4100YearGWPs" displayName="SumbyGasIPCCAR4100YearGWPs" ref="A188:B192" totalsRowShown="0">
  <autoFilter ref="A188:B192" xr:uid="{C4957F6C-EB23-4B9C-9225-E505B717E77C}">
    <filterColumn colId="0" hiddenButton="1"/>
    <filterColumn colId="1" hiddenButton="1"/>
  </autoFilter>
  <tableColumns count="2">
    <tableColumn id="1" xr3:uid="{D0EE6DD4-6884-4F55-9ED6-72964E1B32FA}" name="GHG" dataDxfId="4960"/>
    <tableColumn id="2" xr3:uid="{F111D632-E8E5-46E2-9AE9-E67CA851A32C}" name="GWP"/>
  </tableColumns>
  <tableStyleInfo name="TableStyleLight1" showFirstColumn="0" showLastColumn="0" showRowStripes="1" showColumnStripes="0"/>
</table>
</file>

<file path=xl/tables/table2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8" xr:uid="{76346738-FF83-48FF-A711-3AFA326BBFEE}" name="ElectricityImportsCO2eSUmmaryTable" displayName="ElectricityImportsCO2eSUmmaryTable" ref="A7:AI14" totalsRowShown="0" headerRowDxfId="176" headerRowBorderDxfId="175" tableBorderDxfId="174">
  <autoFilter ref="A7:AI14" xr:uid="{76346738-FF83-48FF-A711-3AFA326BBFE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D18F61B2-F49F-4EFA-B7B5-691145DE4E45}" name="Gas/Info"/>
    <tableColumn id="2" xr3:uid="{9E01475C-6AF5-4A02-9DE4-C287DCEDD350}" name="1990" dataDxfId="173"/>
    <tableColumn id="3" xr3:uid="{90FC170A-F2F7-4A79-A0D5-4C4CA8254436}" name="1991"/>
    <tableColumn id="4" xr3:uid="{FA1C358F-72A3-4C40-8DC0-837C53AA536B}" name="1992"/>
    <tableColumn id="5" xr3:uid="{16A27C86-CC21-462A-8C3E-26717BC92596}" name="1993"/>
    <tableColumn id="6" xr3:uid="{F8F69DE1-BCA5-43E0-827B-4136BFD1F31C}" name="1994"/>
    <tableColumn id="7" xr3:uid="{FE885C5C-FE9F-4572-B9A8-A6AF75331601}" name="1995"/>
    <tableColumn id="8" xr3:uid="{43859F7A-56A9-4DE1-8556-AE7572AB2DEF}" name="1996"/>
    <tableColumn id="9" xr3:uid="{A717A233-EACC-4440-805D-A0F871030DE9}" name="1997"/>
    <tableColumn id="10" xr3:uid="{3507BDD2-6A67-495A-A86A-5E2264D23791}" name="1998"/>
    <tableColumn id="11" xr3:uid="{F4FDA4C1-1A23-430D-A233-B2A1FF66180B}" name="1999"/>
    <tableColumn id="12" xr3:uid="{FD6A1C19-EAF8-4833-B83D-41DA71C31371}" name="2000"/>
    <tableColumn id="13" xr3:uid="{CE14C26D-4E80-4541-ACC0-5D454B4DF12A}" name="2001"/>
    <tableColumn id="14" xr3:uid="{F85C9C3E-6DE7-4A17-9F5A-AADEA2FB178E}" name="2002"/>
    <tableColumn id="15" xr3:uid="{70D52445-DE73-4C48-865E-92A92FCDB9DB}" name="2003"/>
    <tableColumn id="16" xr3:uid="{1C3FB966-DF51-41F7-90AF-08C32D584387}" name="2004"/>
    <tableColumn id="17" xr3:uid="{437C279E-73E9-4855-9515-B5312D194C77}" name="2005"/>
    <tableColumn id="18" xr3:uid="{C1F2295F-BC1F-477C-B1C3-8B04A5FDE545}" name="2006"/>
    <tableColumn id="19" xr3:uid="{AA44BCEF-477F-4BDB-AA09-196EE92AF127}" name="2007"/>
    <tableColumn id="20" xr3:uid="{E2C32464-9A22-4FDA-B1DA-0A9F30D20F45}" name="2008"/>
    <tableColumn id="21" xr3:uid="{4821FABD-EF30-4B71-A547-3E364E8FF7AE}" name="2009"/>
    <tableColumn id="22" xr3:uid="{AEF77BF1-263D-4CBB-B605-F6A8FEE673DF}" name="2010"/>
    <tableColumn id="23" xr3:uid="{6767C20E-46AB-4E14-BB7B-D29658A440D6}" name="2011"/>
    <tableColumn id="24" xr3:uid="{ACC57CFB-C3DE-4D60-B661-ABEAAF32EE59}" name="2012"/>
    <tableColumn id="25" xr3:uid="{A95525F0-2E37-45E1-B4EF-08C1715F8CFC}" name="2013"/>
    <tableColumn id="26" xr3:uid="{A42331D6-0F85-444A-A7C4-C0A59D6B522B}" name="2014"/>
    <tableColumn id="27" xr3:uid="{A497331B-87A3-478B-933F-DBDD52861536}" name="2015"/>
    <tableColumn id="28" xr3:uid="{C66AEA28-E275-45E6-92B9-296B792FEACA}" name="2016"/>
    <tableColumn id="29" xr3:uid="{F374F0EB-384D-4E6E-B327-331B693F29DD}" name="2017"/>
    <tableColumn id="30" xr3:uid="{EBE6E7FE-0CDB-4743-8CD3-4E794CF94EA8}" name="2018"/>
    <tableColumn id="31" xr3:uid="{F94589A7-4565-4D67-A90B-8A7F451E9CCA}" name="2019"/>
    <tableColumn id="32" xr3:uid="{83FE5153-6E80-4E90-89B8-7C17BCA8BAF8}" name="2020"/>
    <tableColumn id="33" xr3:uid="{462C6B81-BA37-4B60-A791-43B0394FD67B}" name="2021"/>
    <tableColumn id="34" xr3:uid="{44C1EECC-7634-403B-8A72-9A2466B8823B}" name="2022"/>
    <tableColumn id="35" xr3:uid="{867A011E-46F5-468A-93FF-9A2D3572B3AF}" name="2023"/>
  </tableColumns>
  <tableStyleInfo name="TableStyleLight1" showFirstColumn="0" showLastColumn="0" showRowStripes="1" showColumnStripes="0"/>
</table>
</file>

<file path=xl/tables/table2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3DD9066F-EDE2-4411-96AC-AD70D6A682A4}" name="BiogenicEmissionsSummaryTableMMTCO2e" displayName="BiogenicEmissionsSummaryTableMMTCO2e" ref="A58:AI85" totalsRowShown="0" headerRowDxfId="172" headerRowBorderDxfId="171" tableBorderDxfId="170">
  <autoFilter ref="A58:AI85" xr:uid="{3DD9066F-EDE2-4411-96AC-AD70D6A682A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B8AD1B7F-481A-4DDC-9DB8-BEBB2CEE7448}" name="Sector/Fuel"/>
    <tableColumn id="2" xr3:uid="{73C7184E-A24F-4872-953A-53F3DC5E3A4A}" name="1990"/>
    <tableColumn id="3" xr3:uid="{1557C6F5-0FC2-4D94-8F8A-B0663C048C0C}" name="1991"/>
    <tableColumn id="4" xr3:uid="{6596FA99-49D6-4B7C-9E7C-A73B54E0E70E}" name="1992"/>
    <tableColumn id="5" xr3:uid="{2A210D9F-945A-4E1E-93F4-AF69726E8FE8}" name="1993"/>
    <tableColumn id="6" xr3:uid="{D6337344-4058-495F-9752-BE4A4CE6B209}" name="1994"/>
    <tableColumn id="7" xr3:uid="{7F5021F0-B2E3-4977-A4E5-5BA79224F3DC}" name="1995"/>
    <tableColumn id="8" xr3:uid="{DF3A9AE4-D6FE-4E38-8238-406949CAD766}" name="1996"/>
    <tableColumn id="9" xr3:uid="{9888B76F-88C9-4138-A3C0-28399BAD52C9}" name="1997"/>
    <tableColumn id="10" xr3:uid="{2BB79189-3A8D-464B-9898-E3773B01FCA4}" name="1998"/>
    <tableColumn id="11" xr3:uid="{8DDDA1A4-1E09-4ADA-849B-86E519BF2D74}" name="1999"/>
    <tableColumn id="12" xr3:uid="{8D131249-CEEB-42DE-A74E-6BCBE0C27AAA}" name="2000"/>
    <tableColumn id="13" xr3:uid="{3E540FE9-7C53-4004-9E23-299FCBD3AADF}" name="2001"/>
    <tableColumn id="14" xr3:uid="{C99A647D-C4A4-4CD2-9E80-8747504DA734}" name="2002"/>
    <tableColumn id="15" xr3:uid="{656CFBC0-9725-41CB-827A-B9164D08BB6E}" name="2003"/>
    <tableColumn id="16" xr3:uid="{58B1DBD5-8157-4162-BDA4-5DF2237A34B6}" name="2004"/>
    <tableColumn id="17" xr3:uid="{D70540C6-F400-412D-BB16-67EACA051EC4}" name="2005"/>
    <tableColumn id="18" xr3:uid="{07DB18C6-B537-448F-A483-CBF7F3C5293D}" name="2006"/>
    <tableColumn id="19" xr3:uid="{59D23058-DB55-4D03-84B6-4E8F13F85CC0}" name="2007"/>
    <tableColumn id="20" xr3:uid="{4CFED290-A107-491A-A9F4-A0EC98D05EEA}" name="2008"/>
    <tableColumn id="21" xr3:uid="{16DF1339-6059-4D59-B88D-5E5EC86FEF08}" name="2009"/>
    <tableColumn id="22" xr3:uid="{C00FCCC1-1AAC-4AD3-A4DE-CCFEC69F46CB}" name="2010"/>
    <tableColumn id="23" xr3:uid="{F208E8C8-C641-4C2C-B83E-32B94C205FE8}" name="2011"/>
    <tableColumn id="24" xr3:uid="{DBB96BAE-9F52-4580-A899-032920FE4D89}" name="2012"/>
    <tableColumn id="25" xr3:uid="{2C3AE74B-11E9-47CD-8A94-1FFC36EAE9CC}" name="2013"/>
    <tableColumn id="26" xr3:uid="{8A77CF9A-128E-4FA9-AB6F-4E663288C878}" name="2014"/>
    <tableColumn id="27" xr3:uid="{97BE4948-3360-43F1-8699-9B35F9E2E212}" name="2015"/>
    <tableColumn id="28" xr3:uid="{FEBAA8F1-65AE-4656-B6BD-68D06E2C5164}" name="2016"/>
    <tableColumn id="29" xr3:uid="{FB8206D3-BECB-46B9-A48B-27E87E6CABCD}" name="2017"/>
    <tableColumn id="30" xr3:uid="{48B5F26E-E5C0-4612-A408-3FE3AE5B7321}" name="2018"/>
    <tableColumn id="31" xr3:uid="{5F351E16-AD3D-4934-BCB4-914E2B437A11}" name="2019"/>
    <tableColumn id="32" xr3:uid="{F1F019B7-6951-4F29-AD9D-8D92EDE7AC72}" name="2020"/>
    <tableColumn id="33" xr3:uid="{F4AF1BE7-9D69-4D66-A387-688E02192B45}" name="2021"/>
    <tableColumn id="34" xr3:uid="{816BC1E2-6F7B-4BF7-A034-85ED49FEA7F9}" name="2022"/>
    <tableColumn id="35" xr3:uid="{765222F5-5EFE-4433-BAF9-669317B4AB4A}" name="2023"/>
  </tableColumns>
  <tableStyleInfo name="TableStyleMedium1" showFirstColumn="0" showLastColumn="0" showRowStripes="1" showColumnStripes="0"/>
</table>
</file>

<file path=xl/tables/table2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C6939118-E84A-4237-AB8A-664008A37C58}" name="NaturalWorkingLandsSummaryMMTCO2e" displayName="NaturalWorkingLandsSummaryMMTCO2e" ref="A90:AI97" totalsRowShown="0" headerRowDxfId="169" headerRowBorderDxfId="168" tableBorderDxfId="167">
  <autoFilter ref="A90:AI97" xr:uid="{C6939118-E84A-4237-AB8A-664008A37C5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3DB50251-A210-4929-A5E8-4FD3B7D04D4F}" name="Sector"/>
    <tableColumn id="2" xr3:uid="{A60DAB63-980F-402A-911F-6F48D1974179}" name="1990"/>
    <tableColumn id="3" xr3:uid="{FDC44B19-49BD-45AF-A947-2A2E3F8B3827}" name="1991"/>
    <tableColumn id="4" xr3:uid="{12F4F9A7-9BD2-4C75-B868-0027201E923D}" name="1992"/>
    <tableColumn id="5" xr3:uid="{57668EDA-7C7A-4B71-AA6F-348D0F4BF0DD}" name="1993"/>
    <tableColumn id="6" xr3:uid="{05C1A5DF-2CA3-442B-B267-40BDCC7F1386}" name="1994"/>
    <tableColumn id="7" xr3:uid="{82BC34CC-AC22-4197-B692-7895A8BA967E}" name="1995"/>
    <tableColumn id="8" xr3:uid="{CCCB0676-C82E-4DF4-AEF4-426CC5D4A9FD}" name="1996"/>
    <tableColumn id="9" xr3:uid="{3625AD3C-8843-428B-ADBB-8B504EF789DA}" name="1997"/>
    <tableColumn id="10" xr3:uid="{9CD133DF-9A56-40BA-9FA6-73E63194EBF4}" name="1998"/>
    <tableColumn id="11" xr3:uid="{3FF55D52-62FC-4047-A3E7-B83FC17F20D3}" name="1999"/>
    <tableColumn id="12" xr3:uid="{8EA490BB-AE82-498D-8CC4-3B272C840C69}" name="2000"/>
    <tableColumn id="13" xr3:uid="{F7FB4307-F8BC-414E-8B2E-2484C9B29F11}" name="2001"/>
    <tableColumn id="14" xr3:uid="{FFD1273A-43FC-4D06-993F-86AC84E72717}" name="2002"/>
    <tableColumn id="15" xr3:uid="{99899EC2-0EC9-44EF-BB1B-FD1A7568B248}" name="2003"/>
    <tableColumn id="16" xr3:uid="{7CD25ECD-83E5-4585-9ED2-FD6BEB99F75B}" name="2004"/>
    <tableColumn id="17" xr3:uid="{A7EBBA52-D828-492C-A8D3-26E65C2A673B}" name="2005"/>
    <tableColumn id="18" xr3:uid="{4A0B2550-D1FD-47FF-B05F-5DFBC145BC5D}" name="2006"/>
    <tableColumn id="19" xr3:uid="{A1378FDF-B27E-44D5-A749-9214D316E03A}" name="2007"/>
    <tableColumn id="20" xr3:uid="{A35DB337-DFF5-49B7-B6C8-8A66DE86D6E1}" name="2008"/>
    <tableColumn id="21" xr3:uid="{887CCD56-4EEA-4B4E-9737-DA4623704D75}" name="2009"/>
    <tableColumn id="22" xr3:uid="{11353661-3CAF-4F5F-BE72-5F70C8E60D0B}" name="2010"/>
    <tableColumn id="23" xr3:uid="{11827EEE-B8B9-482A-992C-0B776BE2E1E7}" name="2011"/>
    <tableColumn id="24" xr3:uid="{3187C77B-03ED-40D5-B3AD-E10418B1A286}" name="2012"/>
    <tableColumn id="25" xr3:uid="{A39E465C-F44F-42BB-B93B-B2BFE25B12CB}" name="2013"/>
    <tableColumn id="26" xr3:uid="{3D8E7BB2-99DE-4E1A-91D2-AD996B114D5A}" name="2014"/>
    <tableColumn id="27" xr3:uid="{1A190A70-D45E-4C16-8E8C-626CBB929F14}" name="2015"/>
    <tableColumn id="28" xr3:uid="{A8BD4170-2F2C-4C02-8A13-8B17E1D91932}" name="2016"/>
    <tableColumn id="29" xr3:uid="{E74CA40E-C6C0-4F04-ACA6-ABAE709CB62C}" name="2017"/>
    <tableColumn id="30" xr3:uid="{750E0E03-2547-4D76-BDC4-AF0E8E320A55}" name="2018"/>
    <tableColumn id="31" xr3:uid="{3DB4CB31-4DB8-46AB-B9EA-0104760CF101}" name="2019"/>
    <tableColumn id="32" xr3:uid="{A4A39630-C7E9-4653-866A-C551383FC5A7}" name="2020"/>
    <tableColumn id="33" xr3:uid="{5CFB148B-43E5-4375-B557-9B2AA91680F4}" name="2021"/>
    <tableColumn id="34" xr3:uid="{1D047E25-94E6-4335-BB79-12ED98E162D0}" name="2022"/>
    <tableColumn id="35" xr3:uid="{4F1BEBC9-2F33-499D-90DB-869C042C3DD7}" name="2023"/>
  </tableColumns>
  <tableStyleInfo name="TableStyleMedium1" showFirstColumn="0" showLastColumn="0" showRowStripes="1" showColumnStripes="0"/>
</table>
</file>

<file path=xl/tables/table2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45A9EFA9-4B33-4896-B3DA-0846A4AD9DD4}" name="EmissionFactorsbyBiogenicFuelType" displayName="EmissionFactorsbyBiogenicFuelType" ref="A222:E235" totalsRowShown="0" headerRowDxfId="166" dataDxfId="165">
  <autoFilter ref="A222:E235" xr:uid="{45A9EFA9-4B33-4896-B3DA-0846A4AD9DD4}">
    <filterColumn colId="0" hiddenButton="1"/>
    <filterColumn colId="1" hiddenButton="1"/>
    <filterColumn colId="2" hiddenButton="1"/>
    <filterColumn colId="3" hiddenButton="1"/>
    <filterColumn colId="4" hiddenButton="1"/>
  </autoFilter>
  <tableColumns count="5">
    <tableColumn id="1" xr3:uid="{F4A12F41-4103-4660-AB75-DCCD4D0921EC}" name="Fuel Type" dataDxfId="164"/>
    <tableColumn id="2" xr3:uid="{2451AD8A-FA35-4914-9C57-FD461CFBE8DC}" name="Units" dataDxfId="163"/>
    <tableColumn id="3" xr3:uid="{F767D301-A230-4124-8A75-54F2C155AEF7}" name="CO2" dataDxfId="162"/>
    <tableColumn id="4" xr3:uid="{6A228A2C-E4CE-457A-B6FD-9CBBD5E27726}" name="CH4" dataDxfId="161"/>
    <tableColumn id="5" xr3:uid="{1552CA91-B462-4A01-A23F-ACC02ABBA9AB}" name="N2O" dataDxfId="160"/>
  </tableColumns>
  <tableStyleInfo name="TableStyleMedium1" showFirstColumn="0" showLastColumn="0" showRowStripes="1" showColumnStripes="0"/>
</table>
</file>

<file path=xl/tables/table2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0237463A-327D-4D72-A48E-83C1ADBD6AC2}" name="BioConversionFactors" displayName="BioConversionFactors" ref="A243:B246" totalsRowShown="0" headerRowDxfId="159" dataDxfId="158">
  <autoFilter ref="A243:B246" xr:uid="{0237463A-327D-4D72-A48E-83C1ADBD6AC2}">
    <filterColumn colId="0" hiddenButton="1"/>
    <filterColumn colId="1" hiddenButton="1"/>
  </autoFilter>
  <tableColumns count="2">
    <tableColumn id="1" xr3:uid="{CEFF87A0-E11A-4506-8E0F-302415D05BB5}" name="Conversion Factors" dataDxfId="157"/>
    <tableColumn id="2" xr3:uid="{DABDA3F7-0C63-40AD-A5A2-88CD37173B88}" name="Value" dataDxfId="156"/>
  </tableColumns>
  <tableStyleInfo name="TableStyleMedium1" showFirstColumn="0" showLastColumn="0" showRowStripes="1" showColumnStripes="0"/>
</table>
</file>

<file path=xl/tables/table2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E27F2019-045A-4DB8-B0DF-D894BD99A486}" name="ElectricSectorWood" displayName="ElectricSectorWood" ref="A24:AJ29" totalsRowShown="0" headerRowDxfId="155" dataDxfId="153" headerRowBorderDxfId="154" tableBorderDxfId="152">
  <autoFilter ref="A24:AJ29" xr:uid="{E27F2019-045A-4DB8-B0DF-D894BD99A48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B791C5E4-8A10-4F6A-A8FE-19EFDA44C288}" name="Heat Input/Gas" dataDxfId="151"/>
    <tableColumn id="2" xr3:uid="{79C287FA-CA9A-4837-9401-D06C614F9184}" name="Units" dataDxfId="150"/>
    <tableColumn id="3" xr3:uid="{4D7F94F9-3CDC-4F01-926F-1F837516044C}" name="1990" dataDxfId="149"/>
    <tableColumn id="4" xr3:uid="{9660F617-1EEB-49B0-9978-B6275EA1355D}" name="1991" dataDxfId="148"/>
    <tableColumn id="5" xr3:uid="{04F3EB48-3407-49B6-A06A-CE5EADB06C65}" name="1992" dataDxfId="147"/>
    <tableColumn id="6" xr3:uid="{A8169959-505A-4C1A-BD4F-DAA02DBF9574}" name="1993" dataDxfId="146"/>
    <tableColumn id="7" xr3:uid="{599EC0E2-B919-443C-BAC7-DA5DC825C677}" name="1994" dataDxfId="145"/>
    <tableColumn id="8" xr3:uid="{E08B2D32-F807-4BE6-AD38-8782029762E1}" name="1995" dataDxfId="144"/>
    <tableColumn id="9" xr3:uid="{11E21F8F-A0F5-4CB4-8F72-7480469322EE}" name="1996" dataDxfId="143"/>
    <tableColumn id="10" xr3:uid="{B6DFE251-BE4E-4AE8-8547-4338781E0266}" name="1997" dataDxfId="142"/>
    <tableColumn id="11" xr3:uid="{809B812C-3DA7-493B-9967-C61F5A2A2F84}" name="1998" dataDxfId="141"/>
    <tableColumn id="12" xr3:uid="{E9361566-11BE-4DE5-A2B1-8D8DA0F2B3B4}" name="1999" dataDxfId="140"/>
    <tableColumn id="13" xr3:uid="{5A3BB593-DE88-4C3D-90BA-D831592F4337}" name="2000" dataDxfId="139"/>
    <tableColumn id="14" xr3:uid="{11772062-849B-498F-9F28-D93FD44DD9E4}" name="2001" dataDxfId="138"/>
    <tableColumn id="15" xr3:uid="{701F14DC-0718-4AB6-AEB5-1B3308968C26}" name="2002" dataDxfId="137"/>
    <tableColumn id="16" xr3:uid="{CAAD7125-377F-4EBA-B9DE-CF8BEB7FF715}" name="2003" dataDxfId="136"/>
    <tableColumn id="17" xr3:uid="{D417B545-8484-4375-800C-7C4083A1A7FA}" name="2004" dataDxfId="135"/>
    <tableColumn id="18" xr3:uid="{F7B529F9-C975-4DF2-B3D9-863D7A243ECC}" name="2005" dataDxfId="134"/>
    <tableColumn id="19" xr3:uid="{4223E284-E8CA-4B82-B837-E99A30A31B43}" name="2006" dataDxfId="133"/>
    <tableColumn id="20" xr3:uid="{D1852084-8824-4B9C-AC89-3576CDAAFDA0}" name="2007" dataDxfId="132"/>
    <tableColumn id="21" xr3:uid="{9E48B687-D114-4CC9-A0A7-7420AB4E7FDC}" name="2008" dataDxfId="131"/>
    <tableColumn id="22" xr3:uid="{FDCD5EFE-CB3B-43B6-BA28-546D276361DF}" name="2009" dataDxfId="130"/>
    <tableColumn id="23" xr3:uid="{F78A627C-C4AA-49C2-B934-E22E4F916A10}" name="2010" dataDxfId="129"/>
    <tableColumn id="24" xr3:uid="{F6832BFF-E0D5-49CE-8042-F170AE9DE606}" name="2011" dataDxfId="128"/>
    <tableColumn id="25" xr3:uid="{9395712E-3CAA-472B-B633-CCBA19E57D40}" name="2012" dataDxfId="127"/>
    <tableColumn id="26" xr3:uid="{F9D9A8A0-1B3C-477B-88BF-D508A48646C2}" name="2013" dataDxfId="126"/>
    <tableColumn id="27" xr3:uid="{CE6CF5BF-6F35-425A-BDAC-828484132D95}" name="2014" dataDxfId="125"/>
    <tableColumn id="28" xr3:uid="{3760DFF1-60C2-46A0-86B6-CFE1DD72BF83}" name="2015" dataDxfId="124"/>
    <tableColumn id="29" xr3:uid="{F456D3B4-653D-4A67-B950-0078AD71161D}" name="2016" dataDxfId="123"/>
    <tableColumn id="30" xr3:uid="{A6A98FCF-048B-46E8-BD77-BB42B6463469}" name="2017" dataDxfId="122"/>
    <tableColumn id="31" xr3:uid="{EC3450E6-77DB-44D7-97DF-D3443EB3BE4B}" name="2018" dataDxfId="121"/>
    <tableColumn id="32" xr3:uid="{FA20724E-930F-4197-9A13-CA4566BACB4A}" name="2019" dataDxfId="120"/>
    <tableColumn id="33" xr3:uid="{399396F1-104C-4526-9FD2-B35995A47289}" name="2020" dataDxfId="119"/>
    <tableColumn id="34" xr3:uid="{6D9E4174-324D-4ADB-9B62-6A6A7A4F8B05}" name="2021" dataDxfId="118"/>
    <tableColumn id="35" xr3:uid="{E45CA0FF-BB7A-4AF3-AD71-D39DC40E6975}" name="2022" dataDxfId="117"/>
    <tableColumn id="36" xr3:uid="{72EF66F8-22F5-4799-8C29-5D67AC29F443}" name="2023" dataDxfId="116"/>
  </tableColumns>
  <tableStyleInfo name="TableStyleMedium1" showFirstColumn="0" showLastColumn="0" showRowStripes="1" showColumnStripes="0"/>
</table>
</file>

<file path=xl/tables/table2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7B87FA96-67C8-490C-BDEC-D99866535D8E}" name="ElectricSectorLFG" displayName="ElectricSectorLFG" ref="A53:AJ64" totalsRowShown="0" headerRowDxfId="115" headerRowBorderDxfId="114" tableBorderDxfId="113">
  <autoFilter ref="A53:AJ64" xr:uid="{7B87FA96-67C8-490C-BDEC-D99866535D8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D6F7B6DE-5003-4FA0-95BA-7E561BFE077A}" name="Heat Input/Gas" dataDxfId="112"/>
    <tableColumn id="2" xr3:uid="{634652A2-0A06-40BB-9EC0-60480F46E9D9}" name="Units" dataDxfId="111"/>
    <tableColumn id="3" xr3:uid="{60C0B47F-EB8F-44E6-989C-831D30B8CDCA}" name="1990"/>
    <tableColumn id="4" xr3:uid="{9322545E-8C17-48F2-8261-3DAAB1C4B3AD}" name="1991"/>
    <tableColumn id="5" xr3:uid="{29695A8D-64B2-4A51-AF21-CF04290288C9}" name="1992"/>
    <tableColumn id="6" xr3:uid="{4307813B-28B8-497A-B1D0-8327CBBC970A}" name="1993"/>
    <tableColumn id="7" xr3:uid="{0900BC6E-F5BB-4D58-B9C5-E5A2EFFE0B8D}" name="1994"/>
    <tableColumn id="8" xr3:uid="{50F0A372-B306-47E5-8CEB-DC48A09D46DF}" name="1995"/>
    <tableColumn id="9" xr3:uid="{DA399DFD-CC2D-4EB2-8EBB-9CC1400F9313}" name="1996"/>
    <tableColumn id="10" xr3:uid="{D59CD6E4-3AE3-465B-AA05-A357459C25FE}" name="1997"/>
    <tableColumn id="11" xr3:uid="{6A55EFCF-F10C-4DB6-8800-C4632A05076E}" name="1998"/>
    <tableColumn id="12" xr3:uid="{D3313CCE-ED31-4F9B-934F-ED1ED5DC7F4E}" name="1999"/>
    <tableColumn id="13" xr3:uid="{5657CD7A-ABB1-4BC6-A129-834CC2C88A2D}" name="2000"/>
    <tableColumn id="14" xr3:uid="{18CEAFAE-E6BA-4C54-813C-5350601A6BAD}" name="2001"/>
    <tableColumn id="15" xr3:uid="{55D0AB49-0C0C-470D-BE5F-EAB115BDFA2A}" name="2002"/>
    <tableColumn id="16" xr3:uid="{4A7F4991-AA9B-46B6-A93A-7B48494B2F87}" name="2003"/>
    <tableColumn id="17" xr3:uid="{043013B1-4B73-4C59-B969-40630BD5A358}" name="2004"/>
    <tableColumn id="18" xr3:uid="{3EDC01E4-4B1B-4C8D-A8F5-0DE9BCEAD594}" name="2005"/>
    <tableColumn id="19" xr3:uid="{8FC60FE8-7020-4CCB-A751-46735D9C0186}" name="2006"/>
    <tableColumn id="20" xr3:uid="{AD0EF547-456D-4AC3-BA23-8976FBB496E8}" name="2007"/>
    <tableColumn id="21" xr3:uid="{418AEEDD-5C70-423A-8B0C-4598C4439C31}" name="2008"/>
    <tableColumn id="22" xr3:uid="{2F6DFB73-4C8E-42CB-B14F-61BDD2BE2E0A}" name="2009"/>
    <tableColumn id="23" xr3:uid="{2D6591DD-CDE1-490C-B139-9BB208B2F9C0}" name="2010"/>
    <tableColumn id="24" xr3:uid="{01E05B8C-1584-45D2-BA2B-8D04DE111699}" name="2011"/>
    <tableColumn id="25" xr3:uid="{2A15E846-989F-45BF-98E4-822DD64A1889}" name="2012"/>
    <tableColumn id="26" xr3:uid="{1FC66397-A65B-412D-94E5-8201D7CE9451}" name="2013"/>
    <tableColumn id="27" xr3:uid="{07DEAA49-2E6A-4A70-AAA4-9FAB805C8079}" name="2014"/>
    <tableColumn id="28" xr3:uid="{3E1B5EFF-3025-4FCA-9B3F-8AEF3751CA5D}" name="2015"/>
    <tableColumn id="29" xr3:uid="{A7D7CB53-4DEC-4735-B8F2-20CC87BBAD0D}" name="2016"/>
    <tableColumn id="30" xr3:uid="{57160FCC-936E-4809-B7CD-CAA96ED73C55}" name="2017"/>
    <tableColumn id="31" xr3:uid="{E9509EA2-0C8B-441F-B72B-7B7311B39227}" name="2018"/>
    <tableColumn id="32" xr3:uid="{A67305FD-9F83-4D99-AE6B-98AB93DC4BE6}" name="2019"/>
    <tableColumn id="33" xr3:uid="{B65C8895-D525-4260-B263-D188DC95820D}" name="2020"/>
    <tableColumn id="34" xr3:uid="{5D27EDAF-D3AB-41DB-B270-5F008493BFC0}" name="2021"/>
    <tableColumn id="35" xr3:uid="{DD05CE8F-D694-460E-816E-6CAD79919208}" name="2022"/>
    <tableColumn id="36" xr3:uid="{CA1F44D9-5DB2-4638-BD3B-60A0D2CFEF7F}" name="2023"/>
  </tableColumns>
  <tableStyleInfo name="TableStyleMedium1" showFirstColumn="0" showLastColumn="0" showRowStripes="1" showColumnStripes="0"/>
</table>
</file>

<file path=xl/tables/table2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36D4A7D3-DE83-427C-A1E3-8AB87DC3FE18}" name="ElectricSectorMSB" displayName="ElectricSectorMSB" ref="A37:AJ43" totalsRowShown="0" headerRowDxfId="110" headerRowBorderDxfId="109" tableBorderDxfId="108">
  <autoFilter ref="A37:AJ43" xr:uid="{36D4A7D3-DE83-427C-A1E3-8AB87DC3FE1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FD260ED4-4983-4B83-A879-8E89FBBC1D54}" name="Heat Input/Gas"/>
    <tableColumn id="2" xr3:uid="{C6D5FF7B-88A2-4589-AB7A-5D91EC50F7FE}" name="Units"/>
    <tableColumn id="3" xr3:uid="{4B81B1F2-711B-4126-9F0F-1610915F2006}" name="1990"/>
    <tableColumn id="4" xr3:uid="{DE64C8CB-3FC7-4D7F-82BE-B44B24C040D3}" name="1991"/>
    <tableColumn id="5" xr3:uid="{E0A7A581-BCFB-4F8D-987C-8D87A3DC1381}" name="1992"/>
    <tableColumn id="6" xr3:uid="{2E8EB337-D31F-4578-83A1-4015949B4645}" name="1993"/>
    <tableColumn id="7" xr3:uid="{4D919473-B155-4006-B151-79CF2C139403}" name="1994"/>
    <tableColumn id="8" xr3:uid="{BE9400DD-547C-4F05-8972-06F71423ED51}" name="1995"/>
    <tableColumn id="9" xr3:uid="{24241A21-B9DE-48CA-BE2C-2ABAD7F7D162}" name="1996"/>
    <tableColumn id="10" xr3:uid="{74CA938C-6132-448B-8C59-97B659435FD3}" name="1997"/>
    <tableColumn id="11" xr3:uid="{950AB02C-7C4E-445F-BE20-9EBC3C819CBB}" name="1998"/>
    <tableColumn id="12" xr3:uid="{5A8A3EBF-5305-4244-906C-467EA07110EB}" name="1999"/>
    <tableColumn id="13" xr3:uid="{3E37FAD5-C613-4C69-B99C-8CB79CA7E846}" name="2000"/>
    <tableColumn id="14" xr3:uid="{1129343A-C522-4770-AE2A-DC2FD2F5369E}" name="2001"/>
    <tableColumn id="15" xr3:uid="{4013FC80-DAB0-4C76-B36A-B1143BD3C46C}" name="2002"/>
    <tableColumn id="16" xr3:uid="{625BB573-73B2-4107-9DCC-68B7816BBA10}" name="2003"/>
    <tableColumn id="17" xr3:uid="{A61D1126-68A4-4F3D-9686-3FABD2FEC4D5}" name="2004"/>
    <tableColumn id="18" xr3:uid="{77DD00D3-79A4-408E-9B05-5880F1B50925}" name="2005"/>
    <tableColumn id="19" xr3:uid="{7A74C177-3003-4B94-BAB4-3808773B82C5}" name="2006"/>
    <tableColumn id="20" xr3:uid="{7B74AA82-9BC3-4224-907F-AEC84B1D50ED}" name="2007"/>
    <tableColumn id="21" xr3:uid="{1529BC03-5E09-4791-892D-8195EE00D7B5}" name="2008"/>
    <tableColumn id="22" xr3:uid="{0613C58C-EF64-40F2-9C19-1405E8508E42}" name="2009"/>
    <tableColumn id="23" xr3:uid="{A8557DED-C532-40E5-84DD-9A8930D99100}" name="2010"/>
    <tableColumn id="24" xr3:uid="{DE504635-8AD7-43AA-83C8-80AE311D8A6B}" name="2011"/>
    <tableColumn id="25" xr3:uid="{0869227F-EF3E-455A-A2E9-6358856D886C}" name="2012"/>
    <tableColumn id="26" xr3:uid="{56A632D1-D494-4EFB-8334-D5DDD9E09FA3}" name="2013"/>
    <tableColumn id="27" xr3:uid="{66C54F39-A126-4D45-978C-C9063C54A968}" name="2014"/>
    <tableColumn id="28" xr3:uid="{5D59A5C5-DCB8-450C-8B15-53514EA0F30F}" name="2015"/>
    <tableColumn id="29" xr3:uid="{491C3DA1-3A88-4A7F-90EF-C80AC8647E30}" name="2016"/>
    <tableColumn id="30" xr3:uid="{0A9FED20-3C0A-49D3-BEA3-A2A8BC89C39F}" name="2017"/>
    <tableColumn id="31" xr3:uid="{F85EAEA8-589E-4C7A-AAC5-FB0F9136F77F}" name="2018"/>
    <tableColumn id="32" xr3:uid="{6AB62022-9149-40A7-991A-7DF53482A11E}" name="2019"/>
    <tableColumn id="33" xr3:uid="{27E0412B-E8EF-44CC-8AEF-8B0DE7951298}" name="2020"/>
    <tableColumn id="34" xr3:uid="{D651E5F5-B25B-439C-9592-04869E3D4E32}" name="2021"/>
    <tableColumn id="35" xr3:uid="{86356491-AC27-45B8-B3D3-A435FD96BF86}" name="2022"/>
    <tableColumn id="36" xr3:uid="{1AFD4E43-6292-4C46-A22F-483C5D15C161}" name="2023"/>
  </tableColumns>
  <tableStyleInfo name="TableStyleMedium1" showFirstColumn="0" showLastColumn="0" showRowStripes="1" showColumnStripes="0"/>
</table>
</file>

<file path=xl/tables/table2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DD05E038-2647-45E5-A361-AAFEE45905E7}" name="CommercialSectorWood" displayName="CommercialSectorWood" ref="A72:AJ77" totalsRowShown="0" headerRowDxfId="107">
  <autoFilter ref="A72:AJ77" xr:uid="{DD05E038-2647-45E5-A361-AAFEE45905E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49B918C5-AA99-4D46-BA7A-D13BD939E9B6}" name="Heat Input/Gas"/>
    <tableColumn id="2" xr3:uid="{C135CAC8-0D68-4595-B032-518DF6F98737}" name="Units" dataDxfId="106"/>
    <tableColumn id="3" xr3:uid="{65BB7A7E-469D-4959-9B49-3A06C178737F}" name="1990"/>
    <tableColumn id="4" xr3:uid="{9B0E4A77-DBE5-436B-A9D5-2253C94D5786}" name="1991"/>
    <tableColumn id="5" xr3:uid="{628F4891-DF4E-43FF-840A-152D6A4507FF}" name="1992"/>
    <tableColumn id="6" xr3:uid="{54459189-B2F0-4549-8C80-D1246F81CB3B}" name="1993"/>
    <tableColumn id="7" xr3:uid="{27441F60-E87E-49DA-B6C2-4175EAA122DB}" name="1994"/>
    <tableColumn id="8" xr3:uid="{7C061513-8D6E-4C03-977F-F68D36B467A9}" name="1995"/>
    <tableColumn id="9" xr3:uid="{0895B38C-D4BD-4E28-A523-40AFDDA2FEEA}" name="1996"/>
    <tableColumn id="10" xr3:uid="{50ED535D-BE0A-4E60-91B2-0A16F3AC2662}" name="1997"/>
    <tableColumn id="11" xr3:uid="{198D5D27-F455-4C8F-9143-280C5E0DAAEE}" name="1998"/>
    <tableColumn id="12" xr3:uid="{5AF3D031-6C1D-4360-9FB2-7420B6DF6532}" name="1999"/>
    <tableColumn id="13" xr3:uid="{2E94E011-7EBF-4670-A64C-47165F4E5B40}" name="2000"/>
    <tableColumn id="14" xr3:uid="{5EB611E0-14F1-498D-B021-90F1A5418187}" name="2001"/>
    <tableColumn id="15" xr3:uid="{03B03B46-6237-4C8B-B966-7CB9EA69B0EA}" name="2002"/>
    <tableColumn id="16" xr3:uid="{08C19215-B015-4128-9A6F-3E3748506719}" name="2003"/>
    <tableColumn id="17" xr3:uid="{E236D747-BED0-4564-ABDB-6A9F5CE9AA32}" name="2004"/>
    <tableColumn id="18" xr3:uid="{E6F6DC2C-B52F-4AFE-91D2-556196812AF7}" name="2005"/>
    <tableColumn id="19" xr3:uid="{ED076129-0315-4618-B33A-CEF54BF4738B}" name="2006"/>
    <tableColumn id="20" xr3:uid="{CE4BCA39-4AE2-438B-B68E-ADBD413913E2}" name="2007"/>
    <tableColumn id="21" xr3:uid="{8403BCC4-1EC5-4012-B040-EC312F8FADD5}" name="2008"/>
    <tableColumn id="22" xr3:uid="{A822BFF8-C6AF-425E-B087-3AD806B3D1BD}" name="2009"/>
    <tableColumn id="23" xr3:uid="{508C3C8E-3C11-4789-B172-15BB96E3D209}" name="2010"/>
    <tableColumn id="24" xr3:uid="{37C3B79D-5B49-45BE-9750-A706337831E5}" name="2011"/>
    <tableColumn id="25" xr3:uid="{B220B4F6-187A-42C1-BA05-892E1A81076F}" name="2012"/>
    <tableColumn id="26" xr3:uid="{C06EB8C5-2945-48F6-93A6-A05B378DCC6C}" name="2013"/>
    <tableColumn id="27" xr3:uid="{7AD640D4-B0C2-45C7-98CD-4563917E5FB7}" name="2014"/>
    <tableColumn id="28" xr3:uid="{49D85CD8-F042-4B7A-A422-450BC220B41C}" name="2015"/>
    <tableColumn id="29" xr3:uid="{CC17A66A-7C0D-463C-8739-E91887584D79}" name="2016"/>
    <tableColumn id="30" xr3:uid="{9C6D237D-8CA8-4613-A293-B81D3EFDB8F4}" name="2017"/>
    <tableColumn id="31" xr3:uid="{271994C5-2813-4D56-98EA-F3D26A55EA52}" name="2018"/>
    <tableColumn id="32" xr3:uid="{ED442FEB-6CF7-464B-BD90-1355FB080BAD}" name="2019"/>
    <tableColumn id="33" xr3:uid="{A1041DC0-7AF6-49FE-9F20-1687396B3735}" name="2020"/>
    <tableColumn id="34" xr3:uid="{1E01478F-DF1C-450F-8695-308763DE4BF8}" name="2021"/>
    <tableColumn id="35" xr3:uid="{2C5295CC-46E5-46C1-81D5-B7E17CDF6113}" name="2022"/>
    <tableColumn id="36" xr3:uid="{9FF9C108-8BD5-4400-87F6-1B887A4B2B7F}" name="2023"/>
  </tableColumns>
  <tableStyleInfo name="TableStyleMedium1" showFirstColumn="0" showLastColumn="0" showRowStripes="1" showColumnStripes="0"/>
</table>
</file>

<file path=xl/tables/table2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06AC8848-EC98-49A7-AD22-E95E67EDF7C0}" name="CommercialSectorOBG" displayName="CommercialSectorOBG" ref="A98:AJ109" totalsRowShown="0" headerRowDxfId="105" tableBorderDxfId="104">
  <autoFilter ref="A98:AJ109" xr:uid="{06AC8848-EC98-49A7-AD22-E95E67EDF7C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B0FD1D0D-F99C-4F7F-A346-CA9AA299F902}" name="Heat Input/Gas" dataDxfId="103"/>
    <tableColumn id="2" xr3:uid="{F6A5E0FE-EFD5-4637-8669-1E5F2C385482}" name="Units" dataDxfId="102"/>
    <tableColumn id="3" xr3:uid="{F432E95C-5470-46E6-9032-B67693E4EBAE}" name="1990"/>
    <tableColumn id="4" xr3:uid="{A3CDCDFA-BBBB-4350-8E22-88405748D474}" name="1991"/>
    <tableColumn id="5" xr3:uid="{F9BCC929-0584-4688-AE80-5941E1FA01FA}" name="1992"/>
    <tableColumn id="6" xr3:uid="{2754ED78-0787-4307-85C3-FA8276B84FB6}" name="1993"/>
    <tableColumn id="7" xr3:uid="{1BED0F48-5D45-4D84-991B-98916C5413EF}" name="1994"/>
    <tableColumn id="8" xr3:uid="{3F0DBBAF-BC32-44AC-AFA9-FD8CD54C97D9}" name="1995"/>
    <tableColumn id="9" xr3:uid="{1170E967-43AA-4A8F-9D5B-6D75379B41CB}" name="1996"/>
    <tableColumn id="10" xr3:uid="{611F5D2A-7826-4FA5-8187-E528F4461A62}" name="1997"/>
    <tableColumn id="11" xr3:uid="{19A1BD29-DA60-463F-9353-1B7452BDAE80}" name="1998"/>
    <tableColumn id="12" xr3:uid="{109E616D-4ADE-4738-8DA6-738FC344A115}" name="1999"/>
    <tableColumn id="13" xr3:uid="{42760603-A534-4441-840E-8223AA482F6E}" name="2000"/>
    <tableColumn id="14" xr3:uid="{8F4B72E1-C443-4686-85E0-16EDA9EBF9F8}" name="2001"/>
    <tableColumn id="15" xr3:uid="{3CC5112F-685D-43DD-9B04-7824C3780CEC}" name="2002"/>
    <tableColumn id="16" xr3:uid="{9E51470E-E7BA-45EF-A393-2C68B8696548}" name="2003"/>
    <tableColumn id="17" xr3:uid="{65E0BC23-E082-4263-AECF-4266312765C7}" name="2004"/>
    <tableColumn id="18" xr3:uid="{08E29888-EEE1-480A-AD70-4B2B18D55AD1}" name="2005"/>
    <tableColumn id="19" xr3:uid="{50A47ED2-9234-4961-8F13-8E437459EE77}" name="2006"/>
    <tableColumn id="20" xr3:uid="{23355AC7-379A-466C-90C4-DBD7285BC819}" name="2007"/>
    <tableColumn id="21" xr3:uid="{D335FB03-001F-4A7A-AC93-CC84C1B9DD7A}" name="2008"/>
    <tableColumn id="22" xr3:uid="{5289C385-9C6C-4091-A5A6-9299CCBCF320}" name="2009"/>
    <tableColumn id="23" xr3:uid="{C3487353-B93F-4286-8DCE-E49FDF0EF1BE}" name="2010"/>
    <tableColumn id="24" xr3:uid="{A184E6E9-E2F4-42D0-ACDE-3F1019E0866F}" name="2011"/>
    <tableColumn id="25" xr3:uid="{570BDD18-9BBE-49BE-9B96-6FC61956D413}" name="2012"/>
    <tableColumn id="26" xr3:uid="{54D882C6-26B8-4BEB-8B80-26A37DCB9388}" name="2013"/>
    <tableColumn id="27" xr3:uid="{8EB390B4-58D7-4067-8E1A-1B7E83592953}" name="2014"/>
    <tableColumn id="28" xr3:uid="{0D83561C-EBD0-446A-BDAE-805C9DBC6C1F}" name="2015"/>
    <tableColumn id="29" xr3:uid="{6231ED95-CAB2-4D5B-B360-4541F15CC22F}" name="2016"/>
    <tableColumn id="30" xr3:uid="{05B56C8D-A0BC-4728-804C-6C4CAD3F31D6}" name="2017"/>
    <tableColumn id="31" xr3:uid="{61085C17-0C59-4D72-9D8A-78462EAFEA47}" name="2018"/>
    <tableColumn id="32" xr3:uid="{5D2E4418-9110-4628-BBCA-B0F4AA94BD17}" name="2019"/>
    <tableColumn id="33" xr3:uid="{7F3398D1-17E1-49B6-A6E0-089E52958970}" name="2020"/>
    <tableColumn id="34" xr3:uid="{30FEEB5F-3992-49DC-BDC8-D618745E57B2}" name="2021"/>
    <tableColumn id="35" xr3:uid="{24AFA8E4-4E9D-43A8-BDE8-12010A188AFE}" name="2022"/>
    <tableColumn id="36" xr3:uid="{199BBED4-861C-4D64-99CC-448CD15C5F7E}" name="2023"/>
  </tableColumns>
  <tableStyleInfo name="TableStyleMedium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6" xr:uid="{F7BE3193-EB98-49AF-92ED-AFBDD82828B2}" name="SummaryByGasMAEmissionsByGas2023" displayName="SummaryByGasMAEmissionsByGas2023" ref="H6:J13" totalsRowShown="0" headerRowDxfId="4959" headerRowBorderDxfId="4958" tableBorderDxfId="4957">
  <autoFilter ref="H6:J13" xr:uid="{F7BE3193-EB98-49AF-92ED-AFBDD82828B2}">
    <filterColumn colId="0" hiddenButton="1"/>
    <filterColumn colId="1" hiddenButton="1"/>
    <filterColumn colId="2" hiddenButton="1"/>
  </autoFilter>
  <tableColumns count="3">
    <tableColumn id="1" xr3:uid="{40249440-C6C8-4E14-8FDF-E2FD83A42C11}" name="MMTCO2e" dataDxfId="4956"/>
    <tableColumn id="2" xr3:uid="{D72EBC37-D154-40BB-8EE6-74AF54C663B3}" name="Percent" dataDxfId="4955" dataCellStyle="Percent"/>
    <tableColumn id="3" xr3:uid="{139812FA-D49D-4ED6-BFA4-9982A61DFB53}" name="Gas" dataDxfId="4954"/>
  </tableColumns>
  <tableStyleInfo name="TableStyleLight1" showFirstColumn="0" showLastColumn="0" showRowStripes="1" showColumnStripes="0"/>
</table>
</file>

<file path=xl/tables/table2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BBD65564-079D-4BD4-8484-12780364EA5F}" name="CommercialSectorEthanol" displayName="CommercialSectorEthanol" ref="A83:AJ95" totalsRowShown="0" headerRowDxfId="101">
  <autoFilter ref="A83:AJ95" xr:uid="{BBD65564-079D-4BD4-8484-12780364EA5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F411D40B-6554-4BB2-AE01-6BCEFAD80486}" name="Heat Input/Gas" dataDxfId="100"/>
    <tableColumn id="2" xr3:uid="{D32B2390-FB2C-4C03-B695-C8F9342EFC2C}" name="Units" dataDxfId="99"/>
    <tableColumn id="3" xr3:uid="{F5415E02-131A-4B3F-AD43-5D9F99151DBE}" name="1990"/>
    <tableColumn id="4" xr3:uid="{CC83B769-9953-4466-A1CA-E54F057D1CF9}" name="1991"/>
    <tableColumn id="5" xr3:uid="{E42A1CD4-CF4E-48D2-AA78-A6CDFE3C91FD}" name="1992"/>
    <tableColumn id="6" xr3:uid="{939FACF8-F8F9-4BF6-A3F1-E6BF29B747A9}" name="1993"/>
    <tableColumn id="7" xr3:uid="{3017E6FF-A0A5-4D3C-9099-2AD7EDCA0088}" name="1994"/>
    <tableColumn id="8" xr3:uid="{4E6ADDC0-5F19-47BB-83D6-3FB0CADA9F43}" name="1995"/>
    <tableColumn id="9" xr3:uid="{A4F73EFB-C179-4DC2-9F52-40E07F66DFFE}" name="1996"/>
    <tableColumn id="10" xr3:uid="{EFB8AEA4-05C5-40DD-B70A-3DDEE07998E9}" name="1997"/>
    <tableColumn id="11" xr3:uid="{DF153A81-8358-4745-A31D-DA6D9DDB3A32}" name="1998"/>
    <tableColumn id="12" xr3:uid="{C85AD0EF-0FFB-42ED-899B-92747A4CF9AD}" name="1999"/>
    <tableColumn id="13" xr3:uid="{35ECAF9C-254F-4D73-9759-E1A1BBAC98BF}" name="2000"/>
    <tableColumn id="14" xr3:uid="{CB1FAB6C-B5C1-4425-A29E-83A0CC705D43}" name="2001"/>
    <tableColumn id="15" xr3:uid="{DC499F29-DE8B-4ED9-A191-B0591FA31239}" name="2002"/>
    <tableColumn id="16" xr3:uid="{395D6A96-A98D-499B-A096-05B6607A4C3C}" name="2003"/>
    <tableColumn id="17" xr3:uid="{7BD73BEC-D8CE-475D-82F3-0E2B4979132F}" name="2004"/>
    <tableColumn id="18" xr3:uid="{C8107609-6085-4CFB-9AE6-C907AFAD69FE}" name="2005"/>
    <tableColumn id="19" xr3:uid="{8996EB62-C481-4905-80C0-08A2971271FB}" name="2006"/>
    <tableColumn id="20" xr3:uid="{CEF65E84-1667-4E01-9619-2BC43CB9B801}" name="2007"/>
    <tableColumn id="21" xr3:uid="{193831D1-51EC-40E3-B23B-1F1117C83790}" name="2008"/>
    <tableColumn id="22" xr3:uid="{DDD9399E-853C-403E-BF53-BEE65434437C}" name="2009"/>
    <tableColumn id="23" xr3:uid="{187578E2-C255-490D-B427-16346FF364A7}" name="2010"/>
    <tableColumn id="24" xr3:uid="{2E63B445-7C93-4C2C-BD6A-13AA0121C951}" name="2011"/>
    <tableColumn id="25" xr3:uid="{432A663F-25AE-4E6C-BC34-1CA32819148E}" name="2012"/>
    <tableColumn id="26" xr3:uid="{5FB80D73-0E77-4AF0-8A59-A3B2DA965E1C}" name="2013"/>
    <tableColumn id="27" xr3:uid="{82212346-A18C-4B04-B6E2-217FA69B1E85}" name="2014"/>
    <tableColumn id="28" xr3:uid="{F29836BA-C392-4A25-BC19-A2B4F43719D4}" name="2015"/>
    <tableColumn id="29" xr3:uid="{EE51F68B-1DBB-431F-AE06-5A0AA3266696}" name="2016"/>
    <tableColumn id="30" xr3:uid="{A682A81F-47B9-40C3-8D3B-18E11EA20F03}" name="2017"/>
    <tableColumn id="31" xr3:uid="{674D8AEE-FF11-4A31-AC3F-F2A56A4AD885}" name="2018"/>
    <tableColumn id="32" xr3:uid="{0C73D20D-B26B-4110-8A64-927844D31D05}" name="2019"/>
    <tableColumn id="33" xr3:uid="{6C828362-6896-49BA-AD91-9867A0A0ADDE}" name="2020"/>
    <tableColumn id="34" xr3:uid="{5C9FC981-FB4C-43C5-A9F7-FD7F370A90A5}" name="2021"/>
    <tableColumn id="35" xr3:uid="{8C77981F-541D-4626-85E7-B53670FCC56F}" name="2022"/>
    <tableColumn id="36" xr3:uid="{34D5013E-E80A-4ECB-BBFC-67CA24FF32E4}" name="2023"/>
  </tableColumns>
  <tableStyleInfo name="TableStyleMedium1" showFirstColumn="0" showLastColumn="0" showRowStripes="1" showColumnStripes="0"/>
</table>
</file>

<file path=xl/tables/table2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EBDB0486-5746-4273-8929-1E230CE121A6}" name="IndustrialSectorEthanol" displayName="IndustrialSectorEthanol" ref="A141:AJ153" totalsRowShown="0" headerRowDxfId="98">
  <autoFilter ref="A141:AJ153" xr:uid="{EBDB0486-5746-4273-8929-1E230CE121A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7665129D-585F-46D7-AA43-EC5AD49DAFD5}" name="Heat Input/Gas"/>
    <tableColumn id="2" xr3:uid="{704C09CF-4BC8-49F2-8A17-FD505361284F}" name="Units" dataDxfId="97"/>
    <tableColumn id="3" xr3:uid="{1B86AB72-D1E8-42E1-B357-B56E37EE8CB8}" name="1990"/>
    <tableColumn id="4" xr3:uid="{C94F689F-C70A-4BD3-8768-88B90456035E}" name="1991"/>
    <tableColumn id="5" xr3:uid="{59007806-340A-4599-9ED7-005D964D6F3D}" name="1992"/>
    <tableColumn id="6" xr3:uid="{E047EE2D-3FAE-4C2C-8B3D-58379BE36487}" name="1993"/>
    <tableColumn id="7" xr3:uid="{E93E4409-1104-4F56-909F-00A28C63A088}" name="1994"/>
    <tableColumn id="8" xr3:uid="{1C62F4A5-F2DA-4352-8B63-09CE0F6AE98C}" name="1995"/>
    <tableColumn id="9" xr3:uid="{5574522F-E503-4075-967E-F088F353D554}" name="1996"/>
    <tableColumn id="10" xr3:uid="{0CDBE95E-73E1-47C8-BE2E-849FAC3323C2}" name="1997"/>
    <tableColumn id="11" xr3:uid="{7C5537CB-259F-46A0-B964-60B7D50B431C}" name="1998"/>
    <tableColumn id="12" xr3:uid="{91393FF9-219F-4751-9002-89DA62B7A73D}" name="1999"/>
    <tableColumn id="13" xr3:uid="{EE5C3F0A-1AFE-4AA7-9F35-F024586B21F4}" name="2000"/>
    <tableColumn id="14" xr3:uid="{EFFBD78A-6745-410B-BAD4-D7DBD8D627BE}" name="2001"/>
    <tableColumn id="15" xr3:uid="{8AE7A913-64EC-4D31-98AF-C96696E8E3C8}" name="2002"/>
    <tableColumn id="16" xr3:uid="{6DF8DAC1-60A8-4949-9F08-CCC80B5057B2}" name="2003"/>
    <tableColumn id="17" xr3:uid="{0D839FAD-AD15-44CF-9DEA-D53A7BF2F94B}" name="2004"/>
    <tableColumn id="18" xr3:uid="{B40C024A-CDB1-48E4-8759-DE8DCE35B5AC}" name="2005"/>
    <tableColumn id="19" xr3:uid="{023A6E62-DF1B-4E93-AB3C-2BF7B07ECFD8}" name="2006"/>
    <tableColumn id="20" xr3:uid="{0C8A82E3-1452-4509-AA46-7281E63924B4}" name="2007"/>
    <tableColumn id="21" xr3:uid="{018F614E-02A5-45D5-90E8-D3498F64C9FD}" name="2008"/>
    <tableColumn id="22" xr3:uid="{2170EAA4-1DF1-4050-8345-FB0E262E7C5F}" name="2009"/>
    <tableColumn id="23" xr3:uid="{A742A3BC-CE2F-48F0-9709-3E2CAE3AA832}" name="2010"/>
    <tableColumn id="24" xr3:uid="{1EB4614D-5468-4BB7-8B71-8C67D0C0A380}" name="2011"/>
    <tableColumn id="25" xr3:uid="{7D9FEAD8-1465-4584-A416-C81A77336C3F}" name="2012"/>
    <tableColumn id="26" xr3:uid="{9C79A0E5-1353-4005-B6B1-BD63CA221193}" name="2013"/>
    <tableColumn id="27" xr3:uid="{396246ED-EAA6-4AEC-A621-5CC9A8FF1C9A}" name="2014"/>
    <tableColumn id="28" xr3:uid="{EC9E73F6-2E30-4DE6-84F0-7832405DE4E8}" name="2015"/>
    <tableColumn id="29" xr3:uid="{F5873D56-5355-42B4-8D59-E4EFF8DC504E}" name="2016"/>
    <tableColumn id="30" xr3:uid="{8FE9DCDE-C37F-4B51-AC05-550624E5403B}" name="2017"/>
    <tableColumn id="31" xr3:uid="{294A48CD-A382-4EFC-83BF-405268AAB62F}" name="2018"/>
    <tableColumn id="32" xr3:uid="{2A5DC99B-26DF-4F57-8ACF-03FB439B0CBD}" name="2019"/>
    <tableColumn id="33" xr3:uid="{AAC4C22C-D060-4D6E-BEA9-B37D2F1ECD21}" name="2020"/>
    <tableColumn id="34" xr3:uid="{9650EC9D-F526-42F7-93E4-F213244BD9A8}" name="2021"/>
    <tableColumn id="35" xr3:uid="{24C58BFF-D59F-4004-BE9E-728C1A8487D3}" name="2022"/>
    <tableColumn id="36" xr3:uid="{D90BB69F-4F1A-472C-8116-2E30BC851FDF}" name="2023"/>
  </tableColumns>
  <tableStyleInfo name="TableStyleMedium1" showFirstColumn="0" showLastColumn="0" showRowStripes="1" showColumnStripes="0"/>
</table>
</file>

<file path=xl/tables/table2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A46C65B4-2120-41A5-B462-C05C5972118F}" name="IndustrialSectorWood" displayName="IndustrialSectorWood" ref="A115:AJ120" totalsRowShown="0" headerRowDxfId="96" headerRowBorderDxfId="95" tableBorderDxfId="94">
  <autoFilter ref="A115:AJ120" xr:uid="{A46C65B4-2120-41A5-B462-C05C5972118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C1E4370A-1DC5-4DBA-83A4-FEDCA10D3070}" name="Heat Input/Gas"/>
    <tableColumn id="2" xr3:uid="{C26D7E20-C7AC-4B03-AAB7-E4EB8E389457}" name="Units" dataDxfId="93"/>
    <tableColumn id="3" xr3:uid="{0E2C6E83-E001-41FE-BB72-456E1DAB754D}" name="1990"/>
    <tableColumn id="4" xr3:uid="{4188A85B-453A-4957-80D6-74A3187DF11C}" name="1991"/>
    <tableColumn id="5" xr3:uid="{85C12BBA-F6EE-4FEE-9B57-6351C6FA07F1}" name="1992"/>
    <tableColumn id="6" xr3:uid="{81B29EE6-EF7A-45D5-A7FF-42D11C9C2521}" name="1993"/>
    <tableColumn id="7" xr3:uid="{6FD33DAC-6A9C-45B2-8016-8EDD890B22AA}" name="1994"/>
    <tableColumn id="8" xr3:uid="{496AAC19-C50E-45BD-9E57-E5BAB54B4474}" name="1995"/>
    <tableColumn id="9" xr3:uid="{8D858CA7-ACD9-4F89-B715-7CCB15093195}" name="1996"/>
    <tableColumn id="10" xr3:uid="{7653EBFA-AE8C-4E34-A68A-195B647A7D4D}" name="1997"/>
    <tableColumn id="11" xr3:uid="{A604AC3B-EA72-4C79-9680-E85F6BE5B198}" name="1998"/>
    <tableColumn id="12" xr3:uid="{045C2EFD-3AEC-4806-B9A1-04EBF2413104}" name="1999"/>
    <tableColumn id="13" xr3:uid="{78D31D58-4B8E-4212-8BB5-4250B21E4168}" name="2000"/>
    <tableColumn id="14" xr3:uid="{95E3C018-DF37-4FB7-8278-66860A17DF75}" name="2001"/>
    <tableColumn id="15" xr3:uid="{937022CD-E289-4CA6-91A4-79A586CE7214}" name="2002"/>
    <tableColumn id="16" xr3:uid="{D5A16743-F815-4B5A-81C5-24F8ECC651FC}" name="2003"/>
    <tableColumn id="17" xr3:uid="{5EEF33B1-3CD7-4579-AFFF-E558117A5905}" name="2004"/>
    <tableColumn id="18" xr3:uid="{6B509DAA-5AE6-4B70-A84B-D764283BF943}" name="2005"/>
    <tableColumn id="19" xr3:uid="{2D56291C-0FDB-497E-A6DA-D165B425FFD9}" name="2006"/>
    <tableColumn id="20" xr3:uid="{E3F119C4-226A-45D6-BB60-A415FE03B451}" name="2007"/>
    <tableColumn id="21" xr3:uid="{DD7B0AB6-D2D0-49B4-8349-5334D090DE9D}" name="2008"/>
    <tableColumn id="22" xr3:uid="{BC1B6196-396D-436F-B0FC-B421B209E929}" name="2009"/>
    <tableColumn id="23" xr3:uid="{0FE6B72E-A303-4FC3-A274-B5CE89A0DA1A}" name="2010"/>
    <tableColumn id="24" xr3:uid="{8948D914-59C5-474A-8F8B-4133A89317E7}" name="2011"/>
    <tableColumn id="25" xr3:uid="{1E6ED9EE-8CB3-4919-878C-0D15516B0D6C}" name="2012"/>
    <tableColumn id="26" xr3:uid="{84011FEF-CA67-43C6-A1BE-E3CF48905C5F}" name="2013"/>
    <tableColumn id="27" xr3:uid="{588F3F2C-1800-434C-A85D-A92079A0E16D}" name="2014"/>
    <tableColumn id="28" xr3:uid="{8943AE77-A721-4443-B6FA-B91FF82A9DB9}" name="2015"/>
    <tableColumn id="29" xr3:uid="{3619458F-9127-44D4-9B2F-6C25D94C1FAC}" name="2016"/>
    <tableColumn id="30" xr3:uid="{9E5FB745-2583-4AF4-A24D-A95877182FAA}" name="2017"/>
    <tableColumn id="31" xr3:uid="{D5CC0BE3-A2D5-49BB-A4D6-938BAD43AA39}" name="2018"/>
    <tableColumn id="32" xr3:uid="{6B2449EB-8EDA-497D-90A1-74581DE7F282}" name="2019"/>
    <tableColumn id="33" xr3:uid="{50A62322-99BB-4452-B3E3-B1367EC6EFE2}" name="2020"/>
    <tableColumn id="34" xr3:uid="{968F8C90-1076-4945-A37E-C84728F451B2}" name="2021"/>
    <tableColumn id="35" xr3:uid="{227D9168-FBD2-48A9-8584-3349E0BE89DD}" name="2022"/>
    <tableColumn id="36" xr3:uid="{1C438B67-EE8D-4034-8432-62625C510370}" name="2023"/>
  </tableColumns>
  <tableStyleInfo name="TableStyleMedium1" showFirstColumn="0" showLastColumn="0" showRowStripes="1" showColumnStripes="0"/>
</table>
</file>

<file path=xl/tables/table2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FA08FD2E-5237-4714-BCD7-F657E3836A7F}" name="IndustrialSectorMSB" displayName="IndustrialSectorMSB" ref="A126:AI132" totalsRowShown="0" headerRowDxfId="92" dataDxfId="90" headerRowBorderDxfId="91" tableBorderDxfId="89">
  <autoFilter ref="A126:AI132" xr:uid="{FA08FD2E-5237-4714-BCD7-F657E3836A7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AA3E54C1-E535-415A-A46C-1556B28F10FD}" name="Heat Input/Gas" dataDxfId="88"/>
    <tableColumn id="2" xr3:uid="{CCA3E958-CDDD-4732-A84F-DC5150627383}" name="Units" dataDxfId="87"/>
    <tableColumn id="3" xr3:uid="{2AC12D60-C097-4245-9718-D4F0A3D8D710}" name="1990" dataDxfId="86"/>
    <tableColumn id="4" xr3:uid="{0E7F626E-D39E-4C90-80A2-CDF203F82667}" name="1991" dataDxfId="85"/>
    <tableColumn id="5" xr3:uid="{4053A714-71E0-44E9-B8D1-65AD61A22F07}" name="1992" dataDxfId="84"/>
    <tableColumn id="6" xr3:uid="{CF241BE6-71B7-4CAC-A4D1-8319BE478B81}" name="1993" dataDxfId="83"/>
    <tableColumn id="7" xr3:uid="{5240B94C-71FF-4084-AFF9-4E8F51F1C62E}" name="1994" dataDxfId="82"/>
    <tableColumn id="8" xr3:uid="{D9733FF5-9324-4243-ABEB-33A064EF3CDA}" name="1995" dataDxfId="81"/>
    <tableColumn id="9" xr3:uid="{F2C3E2D3-6ED8-4E04-BA17-965EE48A22A9}" name="1996" dataDxfId="80"/>
    <tableColumn id="10" xr3:uid="{6F4BFA06-31D9-4CB7-9502-4D88B34F0253}" name="1997" dataDxfId="79"/>
    <tableColumn id="11" xr3:uid="{B4953928-2B7D-4388-ACC4-E3D13CAC87DA}" name="1998" dataDxfId="78"/>
    <tableColumn id="12" xr3:uid="{B816C919-DB81-4FD4-9C60-FDF361EF2424}" name="1999" dataDxfId="77"/>
    <tableColumn id="13" xr3:uid="{9C4FFDE8-D14D-4DB6-B1E2-6390DC275E3F}" name="2000" dataDxfId="76"/>
    <tableColumn id="14" xr3:uid="{1C832D3C-C2A9-474C-B363-02EF6A57D870}" name="2001" dataDxfId="75"/>
    <tableColumn id="15" xr3:uid="{3431E6E5-7C33-4AB5-A0A0-E65C0252E95F}" name="2002" dataDxfId="74"/>
    <tableColumn id="16" xr3:uid="{7D18D4B1-75D4-42E3-BC55-C9A4D4FAE84A}" name="2003" dataDxfId="73"/>
    <tableColumn id="17" xr3:uid="{BDC1A80F-0A15-47A2-849A-278077BAC757}" name="2004" dataDxfId="72"/>
    <tableColumn id="18" xr3:uid="{7E6053AB-3681-406D-86E8-AF5CD031EF68}" name="2005" dataDxfId="71"/>
    <tableColumn id="19" xr3:uid="{892D38DA-C6C7-4009-B1F1-590629AD32DD}" name="2006" dataDxfId="70"/>
    <tableColumn id="20" xr3:uid="{F1EF2E5F-165B-4D6D-8440-0623F6404F44}" name="2007" dataDxfId="69"/>
    <tableColumn id="21" xr3:uid="{F80CB9B5-A408-4F85-81D9-4860389ADBCD}" name="2008" dataDxfId="68"/>
    <tableColumn id="22" xr3:uid="{24A15E2F-05DD-43E8-94AA-47BB2DCFC681}" name="2009" dataDxfId="67"/>
    <tableColumn id="23" xr3:uid="{007FAD71-55C1-4DFC-AA89-DBB107863970}" name="2010" dataDxfId="66"/>
    <tableColumn id="24" xr3:uid="{24E8E3CC-EFC3-412D-A413-A0E8A7ADB5DB}" name="2011" dataDxfId="65"/>
    <tableColumn id="25" xr3:uid="{796D93AE-3F54-4E3E-A40E-856C86CAD29B}" name="2012" dataDxfId="64"/>
    <tableColumn id="26" xr3:uid="{8832ABB5-D73A-4035-B330-B93B0475933C}" name="2013" dataDxfId="63"/>
    <tableColumn id="27" xr3:uid="{DE749949-2EF1-442B-8D65-6FE6EDDE1145}" name="2014" dataDxfId="62"/>
    <tableColumn id="28" xr3:uid="{13E7B431-CA0D-4576-BEA8-9592EB6CB4C3}" name="2015" dataDxfId="61"/>
    <tableColumn id="29" xr3:uid="{A1BE3743-829C-4B00-8E15-24D738BE7B26}" name="2016" dataDxfId="60"/>
    <tableColumn id="30" xr3:uid="{BA40B880-B143-4B71-9CEB-FFA694744D27}" name="2017" dataDxfId="59"/>
    <tableColumn id="31" xr3:uid="{BF85FA6A-60AE-4007-B24E-8C45375D3765}" name="2018" dataDxfId="58"/>
    <tableColumn id="32" xr3:uid="{70A55F88-CE9B-4E2E-9D67-E5682F5660EC}" name="2019" dataDxfId="57"/>
    <tableColumn id="33" xr3:uid="{3DC9752F-337F-483E-98A9-1278F1AB8D73}" name="2020" dataDxfId="56"/>
    <tableColumn id="34" xr3:uid="{303FC5D9-DFF5-4221-9CDA-810255A1375B}" name="2021" dataDxfId="55"/>
    <tableColumn id="35" xr3:uid="{24F1C6FE-6DB6-489E-92A9-0D0AE73D567A}" name="2022" dataDxfId="54"/>
  </tableColumns>
  <tableStyleInfo name="TableStyleMedium1" showFirstColumn="0" showLastColumn="0" showRowStripes="1" showColumnStripes="0"/>
</table>
</file>

<file path=xl/tables/table2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A391727D-048F-47AB-AD1A-7CDC2611557C}" name="ResidentialSectorWood" displayName="ResidentialSectorWood" ref="A156:AJ161" totalsRowShown="0" headerRowDxfId="53" headerRowBorderDxfId="52" tableBorderDxfId="51">
  <autoFilter ref="A156:AJ161" xr:uid="{A391727D-048F-47AB-AD1A-7CDC261155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40D15944-63E6-4102-9567-38C140CCD021}" name="Heat Input/Gas"/>
    <tableColumn id="2" xr3:uid="{0E361CB2-A413-4AAF-82A6-DE58EA20A59A}" name="Units"/>
    <tableColumn id="3" xr3:uid="{1F6D373D-78C8-49FC-843C-1687E8289747}" name="1990"/>
    <tableColumn id="4" xr3:uid="{BF376FC6-C0FE-4FA3-AEE3-F3CAB8A2128B}" name="1991"/>
    <tableColumn id="5" xr3:uid="{037235C4-C5E9-48FD-9057-D32F69F949A6}" name="1992"/>
    <tableColumn id="6" xr3:uid="{00E62413-131B-4FCC-B593-1D77275FF10A}" name="1993"/>
    <tableColumn id="7" xr3:uid="{73FD3C65-2C98-4D2D-8763-6964C68E6171}" name="1994"/>
    <tableColumn id="8" xr3:uid="{636612D2-9DEC-443F-AE05-14AFD62663EC}" name="1995"/>
    <tableColumn id="9" xr3:uid="{4201B156-BDDE-45E5-977F-ABF69F984553}" name="1996"/>
    <tableColumn id="10" xr3:uid="{B099F50E-BFAA-44E8-9A44-3ED0657DA21D}" name="1997"/>
    <tableColumn id="11" xr3:uid="{A3EAF7A3-4FB3-4C5C-BDF2-B016CD8E269C}" name="1998"/>
    <tableColumn id="12" xr3:uid="{6432A969-6D6D-4490-8D71-1BA3B1AFF609}" name="1999"/>
    <tableColumn id="13" xr3:uid="{B33AC8EB-2325-4E07-86E7-243BA9647B16}" name="2000"/>
    <tableColumn id="14" xr3:uid="{703B69F2-5ED1-46F0-AADE-9B7096EEEB97}" name="2001"/>
    <tableColumn id="15" xr3:uid="{A24C8ACA-29B2-42FF-B5A8-A412B7D787CD}" name="2002"/>
    <tableColumn id="16" xr3:uid="{90EE7CF2-7764-4C96-B783-931918DCFF68}" name="2003"/>
    <tableColumn id="17" xr3:uid="{CFA03102-86B9-4657-B2C2-9DA41D20F8B8}" name="2004"/>
    <tableColumn id="18" xr3:uid="{212E1E7A-1612-4049-98F4-D8333EA1B209}" name="2005"/>
    <tableColumn id="19" xr3:uid="{A2EE46D9-BE4E-4B65-A63A-36193957E60B}" name="2006"/>
    <tableColumn id="20" xr3:uid="{2E2D21C3-D007-4D95-89EA-4BF1768CD8B6}" name="2007"/>
    <tableColumn id="21" xr3:uid="{2711E0FA-4B24-4F01-B3E6-75E229B1FA09}" name="2008"/>
    <tableColumn id="22" xr3:uid="{FE08A581-2D42-48EA-83C0-BCCBDE0CA1CD}" name="2009"/>
    <tableColumn id="23" xr3:uid="{DE7D2A94-DC0B-41BC-89FA-CC981C3333B5}" name="2010"/>
    <tableColumn id="24" xr3:uid="{BF7AAEF7-0276-4C3A-953F-E21BAA8B8016}" name="2011"/>
    <tableColumn id="25" xr3:uid="{A50050B5-70C9-4083-9CB3-D0AC51F7B9C2}" name="2012"/>
    <tableColumn id="26" xr3:uid="{3D6EA7AF-901F-41EF-81EE-9CFB42103731}" name="2013"/>
    <tableColumn id="27" xr3:uid="{DD064042-63A9-4DD2-BBB8-0F90D69B30A1}" name="2014"/>
    <tableColumn id="28" xr3:uid="{28C77395-9CF0-4A17-882A-CC8F60245907}" name="2015"/>
    <tableColumn id="29" xr3:uid="{A77496FE-6500-4764-99F9-319EF3A24410}" name="2016"/>
    <tableColumn id="30" xr3:uid="{25C239EE-7C79-439F-9300-187D43522CCF}" name="2017"/>
    <tableColumn id="31" xr3:uid="{6A2BE441-4D80-40A6-BB39-FE6BDD857294}" name="2018"/>
    <tableColumn id="32" xr3:uid="{40C95B00-6761-4909-B49E-C28EF41F4A42}" name="2019"/>
    <tableColumn id="33" xr3:uid="{8C138FA2-44C1-4123-BA3B-E959790761D7}" name="2020"/>
    <tableColumn id="34" xr3:uid="{77256114-2D2A-4092-B5DA-DAD68CB2B659}" name="2021"/>
    <tableColumn id="35" xr3:uid="{08C43ABF-EBAD-4A19-8A67-8D10EFF4F769}" name="2022"/>
    <tableColumn id="36" xr3:uid="{D02B6050-FA0D-46A0-AAD2-FB520C9B5915}" name="2023"/>
  </tableColumns>
  <tableStyleInfo name="TableStyleMedium1" showFirstColumn="0" showLastColumn="0" showRowStripes="1" showColumnStripes="0"/>
</table>
</file>

<file path=xl/tables/table2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CC7A60AD-F197-4FD8-B873-7140751E15F3}" name="ResidentialSectorBiodiesel" displayName="ResidentialSectorBiodiesel" ref="A167:AJ179" totalsRowShown="0" headerRowDxfId="50" headerRowBorderDxfId="49" tableBorderDxfId="48">
  <autoFilter ref="A167:AJ179" xr:uid="{CC7A60AD-F197-4FD8-B873-7140751E15F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647A5656-8818-4502-AAAD-6BCEB1D78FBF}" name="Heat Input/Gas" dataDxfId="47"/>
    <tableColumn id="2" xr3:uid="{70FF0D90-2775-46BC-9483-5B32FA1F9C96}" name="Units" dataDxfId="46"/>
    <tableColumn id="3" xr3:uid="{01A1938F-2031-4879-BD84-7ED0B9CD0003}" name="1990"/>
    <tableColumn id="4" xr3:uid="{D9BF98C6-B5FE-49AB-93BE-6B74054598C2}" name="1991"/>
    <tableColumn id="5" xr3:uid="{90A88008-85A4-4F49-A6D8-05C1E78A3D10}" name="1992"/>
    <tableColumn id="6" xr3:uid="{4B0E2671-D3B3-47FC-B2BD-8855EDEB8AFC}" name="1993"/>
    <tableColumn id="7" xr3:uid="{4B5D9E72-7DC2-4665-BE40-02CBDFE34BA7}" name="1994"/>
    <tableColumn id="8" xr3:uid="{51D3AFF8-9C5A-46D4-B599-CBE26EE93273}" name="1995"/>
    <tableColumn id="9" xr3:uid="{62A33209-2778-4052-B4F3-92BE1D8A32CC}" name="1996"/>
    <tableColumn id="10" xr3:uid="{4C96E8DB-5691-4797-8BDA-BB2A84BFAA85}" name="1997"/>
    <tableColumn id="11" xr3:uid="{9A834058-F474-4AC9-9EFD-E46B519B9CE4}" name="1998"/>
    <tableColumn id="12" xr3:uid="{F3113729-9527-4392-92A1-8F8403929FE5}" name="1999"/>
    <tableColumn id="13" xr3:uid="{65FAE6F1-76CA-4A85-A583-64064568A535}" name="2000"/>
    <tableColumn id="14" xr3:uid="{55DC7D46-9026-48CF-9A5A-88F0732F70AB}" name="2001"/>
    <tableColumn id="15" xr3:uid="{F45E1477-F9E9-41ED-B953-4122F2EDE31D}" name="2002"/>
    <tableColumn id="16" xr3:uid="{2B12757B-D63C-4CAC-975C-555F09A28E14}" name="2003"/>
    <tableColumn id="17" xr3:uid="{D0CD5257-31DE-49E8-81D7-D19054457106}" name="2004"/>
    <tableColumn id="18" xr3:uid="{FD914EDD-BFB9-4080-89B4-9DDCFECEFD05}" name="2005"/>
    <tableColumn id="19" xr3:uid="{E2EE04BF-B7D3-4A04-AC22-316335462D9B}" name="2006"/>
    <tableColumn id="20" xr3:uid="{36812764-4F22-43CA-8262-BD07B675D187}" name="2007"/>
    <tableColumn id="21" xr3:uid="{40D0D26C-9C8B-4C04-809B-6AC2EFA063BA}" name="2008"/>
    <tableColumn id="22" xr3:uid="{54044B7B-49A6-434E-9317-1B358E80EC30}" name="2009"/>
    <tableColumn id="23" xr3:uid="{02185DD4-5072-487F-BF4A-3E81C19FB991}" name="2010"/>
    <tableColumn id="24" xr3:uid="{9CF1AE1C-DC5C-4AFE-B194-1713531AF0FF}" name="2011"/>
    <tableColumn id="25" xr3:uid="{ED3595C6-E62C-46AC-8931-B9F45CEAE0DF}" name="2012"/>
    <tableColumn id="26" xr3:uid="{70D03CF2-E5C8-4785-88B2-6CDEBA605A62}" name="2013"/>
    <tableColumn id="27" xr3:uid="{6BB4D47F-5696-41E8-A267-927BAEDE1001}" name="2014"/>
    <tableColumn id="28" xr3:uid="{01C199D9-37B4-445D-AFC4-77B58F421649}" name="2015"/>
    <tableColumn id="29" xr3:uid="{251B8602-102B-402B-9B10-3ACE759351F6}" name="2016"/>
    <tableColumn id="30" xr3:uid="{F8BA18A3-D8EB-4A53-9E7D-0028168DDE9B}" name="2017"/>
    <tableColumn id="31" xr3:uid="{1FB4D824-B882-4B30-BE4C-30D97FB274E0}" name="2018"/>
    <tableColumn id="32" xr3:uid="{4EB194A0-B3E7-40BF-955C-ED055B662E80}" name="2019"/>
    <tableColumn id="33" xr3:uid="{379EFC13-A66D-4615-86FF-D3605E585568}" name="2020"/>
    <tableColumn id="34" xr3:uid="{92A861D8-6C29-403A-A7B8-46FEE8EFA00B}" name="2021"/>
    <tableColumn id="35" xr3:uid="{E1869FC2-F29A-42F9-AF33-2CFEDB0DFD77}" name="2022"/>
    <tableColumn id="36" xr3:uid="{7904F0E8-9934-40E7-A256-3FAB3A519328}" name="2023"/>
  </tableColumns>
  <tableStyleInfo name="TableStyleMedium1" showFirstColumn="0" showLastColumn="0" showRowStripes="1" showColumnStripes="0"/>
</table>
</file>

<file path=xl/tables/table2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DD6EE3A9-5F68-41E0-A2CE-D7D0401D1A3A}" name="TransportationSectorBiodiesel" displayName="TransportationSectorBiodiesel" ref="A196:AJ201" totalsRowShown="0" headerRowDxfId="45" headerRowBorderDxfId="44">
  <autoFilter ref="A196:AJ201" xr:uid="{DD6EE3A9-5F68-41E0-A2CE-D7D0401D1A3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283708E8-0E8B-46F0-98C0-A36FE8823E8B}" name="Heat Input/Gas"/>
    <tableColumn id="2" xr3:uid="{261FD6B7-1CAF-4DA2-9ABE-92F9DC97F934}" name="Units" dataDxfId="43"/>
    <tableColumn id="3" xr3:uid="{E1439C05-7A2D-4C4D-A749-8478745E560A}" name="1990"/>
    <tableColumn id="4" xr3:uid="{9F6C4D57-8243-4C5D-AF93-793E40224464}" name="1991"/>
    <tableColumn id="5" xr3:uid="{6E05F855-C33A-4E7D-A4A5-7EB752AFD969}" name="1992"/>
    <tableColumn id="6" xr3:uid="{78A0CB9F-58D4-4EEE-AAA3-C51D46A1C54E}" name="1993"/>
    <tableColumn id="7" xr3:uid="{D883326B-8C78-4B5F-B43C-C597E81DBC50}" name="1994"/>
    <tableColumn id="8" xr3:uid="{4F9FB8B3-BF2F-4943-BF9B-7F116F40E8EB}" name="1995"/>
    <tableColumn id="9" xr3:uid="{B12C7BD6-45A1-4B70-90E5-B3A667B4A85F}" name="1996"/>
    <tableColumn id="10" xr3:uid="{26C30973-6506-46AA-BE47-1D7A834D9ECB}" name="1997"/>
    <tableColumn id="11" xr3:uid="{D33A2408-FF96-4DB6-93E8-CED2C331C403}" name="1998"/>
    <tableColumn id="12" xr3:uid="{3C5991E3-3078-45A9-A412-2EFAB8734DD1}" name="1999"/>
    <tableColumn id="13" xr3:uid="{C83C80BC-5AE1-4E9B-91D8-5EAAF5976624}" name="2000"/>
    <tableColumn id="14" xr3:uid="{C1C19854-7BD0-4D51-B98F-C6665852DD08}" name="2001"/>
    <tableColumn id="15" xr3:uid="{8CA09BB8-4D7B-4D3D-87B2-25DB2AFDAEDB}" name="2002"/>
    <tableColumn id="16" xr3:uid="{2E370C4A-6440-49CE-94AA-0232A3300112}" name="2003"/>
    <tableColumn id="17" xr3:uid="{5E83D9E7-5B40-4DF3-8F67-09050F1F4038}" name="2004"/>
    <tableColumn id="18" xr3:uid="{94405407-51A5-43CD-ACB0-26481219D29A}" name="2005"/>
    <tableColumn id="19" xr3:uid="{562396BB-2800-4816-8273-2B0FDBB6D055}" name="2006"/>
    <tableColumn id="20" xr3:uid="{2F25E873-DC85-4954-A101-6DEB5DE24891}" name="2007"/>
    <tableColumn id="21" xr3:uid="{2B00BD00-B5A6-4E0B-9C29-BBA78C9EC9BF}" name="2008"/>
    <tableColumn id="22" xr3:uid="{0581BF26-C358-4218-92E3-0B18BB4EB688}" name="2009"/>
    <tableColumn id="23" xr3:uid="{B06C46DC-94F3-4057-BF8A-959549FBF0DF}" name="2010"/>
    <tableColumn id="24" xr3:uid="{A26A1522-089C-4355-83E5-1C8538E7AA7B}" name="2011"/>
    <tableColumn id="25" xr3:uid="{18FE0C32-E256-43CA-A047-FDB9F839C335}" name="2012"/>
    <tableColumn id="26" xr3:uid="{C96BCD3F-7C57-4856-A624-710C2A0DA583}" name="2013"/>
    <tableColumn id="27" xr3:uid="{D42FB64B-A31C-4C73-9B9D-427D8761E190}" name="2014"/>
    <tableColumn id="28" xr3:uid="{260F4C88-28D7-4EC3-9E2D-C4AC250566D7}" name="2015"/>
    <tableColumn id="29" xr3:uid="{60DE5F00-C579-4DAE-91AD-0F9793E7A75E}" name="2016"/>
    <tableColumn id="30" xr3:uid="{C5872D2A-97BE-4AD8-A392-8E4E2DEE7CDB}" name="2017"/>
    <tableColumn id="31" xr3:uid="{0C8ACD6E-63FB-483D-AD79-E49B6BB46786}" name="2018"/>
    <tableColumn id="32" xr3:uid="{D47ABDEB-0C2E-4A9F-8F6D-60C82BA22161}" name="2019"/>
    <tableColumn id="33" xr3:uid="{3C2BACE6-4D2E-48DE-A41F-3DBABBC61296}" name="2020"/>
    <tableColumn id="34" xr3:uid="{23BE99DF-CAF8-4B42-9C63-78F811FC0DBD}" name="2021"/>
    <tableColumn id="35" xr3:uid="{4200D06B-D2F9-4DB7-8C8F-AF7D344C75B8}" name="2022"/>
    <tableColumn id="36" xr3:uid="{F79111B7-0ECE-443A-8265-5381916392CA}" name="2023"/>
  </tableColumns>
  <tableStyleInfo name="TableStyleMedium1" showFirstColumn="0" showLastColumn="0" showRowStripes="1" showColumnStripes="0"/>
</table>
</file>

<file path=xl/tables/table2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4E5125FE-703A-4F3B-BC8B-5D8096B33E09}" name="TransportationSectorEthanol" displayName="TransportationSectorEthanol" ref="A185:AJ190" totalsRowShown="0" headerRowDxfId="42" tableBorderDxfId="41">
  <autoFilter ref="A185:AJ190" xr:uid="{4E5125FE-703A-4F3B-BC8B-5D8096B33E0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01F7F5AA-F067-4A61-91E9-6FBD86044857}" name="Heat Input/Gas" dataDxfId="40"/>
    <tableColumn id="2" xr3:uid="{C05F0E1C-03A8-4A7C-BA10-96EAC4E0112A}" name="Units"/>
    <tableColumn id="3" xr3:uid="{590CA4AF-3274-4163-A142-D58D58B6A825}" name="1990"/>
    <tableColumn id="4" xr3:uid="{F6110865-7835-4972-B215-59C0C0CFE963}" name="1991"/>
    <tableColumn id="5" xr3:uid="{1B56AC5B-F8E9-4662-BCC5-A22E826C2468}" name="1992"/>
    <tableColumn id="6" xr3:uid="{C5CA5AFA-69D1-41B5-923D-7545A30E5EBD}" name="1993"/>
    <tableColumn id="7" xr3:uid="{362036C7-E7F9-43B5-ABFC-267CB143A171}" name="1994"/>
    <tableColumn id="8" xr3:uid="{D5544399-EF55-4A08-94E8-2B569A6676B5}" name="1995"/>
    <tableColumn id="9" xr3:uid="{6451FACC-975C-4687-845D-A1767D15D9C4}" name="1996"/>
    <tableColumn id="10" xr3:uid="{EC0A256A-A4A2-49F0-B449-E54CC4189F78}" name="1997"/>
    <tableColumn id="11" xr3:uid="{AE15302D-342B-4935-AA92-50CFD2BF7A0F}" name="1998"/>
    <tableColumn id="12" xr3:uid="{16BFF670-BEBB-47CC-A3BB-38D2765FDEB4}" name="1999"/>
    <tableColumn id="13" xr3:uid="{93B2BC13-1AAC-4F7D-B0D4-6847F1115AD9}" name="2000"/>
    <tableColumn id="14" xr3:uid="{38FC53E3-5479-4204-968E-C9CAD13229C2}" name="2001"/>
    <tableColumn id="15" xr3:uid="{B3E27587-B7B6-4059-B3D2-8C19C8E74B96}" name="2002"/>
    <tableColumn id="16" xr3:uid="{10E2CA93-EA9A-4504-98CF-9C7F8710252B}" name="2003"/>
    <tableColumn id="17" xr3:uid="{E3A62A1D-DF38-4288-81DC-FA1E5434F7A5}" name="2004"/>
    <tableColumn id="18" xr3:uid="{7D9F9CCE-37B6-4039-A8BA-5AEA59BBA974}" name="2005"/>
    <tableColumn id="19" xr3:uid="{F8D3D805-F8AE-4012-9F24-16906C780A29}" name="2006"/>
    <tableColumn id="20" xr3:uid="{50E37EB4-FE3C-4070-B5D7-8F824774D6FA}" name="2007"/>
    <tableColumn id="21" xr3:uid="{4D9B30C1-BE15-43E0-8D35-3ED60D75CD31}" name="2008"/>
    <tableColumn id="22" xr3:uid="{43C86F01-B95D-4BC1-9B1B-F6A43E4869DC}" name="2009"/>
    <tableColumn id="23" xr3:uid="{234917E5-8F0C-4F27-80B0-769DD5D20E4D}" name="2010"/>
    <tableColumn id="24" xr3:uid="{6C1DB3D2-C86C-445A-851E-276CB3167E59}" name="2011"/>
    <tableColumn id="25" xr3:uid="{B3A6E1AD-5B01-49CA-9A7C-9DB3432FC52C}" name="2012"/>
    <tableColumn id="26" xr3:uid="{24E6B7FA-76F2-4B57-8DF7-A28C63849E73}" name="2013"/>
    <tableColumn id="27" xr3:uid="{358281F0-A307-4E2B-BE22-8EE007DA35E3}" name="2014"/>
    <tableColumn id="28" xr3:uid="{77962EE9-5A6B-4450-A0E0-6CAC72C5B00F}" name="2015"/>
    <tableColumn id="29" xr3:uid="{0CA82220-21D1-40B8-B2F7-AB656D4A0D13}" name="2016"/>
    <tableColumn id="30" xr3:uid="{EFC69B3A-EE09-460C-BAF2-B95FCB1DE966}" name="2017"/>
    <tableColumn id="31" xr3:uid="{92F8857A-A4E6-4273-A56D-F5D52CD31830}" name="2018"/>
    <tableColumn id="32" xr3:uid="{CBF2BDAB-573E-4A81-AD83-9EA7AD5B54C3}" name="2019"/>
    <tableColumn id="33" xr3:uid="{2800963F-FC9E-4DC4-8E4B-6F5F5720D707}" name="2020"/>
    <tableColumn id="34" xr3:uid="{8D6C8DCB-A272-489B-B385-F890D5BC22EF}" name="2021"/>
    <tableColumn id="35" xr3:uid="{5D4EFFEE-B975-450D-826A-2D7EB25909A8}" name="2022"/>
    <tableColumn id="36" xr3:uid="{8F5F8F65-FC50-4C87-BDC0-70B8683454DB}" name="2023"/>
  </tableColumns>
  <tableStyleInfo name="TableStyleMedium1" showFirstColumn="0" showLastColumn="0" showRowStripes="1" showColumnStripes="0"/>
</table>
</file>

<file path=xl/tables/table2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83CCA09F-E7CA-473E-B602-666B2AAB449A}" name="WastewaterFlaredOBG" displayName="WastewaterFlaredOBG" ref="A208:AJ219" totalsRowShown="0" headerRowDxfId="39" headerRowBorderDxfId="38">
  <autoFilter ref="A208:AJ219" xr:uid="{83CCA09F-E7CA-473E-B602-666B2AAB44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80097436-8385-40C1-9F2C-BAFE4BA71DFB}" name="Heat Input/Gas" dataDxfId="37"/>
    <tableColumn id="2" xr3:uid="{464AC3B1-3185-4DFD-BE25-D6440DE48563}" name="Units" dataDxfId="36"/>
    <tableColumn id="3" xr3:uid="{234C186A-87D8-45A2-A1CC-EAAA5C79F2C4}" name="1990"/>
    <tableColumn id="4" xr3:uid="{4A07C686-DF20-427A-ADE4-B49E8EA7D67F}" name="1991"/>
    <tableColumn id="5" xr3:uid="{AEB760C9-11FA-4C5B-B0DC-7368A591D5B6}" name="1992"/>
    <tableColumn id="6" xr3:uid="{2CEF4D11-B8BE-4A9D-B3E8-590CD4C95A20}" name="1993"/>
    <tableColumn id="7" xr3:uid="{DD1A9DBF-7FC4-4E62-9202-92F65635DEA9}" name="1994"/>
    <tableColumn id="8" xr3:uid="{CA24A38C-03C8-4E34-B31E-22DF69649FD6}" name="1995"/>
    <tableColumn id="9" xr3:uid="{1BDED55B-AA2D-428C-BE69-CAD4645B8DC6}" name="1996"/>
    <tableColumn id="10" xr3:uid="{5C7A9CBB-EBDC-4C67-95A6-02B2ABF2B3FC}" name="1997"/>
    <tableColumn id="11" xr3:uid="{276E085A-33BD-45AF-BF1A-205C6CE367EE}" name="1998"/>
    <tableColumn id="12" xr3:uid="{707C2D4E-D999-4964-A559-42F65F2F32F6}" name="1999"/>
    <tableColumn id="13" xr3:uid="{074FE46D-9A61-44B2-854A-0DCA4880ACA7}" name="2000"/>
    <tableColumn id="14" xr3:uid="{27BD8198-0762-454C-B628-B6CC5B9C55C3}" name="2001"/>
    <tableColumn id="15" xr3:uid="{B69B4E3C-673D-4953-BF5C-D05F0A0AC1A4}" name="2002"/>
    <tableColumn id="16" xr3:uid="{5F10E721-1273-462C-A9E1-76BA00CB7112}" name="2003"/>
    <tableColumn id="17" xr3:uid="{F842EB0D-FCF1-489F-9371-1DAC0AC461E7}" name="2004"/>
    <tableColumn id="18" xr3:uid="{3D5580E2-C986-4FFC-BCD5-5BEE2A26BC90}" name="2005"/>
    <tableColumn id="19" xr3:uid="{1E992BC9-4903-451E-8D53-0ECA7FC6DA4E}" name="2006"/>
    <tableColumn id="20" xr3:uid="{339BC3DB-20FD-4CE2-AE6F-BEF3FD07A185}" name="2007"/>
    <tableColumn id="21" xr3:uid="{5BF39D30-E436-4240-9092-AC33F04FA4CD}" name="2008"/>
    <tableColumn id="22" xr3:uid="{AE56BA30-D1F0-4210-8B01-4F5CE76DB523}" name="2009"/>
    <tableColumn id="23" xr3:uid="{CF033059-7644-43F0-908A-1EDA7984E927}" name="2010"/>
    <tableColumn id="24" xr3:uid="{C600C883-E922-4D77-A304-6F1CFF13D29D}" name="2011"/>
    <tableColumn id="25" xr3:uid="{2B385E70-CD43-4556-ABFF-3900313D182B}" name="2012"/>
    <tableColumn id="26" xr3:uid="{40E35A66-29F5-4A23-9395-CDEBB5E4A712}" name="2013"/>
    <tableColumn id="27" xr3:uid="{55A0F4FF-C6AC-47AF-B9EF-991920900CA0}" name="2014"/>
    <tableColumn id="28" xr3:uid="{88599A32-A07B-4F2A-A17C-D204DBCEF640}" name="2015"/>
    <tableColumn id="29" xr3:uid="{B07B3C0E-3FD8-4471-BFE6-E5DE8B784698}" name="2016"/>
    <tableColumn id="30" xr3:uid="{73F6D70D-AAE6-4CD9-8AE8-93CBB61FF664}" name="2017"/>
    <tableColumn id="31" xr3:uid="{5C7475AC-B931-4269-964E-11F84126757C}" name="2018"/>
    <tableColumn id="32" xr3:uid="{48606648-3815-4562-B30C-3E8E237F244F}" name="2019"/>
    <tableColumn id="33" xr3:uid="{A6C3D26E-7CE5-4E64-8E2F-BE8AD492B177}" name="2020"/>
    <tableColumn id="34" xr3:uid="{BD210FC8-233B-4C7D-892C-92D30DFE52D9}" name="2021"/>
    <tableColumn id="35" xr3:uid="{C494E96E-3FD2-433D-80D2-5F704A32F2A7}" name="2022"/>
    <tableColumn id="36" xr3:uid="{30D54997-1B0B-492A-A9C9-0D136781D5D2}" name="2023"/>
  </tableColumns>
  <tableStyleInfo name="TableStyleMedium1" showFirstColumn="0" showLastColumn="0" showRowStripes="1" showColumnStripes="0"/>
</table>
</file>

<file path=xl/tables/table2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596886D7-593E-4E34-9CD9-DC8BABE59222}" name="BioIPCCAR4100YearGWPs" displayName="BioIPCCAR4100YearGWPs" ref="A248:B251" totalsRowShown="0">
  <autoFilter ref="A248:B251" xr:uid="{596886D7-593E-4E34-9CD9-DC8BABE59222}">
    <filterColumn colId="0" hiddenButton="1"/>
    <filterColumn colId="1" hiddenButton="1"/>
  </autoFilter>
  <tableColumns count="2">
    <tableColumn id="1" xr3:uid="{7679AADD-115D-4EB3-BF76-7F8F3364D960}" name="IPCC AR4 100-Year GWPs"/>
    <tableColumn id="2" xr3:uid="{6367D0E2-E30A-4DAD-9D87-1A78646C4389}" name="Value"/>
  </tableColumns>
  <tableStyleInfo name="TableStyleMedium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7" xr:uid="{31F80B42-9AC8-4C5E-B48E-83B19D11984D}" name="SummaryByGasCH4EmissionsInMACombustionAndNoncombustion2023" displayName="SummaryByGasCH4EmissionsInMACombustionAndNoncombustion2023" ref="X71:Z77" totalsRowShown="0" headerRowDxfId="4953" headerRowBorderDxfId="4952" tableBorderDxfId="4951">
  <autoFilter ref="X71:Z77" xr:uid="{31F80B42-9AC8-4C5E-B48E-83B19D11984D}">
    <filterColumn colId="0" hiddenButton="1"/>
    <filterColumn colId="1" hiddenButton="1"/>
    <filterColumn colId="2" hiddenButton="1"/>
  </autoFilter>
  <tableColumns count="3">
    <tableColumn id="1" xr3:uid="{A3397E05-8B21-4321-B743-C7E87FDFAE42}" name="MMTCO2e" dataDxfId="4950"/>
    <tableColumn id="2" xr3:uid="{642C44CF-FB08-499A-9BF1-E08C3CEED7DA}" name="Percent" dataDxfId="4949"/>
    <tableColumn id="3" xr3:uid="{DADF0BAB-2D23-4FCE-827F-8F30770230DD}" name="Sector" dataDxfId="4948"/>
  </tableColumns>
  <tableStyleInfo name="TableStyleLight1" showFirstColumn="0" showLastColumn="0" showRowStripes="1" showColumnStripes="0"/>
</table>
</file>

<file path=xl/tables/table2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BFDB5EB-4EAF-446A-A9C7-A93167CF87EE}" name="NaturalWorkingLandsEmissionsMMTCO2e" displayName="NaturalWorkingLandsEmissionsMMTCO2e" ref="A12:AI47" totalsRowShown="0" headerRowDxfId="35" tableBorderDxfId="34">
  <autoFilter ref="A12:AI47" xr:uid="{0BFDB5EB-4EAF-446A-A9C7-A93167CF87E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09636B55-5FCC-4CA1-9A14-77385A50C7FF}" name="Sector/Subsector/Category"/>
    <tableColumn id="2" xr3:uid="{8D0748B9-A1E6-425B-8062-7FB552130003}" name="1990"/>
    <tableColumn id="3" xr3:uid="{98F04EE1-B2A3-4986-9B98-6E414F8B4B6B}" name="1991"/>
    <tableColumn id="4" xr3:uid="{5B39B28C-04D8-49DE-B1E9-619971575E32}" name="1992"/>
    <tableColumn id="5" xr3:uid="{3264E136-2F4C-4C66-A07C-22EE90BEBFAA}" name="1993"/>
    <tableColumn id="6" xr3:uid="{ECB80ED2-BC9D-4369-9AD5-E7238ACF8F12}" name="1994"/>
    <tableColumn id="7" xr3:uid="{2A0BE52A-E7B4-459F-A4BD-C9F875257A0B}" name="1995"/>
    <tableColumn id="8" xr3:uid="{93A8257B-8F8F-457F-BFFC-3303EAE6C1FE}" name="1996"/>
    <tableColumn id="9" xr3:uid="{88D79096-F11F-4982-A44D-4E33BE9CA005}" name="1997"/>
    <tableColumn id="10" xr3:uid="{E6B5FD7B-224A-4E91-B762-92618274300D}" name="1998"/>
    <tableColumn id="11" xr3:uid="{ADF3D478-EDF8-403F-9A9E-8DA34DD77718}" name="1999"/>
    <tableColumn id="12" xr3:uid="{0B550ACE-2A74-4764-9FAC-E68A0B8AD86F}" name="2000"/>
    <tableColumn id="13" xr3:uid="{EEC50CB4-EED8-4A2D-BB09-BE2A4A2FE6C6}" name="2001"/>
    <tableColumn id="14" xr3:uid="{B3974C76-3B08-4DE7-9CDC-386887E4479A}" name="2002"/>
    <tableColumn id="15" xr3:uid="{2903E7E0-9457-403C-B95F-75002C338A49}" name="2003"/>
    <tableColumn id="16" xr3:uid="{2D727A39-6BD8-401C-9E35-E0422D15AADE}" name="2004"/>
    <tableColumn id="17" xr3:uid="{D669AB04-B79A-4461-84C0-383B53132B98}" name="2005"/>
    <tableColumn id="18" xr3:uid="{C9EE72B2-2C2C-4181-880B-E98DAC92257E}" name="2006"/>
    <tableColumn id="19" xr3:uid="{089A6E6C-6E47-42BE-B55F-B4FECBE7156B}" name="2007"/>
    <tableColumn id="20" xr3:uid="{6537709F-845B-4FCB-AFF4-FD0B7B66C116}" name="2008"/>
    <tableColumn id="21" xr3:uid="{DB6AFA69-B537-4C17-AEA3-C1C0E9A44523}" name="2009"/>
    <tableColumn id="22" xr3:uid="{352EC7F2-DFDB-440A-B803-E65AA5BAF7FE}" name="2010"/>
    <tableColumn id="23" xr3:uid="{A8BAACAE-F66F-4272-B801-6817D84C754C}" name="2011"/>
    <tableColumn id="24" xr3:uid="{E35E2F9C-7864-4BD2-86C2-25A51E39D22B}" name="2012"/>
    <tableColumn id="25" xr3:uid="{E6EFAB16-007B-498C-935F-C3F29DD2DEE9}" name="2013"/>
    <tableColumn id="26" xr3:uid="{ADEBEB72-069B-4682-BB3A-76CDBB3034ED}" name="2014"/>
    <tableColumn id="27" xr3:uid="{6E7C9E9D-BC95-40D3-B951-FD88C52FAFA2}" name="2015"/>
    <tableColumn id="28" xr3:uid="{03B25D9C-648E-4786-B7D8-3BF7D80702D8}" name="2016"/>
    <tableColumn id="29" xr3:uid="{0F1F6CF7-7862-4FBC-AB02-088AE9208661}" name="2017"/>
    <tableColumn id="30" xr3:uid="{3EB52724-41A2-4147-9A1C-410CF0832C6C}" name="2018"/>
    <tableColumn id="31" xr3:uid="{AD5F05D3-6022-439C-94BE-17DE064FEE39}" name="2019"/>
    <tableColumn id="32" xr3:uid="{8E09BFE9-391A-4151-81AD-96A369D24D4C}" name="2020"/>
    <tableColumn id="33" xr3:uid="{510ECE87-48F8-42D8-9242-9D29C871BCAA}" name="2021"/>
    <tableColumn id="34" xr3:uid="{2EAAE87D-763D-4480-BBAE-EADA216E20E3}" name="2022"/>
    <tableColumn id="35" xr3:uid="{2C46F644-8FC6-4134-A975-17752C4CFC35}" name="2023"/>
  </tableColumns>
  <tableStyleInfo name="TableStyleMedium1" showFirstColumn="0" showLastColumn="0" showRowStripes="1" showColumnStripes="0"/>
</table>
</file>

<file path=xl/tables/table2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6" xr:uid="{A82225E1-F17D-4DCD-8210-1D44A2F6697D}" name="DATAforNaturalWorkingLands" displayName="DATAforNaturalWorkingLands" ref="A6:D8" totalsRowShown="0" headerRowDxfId="33" headerRowBorderDxfId="32" tableBorderDxfId="31">
  <autoFilter ref="A6:D8" xr:uid="{A82225E1-F17D-4DCD-8210-1D44A2F6697D}">
    <filterColumn colId="0" hiddenButton="1"/>
    <filterColumn colId="1" hiddenButton="1"/>
    <filterColumn colId="2" hiddenButton="1"/>
    <filterColumn colId="3" hiddenButton="1"/>
  </autoFilter>
  <tableColumns count="4">
    <tableColumn id="1" xr3:uid="{04FD0872-3A5A-4D8B-B62C-6DA8D535585D}" name="Year(s)"/>
    <tableColumn id="2" xr3:uid="{20F1CD8D-483D-4D23-9571-84C8366CFD18}" name="Data Source"/>
    <tableColumn id="3" xr3:uid="{C98F351A-76A2-4EA4-8738-F4B7534F4712}" name="Version"/>
    <tableColumn id="4" xr3:uid="{FDBDF139-5B89-4BFE-8E24-0A0755412E9C}" name="Update Date"/>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EA743D6-3C6E-4AFA-93E9-34A3723F704D}" name="ResidentialHeatingandCoolingEmissionsandSublimitsMMTCO2e" displayName="ResidentialHeatingandCoolingEmissionsandSublimitsMMTCO2e" ref="A32:AP42" totalsRowShown="0" headerRowDxfId="4947" headerRowBorderDxfId="4946" tableBorderDxfId="4945">
  <autoFilter ref="A32:AP42" xr:uid="{4EA743D6-3C6E-4AFA-93E9-34A3723F704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autoFilter>
  <tableColumns count="42">
    <tableColumn id="1" xr3:uid="{3E9F490B-5D2B-4F91-8D1B-20DA85F6565A}" name="Sector/Subsector/Percent Change/Sublimits" dataDxfId="4944"/>
    <tableColumn id="2" xr3:uid="{8F3F5D70-0FE3-409E-AFB3-5AED5EBDE268}" name="1990"/>
    <tableColumn id="3" xr3:uid="{6EADFCE4-F9A7-4AD9-A16F-4E63254349E2}" name="1991" dataDxfId="4943"/>
    <tableColumn id="4" xr3:uid="{4ED0B4C6-4EBB-47A4-BD01-4AAB580E12BD}" name="1992" dataDxfId="4942"/>
    <tableColumn id="5" xr3:uid="{9FA6DC2E-EF16-44F6-A3DE-EFDA55068490}" name="1993" dataDxfId="4941"/>
    <tableColumn id="6" xr3:uid="{BB0CC06C-19C4-4BA2-B6A3-1CB35884BDD5}" name="1994" dataDxfId="4940"/>
    <tableColumn id="7" xr3:uid="{9DEE382F-709F-427E-8FD0-E7146FEBF728}" name="1995" dataDxfId="4939"/>
    <tableColumn id="8" xr3:uid="{CB1D9640-C0F9-444A-BE4E-CC2C03BF91A5}" name="1996" dataDxfId="4938"/>
    <tableColumn id="9" xr3:uid="{F01066B3-49F5-42F1-BC9A-7B1092DFEBA1}" name="1997" dataDxfId="4937"/>
    <tableColumn id="10" xr3:uid="{B7C8B579-2CEF-41BB-BC17-D874C97FE58E}" name="1998" dataDxfId="4936"/>
    <tableColumn id="11" xr3:uid="{EEAF82DC-10D8-4282-8796-BCFFB3A98833}" name="1999" dataDxfId="4935"/>
    <tableColumn id="12" xr3:uid="{55CEE420-A1F7-44C8-B100-C7F4FF107DF8}" name="2000" dataDxfId="4934"/>
    <tableColumn id="13" xr3:uid="{B9B7297F-7389-41A5-915E-EC4BCBAE4502}" name="2001" dataDxfId="4933"/>
    <tableColumn id="14" xr3:uid="{A5C4BCDD-0DBD-4617-B093-C242E576C19C}" name="2002" dataDxfId="4932"/>
    <tableColumn id="15" xr3:uid="{1847EAA3-8E8C-4B71-BFBA-B1D3ABCAB3A2}" name="2003" dataDxfId="4931"/>
    <tableColumn id="16" xr3:uid="{4D90BB7A-7DA2-430D-8343-F3406380EBBF}" name="2004" dataDxfId="4930"/>
    <tableColumn id="17" xr3:uid="{500ED789-67A9-410D-BCDD-358C57F5860C}" name="2005" dataDxfId="4929"/>
    <tableColumn id="18" xr3:uid="{0613788C-3C83-41C3-A8AC-98E6759918EE}" name="2006" dataDxfId="4928"/>
    <tableColumn id="19" xr3:uid="{0D549EF8-6775-4B13-8588-B5967B02F74A}" name="2007" dataDxfId="4927"/>
    <tableColumn id="20" xr3:uid="{4AE0944A-C8CF-4E34-818D-102275E2F326}" name="2008" dataDxfId="4926"/>
    <tableColumn id="21" xr3:uid="{D8E45D76-AF3D-474B-BC12-54879CE12225}" name="2009" dataDxfId="4925"/>
    <tableColumn id="22" xr3:uid="{ECAB9F35-CC7E-42DA-BF25-AF58DD5376A4}" name="2010" dataDxfId="4924"/>
    <tableColumn id="23" xr3:uid="{4F095CDB-3C5A-47B6-A097-4274B9D1A494}" name="2011" dataDxfId="4923"/>
    <tableColumn id="24" xr3:uid="{8E2739DF-7BF7-4BCA-8737-A5E65897BB03}" name="2012" dataDxfId="4922"/>
    <tableColumn id="25" xr3:uid="{7313F71E-F948-4AE7-AE1A-1BF5C7429BE8}" name="2013" dataDxfId="4921"/>
    <tableColumn id="26" xr3:uid="{C83ECA29-DF4E-4F76-A4E0-66962737DE35}" name="2014" dataDxfId="4920"/>
    <tableColumn id="27" xr3:uid="{D26CE39B-D63E-4C79-A32F-828F9C8EF8AD}" name="2015" dataDxfId="4919"/>
    <tableColumn id="28" xr3:uid="{C5C1664B-3D05-4BD5-BE70-AF93C525A88F}" name="2016" dataDxfId="4918"/>
    <tableColumn id="29" xr3:uid="{EC8A7444-09EB-4D79-B754-F8E8D7CAA4A5}" name="2017" dataDxfId="4917"/>
    <tableColumn id="30" xr3:uid="{BEA54867-FA87-4350-B34C-4AC1EDE6F173}" name="2018" dataDxfId="4916"/>
    <tableColumn id="31" xr3:uid="{70A9C9EB-B5F7-4DBE-BADE-8E45DA7B5E35}" name="2019"/>
    <tableColumn id="32" xr3:uid="{E47FB7FB-0877-4659-ABF9-EB1F7D17E3D0}" name="2020"/>
    <tableColumn id="33" xr3:uid="{1E1CB362-C81B-4698-9F17-85468BE6BEDF}" name="2021"/>
    <tableColumn id="34" xr3:uid="{D167D3ED-9F4D-4401-AC2E-C0EE4B2A16EB}" name="2022"/>
    <tableColumn id="35" xr3:uid="{04EF69D1-981F-4511-BE42-D587F63BBCD9}" name="2023"/>
    <tableColumn id="36" xr3:uid="{3D505A78-DA08-4C92-8889-C6629CB35641}" name="2024"/>
    <tableColumn id="37" xr3:uid="{F349EE53-49F3-41D5-8E0B-79FFF643F5AE}" name="2025"/>
    <tableColumn id="38" xr3:uid="{0CDC0C63-A14D-4BFE-B4ED-53BE957DE793}" name="2026"/>
    <tableColumn id="39" xr3:uid="{D8E1B59A-A816-4B93-9023-4C857386AEE7}" name="2027"/>
    <tableColumn id="40" xr3:uid="{BD559177-7040-42A2-A74D-1DF9C9F90AC0}" name="2028"/>
    <tableColumn id="41" xr3:uid="{13ADBEFA-DCD3-4DBB-9F4D-91AAEE5AB344}" name="2029"/>
    <tableColumn id="42" xr3:uid="{E7160DA2-FE7F-488A-B5BF-9B9413133E47}" name="2030" dataDxfId="4915"/>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9B534120-C936-444A-9DB8-A234BB8E9FD8}" name="CommercialandIndustrialHeatingandCoolingEmissionsandSublimitsMMTCO2e" displayName="CommercialandIndustrialHeatingandCoolingEmissionsandSublimitsMMTCO2e" ref="A45:AP61" totalsRowShown="0" headerRowDxfId="4914" dataDxfId="4912" headerRowBorderDxfId="4913">
  <autoFilter ref="A45:AP61" xr:uid="{9B534120-C936-444A-9DB8-A234BB8E9FD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autoFilter>
  <tableColumns count="42">
    <tableColumn id="1" xr3:uid="{98CF9E06-3638-400A-9A6B-9822CA208D47}" name="Sector/Subsector/Percent Change/Sublimits" dataDxfId="4911"/>
    <tableColumn id="2" xr3:uid="{40A623FB-6086-497F-B790-0507328D49B9}" name="1990"/>
    <tableColumn id="3" xr3:uid="{367C8C4B-9B7F-43C4-8949-61504D99D382}" name="1991" dataDxfId="4910"/>
    <tableColumn id="4" xr3:uid="{F795FAE3-70DD-49E7-B44C-0C9D6D4B6880}" name="1992"/>
    <tableColumn id="5" xr3:uid="{640E96F9-49E3-46EC-8144-6D7C7B894728}" name="1993"/>
    <tableColumn id="6" xr3:uid="{5365233A-F2CA-4F57-A4FC-BB3482987656}" name="1994" dataDxfId="4909"/>
    <tableColumn id="7" xr3:uid="{9ED30D63-3EA8-486B-B9D5-ACA7ED58ABED}" name="1995" dataDxfId="4908"/>
    <tableColumn id="8" xr3:uid="{DE39731D-84F0-442A-9B66-999EF68BD786}" name="1996" dataDxfId="4907"/>
    <tableColumn id="9" xr3:uid="{CFB9B1A3-682D-430A-A0C0-2F228FAB277E}" name="1997" dataDxfId="4906"/>
    <tableColumn id="10" xr3:uid="{855AC9A0-E501-4D61-83C9-3CADC7EC3313}" name="1998" dataDxfId="4905"/>
    <tableColumn id="11" xr3:uid="{669A4A78-A780-412F-B196-052ED5C31525}" name="1999" dataDxfId="4904"/>
    <tableColumn id="12" xr3:uid="{0D510CD7-7408-4E82-99F1-C821E36AADAB}" name="2000" dataDxfId="4903"/>
    <tableColumn id="13" xr3:uid="{21731D2B-B69D-4BF0-BD50-E05AB6788E29}" name="2001" dataDxfId="4902"/>
    <tableColumn id="14" xr3:uid="{B1B0E5F2-1996-44AD-B4F1-9E8EFEA7C74A}" name="2002" dataDxfId="4901"/>
    <tableColumn id="15" xr3:uid="{BEF3E57D-BCAF-4B70-9BCE-5A974D841AFC}" name="2003" dataDxfId="4900"/>
    <tableColumn id="16" xr3:uid="{0E29738B-D3DD-412D-A895-2766756AE94A}" name="2004" dataDxfId="4899"/>
    <tableColumn id="17" xr3:uid="{9295430C-92F1-456B-AC35-76FDDC753007}" name="2005" dataDxfId="4898"/>
    <tableColumn id="18" xr3:uid="{8D070D3D-A877-4200-A637-0C11DC42B03D}" name="2006" dataDxfId="4897"/>
    <tableColumn id="19" xr3:uid="{7FFE77C6-D2D7-408A-979E-25926A51C396}" name="2007" dataDxfId="4896"/>
    <tableColumn id="20" xr3:uid="{484BD3AD-6801-4D8C-8C22-0B0CE1750A6D}" name="2008" dataDxfId="4895"/>
    <tableColumn id="21" xr3:uid="{73ACF26D-C666-457B-8C83-B17A80CB65FF}" name="2009" dataDxfId="4894"/>
    <tableColumn id="22" xr3:uid="{A91ADA1F-B873-4278-844E-971D211A07AC}" name="2010" dataDxfId="4893"/>
    <tableColumn id="23" xr3:uid="{A71F75FC-E5D1-41EB-95C2-C729D0461C43}" name="2011" dataDxfId="4892"/>
    <tableColumn id="24" xr3:uid="{812B50B9-44D1-4359-89C5-18BBE8F9A1B4}" name="2012" dataDxfId="4891"/>
    <tableColumn id="25" xr3:uid="{606A52F2-3CCE-4A80-AD48-B43B834347AE}" name="2013" dataDxfId="4890"/>
    <tableColumn id="26" xr3:uid="{7AA9407F-2C7E-4623-A08C-A176B6BC27C8}" name="2014" dataDxfId="4889"/>
    <tableColumn id="27" xr3:uid="{B1A5C5B6-CDD4-4984-ABF3-C20E87C89E94}" name="2015" dataDxfId="4888"/>
    <tableColumn id="28" xr3:uid="{DEA570D1-13CB-4B54-B54A-978FD4F15B53}" name="2016" dataDxfId="4887"/>
    <tableColumn id="29" xr3:uid="{81FD487F-D3C7-42FF-8794-5E3B19023812}" name="2017" dataDxfId="4886"/>
    <tableColumn id="30" xr3:uid="{E17EF009-0971-4706-AF4A-0D2A09CCE162}" name="2018" dataDxfId="4885"/>
    <tableColumn id="31" xr3:uid="{F556F9DE-C7E6-49BF-BC8F-E2DBAAB0084E}" name="2019" dataDxfId="4884"/>
    <tableColumn id="32" xr3:uid="{FF55BF25-0483-4622-86B5-30FF441D0BC1}" name="2020" dataDxfId="4883"/>
    <tableColumn id="33" xr3:uid="{DEE866A4-3A7F-4FFB-B8B2-1A58CBA83F84}" name="2021" dataDxfId="4882"/>
    <tableColumn id="34" xr3:uid="{E6346127-DE04-44DB-8592-F0FE7017A491}" name="2022"/>
    <tableColumn id="35" xr3:uid="{0CCC5C71-5672-45C1-A18C-E59847323D22}" name="2023"/>
    <tableColumn id="36" xr3:uid="{F8557280-2D60-451A-92E8-9CE38D7EFA9F}" name="2024" dataDxfId="4881"/>
    <tableColumn id="37" xr3:uid="{024F8334-23F3-49E5-8460-CAFB3D2198EE}" name="2025" dataDxfId="4880"/>
    <tableColumn id="38" xr3:uid="{B2403A27-E225-4C59-99E3-4512419FB05F}" name="2026" dataDxfId="4879"/>
    <tableColumn id="39" xr3:uid="{2028BF01-060F-48E5-9FA4-D750B6D8C5CD}" name="2027" dataDxfId="4878"/>
    <tableColumn id="40" xr3:uid="{B07D71B8-2146-4EE6-8CE5-4A24ED222A7B}" name="2028" dataDxfId="4877"/>
    <tableColumn id="41" xr3:uid="{31EFA0D3-6BC3-43E5-9EFA-332A35D16248}" name="2029" dataDxfId="4876"/>
    <tableColumn id="42" xr3:uid="{B0A2D473-0048-458A-BE65-7FF0954E6710}" name="2030"/>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7784158D-D350-49C4-8F32-D0CB8FBE2606}" name="TransportationEmissionsandSublimitsMMTCO2e" displayName="TransportationEmissionsandSublimitsMMTCO2e" ref="A64:AP74" totalsRowShown="0" headerRowDxfId="4875" dataDxfId="4873" headerRowBorderDxfId="4874">
  <autoFilter ref="A64:AP74" xr:uid="{7784158D-D350-49C4-8F32-D0CB8FBE260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autoFilter>
  <tableColumns count="42">
    <tableColumn id="1" xr3:uid="{A393138A-7876-46A9-B239-9D7CC6E628D6}" name="Sector/Subsector/Percent Change/Sublimits" dataDxfId="4872"/>
    <tableColumn id="2" xr3:uid="{A3B2E2D9-FC7F-4077-866D-CC4C4EF22363}" name="1990"/>
    <tableColumn id="3" xr3:uid="{11D3C8E8-3B3A-4B5F-9410-5A4C75D44ED0}" name="1991" dataDxfId="4871"/>
    <tableColumn id="4" xr3:uid="{8B5539B5-0102-4C0C-9216-B5A66A2C4E37}" name="1992" dataDxfId="4870"/>
    <tableColumn id="5" xr3:uid="{393AA7F8-5E1A-4FE8-8FEB-52E468C6BCE9}" name="1993" dataDxfId="4869"/>
    <tableColumn id="6" xr3:uid="{8F5B2570-C030-42CB-BCDC-177FAB247CBC}" name="1994" dataDxfId="4868"/>
    <tableColumn id="7" xr3:uid="{D62E735C-5317-4108-8F59-348433EE590E}" name="1995" dataDxfId="4867"/>
    <tableColumn id="8" xr3:uid="{4187F9D8-D0EE-4FE9-98CF-B0A38CE12AB1}" name="1996" dataDxfId="4866"/>
    <tableColumn id="9" xr3:uid="{A8654C92-EABA-4111-9186-D28E507E24A3}" name="1997" dataDxfId="4865"/>
    <tableColumn id="10" xr3:uid="{CE2F8BBB-09AC-4E58-A2CF-A101A170AD26}" name="1998" dataDxfId="4864"/>
    <tableColumn id="11" xr3:uid="{855CBAEF-F2EA-40AA-BD48-AA82E8C0826F}" name="1999" dataDxfId="4863"/>
    <tableColumn id="12" xr3:uid="{898D55C1-EF8B-4657-A225-2D654A600B5C}" name="2000" dataDxfId="4862"/>
    <tableColumn id="13" xr3:uid="{9DF4D7DE-8874-43C0-AEDF-EE32F16D6115}" name="2001" dataDxfId="4861"/>
    <tableColumn id="14" xr3:uid="{5C9E1B09-1BCF-4EE8-8FA9-7E7C5AE00801}" name="2002" dataDxfId="4860"/>
    <tableColumn id="15" xr3:uid="{E7172BA5-C5F0-41AA-A823-59746C1E4919}" name="2003" dataDxfId="4859"/>
    <tableColumn id="16" xr3:uid="{587406A7-0531-4EE0-9357-3BDBBC3653B4}" name="2004" dataDxfId="4858"/>
    <tableColumn id="17" xr3:uid="{C4027D5D-0688-4901-8D60-BDE519752233}" name="2005" dataDxfId="4857"/>
    <tableColumn id="18" xr3:uid="{3D6A2E06-FFFF-4B77-A9A2-7EA6D06F9ED2}" name="2006" dataDxfId="4856"/>
    <tableColumn id="19" xr3:uid="{4A70841C-162B-435F-A8B4-0473617C74A0}" name="2007" dataDxfId="4855"/>
    <tableColumn id="20" xr3:uid="{8E107C7F-5BFD-4DE3-B620-0ACB38D26227}" name="2008" dataDxfId="4854"/>
    <tableColumn id="21" xr3:uid="{EAC67F60-C651-4319-BA1A-118BF36F9A11}" name="2009" dataDxfId="4853"/>
    <tableColumn id="22" xr3:uid="{9F0A14ED-CDC8-4566-A208-A9DFB4B7ECE1}" name="2010" dataDxfId="4852"/>
    <tableColumn id="23" xr3:uid="{E63D15F7-C566-46DE-B94B-5E118D1F7E0F}" name="2011" dataDxfId="4851"/>
    <tableColumn id="24" xr3:uid="{3B8879B0-38DF-44DE-9A09-0A112B8F8B9F}" name="2012" dataDxfId="4850"/>
    <tableColumn id="25" xr3:uid="{9EF53C37-A8EA-42A2-8ABB-5AB6AEFB718A}" name="2013" dataDxfId="4849"/>
    <tableColumn id="26" xr3:uid="{EB47E93A-6E51-4F0F-B4FF-C542692C88D8}" name="2014" dataDxfId="4848"/>
    <tableColumn id="27" xr3:uid="{F01BCDAE-3915-4A40-B030-0E1DADA6329C}" name="2015" dataDxfId="4847"/>
    <tableColumn id="28" xr3:uid="{F8750EEA-1033-4A36-9AF1-0E385007675C}" name="2016" dataDxfId="4846"/>
    <tableColumn id="29" xr3:uid="{6112F5A0-AB7E-4ECE-AAE0-852E923277FB}" name="2017" dataDxfId="4845"/>
    <tableColumn id="30" xr3:uid="{5ABC0978-2ED4-4401-A221-0F6686B60589}" name="2018" dataDxfId="4844"/>
    <tableColumn id="31" xr3:uid="{46393D3E-0021-4BC8-B471-49128C1424C0}" name="2019" dataDxfId="4843"/>
    <tableColumn id="32" xr3:uid="{14A71F65-0D70-46D4-89FC-97E43DA1E972}" name="2020" dataDxfId="4842"/>
    <tableColumn id="33" xr3:uid="{54E0347E-DE49-452E-9182-61F57A064814}" name="2021" dataDxfId="4841"/>
    <tableColumn id="34" xr3:uid="{33AAB82F-337C-46A0-9E6D-1EA4A92922BD}" name="2022"/>
    <tableColumn id="35" xr3:uid="{07E92654-8205-4646-8634-B911F45FC5E8}" name="2023"/>
    <tableColumn id="36" xr3:uid="{55EF3F0C-0F14-4928-96D7-EC46B648CF67}" name="2024" dataDxfId="4840"/>
    <tableColumn id="37" xr3:uid="{E1842E86-D18E-48FC-A926-35FB426E6D30}" name="2025" dataDxfId="4839"/>
    <tableColumn id="38" xr3:uid="{4816F180-37D9-457B-9B0E-B446187FCDDC}" name="2026" dataDxfId="4838"/>
    <tableColumn id="39" xr3:uid="{363DD8B0-3A97-4BCC-959C-A58397FB2A56}" name="2027" dataDxfId="4837"/>
    <tableColumn id="40" xr3:uid="{497EC447-C0C3-4E63-BCE3-84048FEFBF5B}" name="2028" dataDxfId="4836"/>
    <tableColumn id="41" xr3:uid="{0E23E295-DCEA-4A0F-97EF-9CE2B1CAD55C}" name="2029" dataDxfId="4835"/>
    <tableColumn id="42" xr3:uid="{E54913E6-1EDF-4B07-A380-D919110C79EF}" name="2030"/>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CB7484E-9843-4319-BCFE-9963F335FE72}" name="ElectricPowerEmissionandSublimitsMMTCO2e" displayName="ElectricPowerEmissionandSublimitsMMTCO2e" ref="A77:AP89" totalsRowShown="0" headerRowDxfId="4834" dataDxfId="4832" headerRowBorderDxfId="4833">
  <autoFilter ref="A77:AP89" xr:uid="{5CB7484E-9843-4319-BCFE-9963F335FE7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autoFilter>
  <tableColumns count="42">
    <tableColumn id="1" xr3:uid="{CB7320EB-A35C-4CCC-BE8B-4B4DC9D9E708}" name="Sector/Subsector/Percent Change/Sublimits" dataDxfId="4831"/>
    <tableColumn id="2" xr3:uid="{6A3314FF-116D-4BD9-B1EA-B30013D3A654}" name="1990"/>
    <tableColumn id="3" xr3:uid="{C54A2191-DDBB-4403-A64B-F1489C497ADE}" name="1991" dataDxfId="4830"/>
    <tableColumn id="4" xr3:uid="{465AE80F-64E1-4FEE-A2AF-0BAC53D092A3}" name="1992" dataDxfId="4829"/>
    <tableColumn id="5" xr3:uid="{8681EFB3-63CE-4838-9D76-D7F57F33A6B2}" name="1993" dataDxfId="4828"/>
    <tableColumn id="6" xr3:uid="{FBDF9BC6-D451-42FF-BE8D-C6D431A0C986}" name="1994" dataDxfId="4827"/>
    <tableColumn id="7" xr3:uid="{C4A01DBA-E22D-4153-A224-059FFFF746F0}" name="1995" dataDxfId="4826"/>
    <tableColumn id="8" xr3:uid="{620A22A3-B313-405B-B9AF-331D5A4A7892}" name="1996" dataDxfId="4825"/>
    <tableColumn id="9" xr3:uid="{3C368642-58C2-49D4-B4D5-5894904F0EED}" name="1997" dataDxfId="4824"/>
    <tableColumn id="10" xr3:uid="{813AD88F-A9FD-4352-AC40-3199FEC16076}" name="1998" dataDxfId="4823"/>
    <tableColumn id="11" xr3:uid="{C9575BB1-BFE0-41D0-809F-D75C09C1FB4E}" name="1999" dataDxfId="4822"/>
    <tableColumn id="12" xr3:uid="{EB6AE88A-3907-46A1-BCAC-9D0486BBE9AB}" name="2000" dataDxfId="4821"/>
    <tableColumn id="13" xr3:uid="{787CE2E0-A530-4B07-8C8B-32F81D24A5B4}" name="2001" dataDxfId="4820"/>
    <tableColumn id="14" xr3:uid="{E81A25F8-11D4-4395-B6DA-7D49FEC1E1D6}" name="2002" dataDxfId="4819"/>
    <tableColumn id="15" xr3:uid="{4332616F-5B3E-4634-AE62-641525E9B44E}" name="2003" dataDxfId="4818"/>
    <tableColumn id="16" xr3:uid="{8C570419-97F8-4692-B361-EB918AEB1A1B}" name="2004" dataDxfId="4817"/>
    <tableColumn id="17" xr3:uid="{AB56A939-364C-4417-99F3-83F94F164977}" name="2005" dataDxfId="4816"/>
    <tableColumn id="18" xr3:uid="{44C7AD3B-0AB5-42D5-B6C5-18458F16B035}" name="2006" dataDxfId="4815"/>
    <tableColumn id="19" xr3:uid="{8926717E-C120-4EA2-A077-DFF513271B4A}" name="2007" dataDxfId="4814"/>
    <tableColumn id="20" xr3:uid="{125501F6-02BC-4B0D-BAB7-2A56BC5C2B03}" name="2008" dataDxfId="4813"/>
    <tableColumn id="21" xr3:uid="{C42AE984-686B-4AC8-94ED-942105F8201D}" name="2009" dataDxfId="4812"/>
    <tableColumn id="22" xr3:uid="{A1C7F1AD-B0E5-405B-BE06-3147BA718471}" name="2010" dataDxfId="4811"/>
    <tableColumn id="23" xr3:uid="{B15C369D-B193-4194-B818-227995918DCA}" name="2011" dataDxfId="4810"/>
    <tableColumn id="24" xr3:uid="{B969A7FD-60E3-44ED-87AD-C7C043BC6F86}" name="2012" dataDxfId="4809"/>
    <tableColumn id="25" xr3:uid="{A791B565-82B4-4158-9E79-4A87B6CDBCAF}" name="2013" dataDxfId="4808"/>
    <tableColumn id="26" xr3:uid="{24DACF1C-6BE5-4BCA-9A4D-0CE30254C0E4}" name="2014" dataDxfId="4807"/>
    <tableColumn id="27" xr3:uid="{2DC2E45A-EEDE-4BC6-94A5-4A47A3420E10}" name="2015" dataDxfId="4806"/>
    <tableColumn id="28" xr3:uid="{A4ACA24B-E71D-450B-B82A-A612A725E74E}" name="2016" dataDxfId="4805"/>
    <tableColumn id="29" xr3:uid="{3A6E5EE9-E847-4CCC-9227-39A5926C288F}" name="2017" dataDxfId="4804"/>
    <tableColumn id="30" xr3:uid="{BB7D6919-0404-46AF-942D-8970A3D038C9}" name="2018" dataDxfId="4803"/>
    <tableColumn id="31" xr3:uid="{B447892F-37D8-4BE9-B1B9-8EF68400629E}" name="2019" dataDxfId="4802"/>
    <tableColumn id="32" xr3:uid="{31026AB8-01A1-4D99-8ABB-1FC95835E1E8}" name="2020" dataDxfId="4801"/>
    <tableColumn id="33" xr3:uid="{2DE82F5D-90E5-4BB6-BFBD-60B1CD7F7255}" name="2021" dataDxfId="4800"/>
    <tableColumn id="34" xr3:uid="{F013C7CA-8EFC-477F-841C-B8D8C113FDD8}" name="2022" dataDxfId="4799"/>
    <tableColumn id="35" xr3:uid="{223FF807-ACF4-4B68-873E-7ABCE77AAB90}" name="2023"/>
    <tableColumn id="36" xr3:uid="{67FB4CF6-9C56-4CB7-BDF6-A86499A32427}" name="2024" dataDxfId="4798"/>
    <tableColumn id="37" xr3:uid="{F4229A9A-995E-456F-A7F0-475C59930079}" name="2025" dataDxfId="4797"/>
    <tableColumn id="38" xr3:uid="{9F28059A-9EC2-48FE-9BCF-FE38C35664D0}" name="2026" dataDxfId="4796"/>
    <tableColumn id="39" xr3:uid="{2323D33B-5C9B-4AC6-B8CC-30B2640E4CA7}" name="2027" dataDxfId="4795"/>
    <tableColumn id="40" xr3:uid="{434188E6-D741-45E5-9541-722BEFF3EB95}" name="2028" dataDxfId="4794"/>
    <tableColumn id="41" xr3:uid="{88E26ED9-6362-49C3-8587-24FDA625B657}" name="2029" dataDxfId="4793"/>
    <tableColumn id="42" xr3:uid="{6C9BDFC4-80C5-4C91-A371-3A5EC3B7DD83}" name="2030"/>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F746B24E-4CEB-4EFE-B125-562952193AE8}" name="NaturalGasEMissionsandSublimitsMMTCO2e" displayName="NaturalGasEMissionsandSublimitsMMTCO2e" ref="A92:AP103" totalsRowShown="0" headerRowDxfId="4792" dataDxfId="4790" headerRowBorderDxfId="4791">
  <autoFilter ref="A92:AP103" xr:uid="{F746B24E-4CEB-4EFE-B125-562952193AE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autoFilter>
  <tableColumns count="42">
    <tableColumn id="1" xr3:uid="{DEA39E7A-9B2A-4690-AA2A-00815EEF1132}" name="Sector/Subsector/Percent Change/Sublimits" dataDxfId="4789"/>
    <tableColumn id="2" xr3:uid="{175F9542-E79C-4585-A434-9C59E07C58A4}" name="1990"/>
    <tableColumn id="3" xr3:uid="{F1DA71DE-E05E-4AD5-95DC-6A440ED2466A}" name="1991" dataDxfId="4788"/>
    <tableColumn id="4" xr3:uid="{6093C32C-6DA0-40AC-9D47-385228C71B9D}" name="1992" dataDxfId="4787"/>
    <tableColumn id="5" xr3:uid="{CCCBFF39-E350-448C-A050-0791D468F3FC}" name="1993" dataDxfId="4786"/>
    <tableColumn id="6" xr3:uid="{7C2DA2CA-CE20-4E2A-970E-B2F0B714CABB}" name="1994" dataDxfId="4785"/>
    <tableColumn id="7" xr3:uid="{55DA611E-D003-4EAB-9D8A-0D1CCB710BA6}" name="1995" dataDxfId="4784"/>
    <tableColumn id="8" xr3:uid="{5A3E5FD2-C5F6-4269-A193-EEADE2A3C733}" name="1996" dataDxfId="4783"/>
    <tableColumn id="9" xr3:uid="{0FDF560E-DD83-48D6-A63D-9B70FEA16511}" name="1997" dataDxfId="4782"/>
    <tableColumn id="10" xr3:uid="{C0013A72-907B-4418-8A3B-ACCDB345C1B3}" name="1998" dataDxfId="4781"/>
    <tableColumn id="11" xr3:uid="{FECD9EEE-B816-4B50-A54C-972E1F968316}" name="1999" dataDxfId="4780"/>
    <tableColumn id="12" xr3:uid="{41180986-F6C2-4D6D-936A-59CC1D91C6FB}" name="2000" dataDxfId="4779"/>
    <tableColumn id="13" xr3:uid="{77E077EC-81C1-4C2F-8357-BA1403ED3737}" name="2001" dataDxfId="4778"/>
    <tableColumn id="14" xr3:uid="{18513960-C188-4D62-BC95-B302AF0EDF66}" name="2002" dataDxfId="4777"/>
    <tableColumn id="15" xr3:uid="{9CE55C26-8B10-4E00-B6B4-412648DFE40D}" name="2003" dataDxfId="4776"/>
    <tableColumn id="16" xr3:uid="{0483D309-47FD-439B-A2CF-07C717A02A22}" name="2004" dataDxfId="4775"/>
    <tableColumn id="17" xr3:uid="{F46170A6-2629-4E07-A5A7-01121DE7B93D}" name="2005" dataDxfId="4774"/>
    <tableColumn id="18" xr3:uid="{31F5D81C-3539-4BA7-B94F-8E8A00EF6B80}" name="2006" dataDxfId="4773"/>
    <tableColumn id="19" xr3:uid="{4DFCD696-4219-4300-8012-47E2A44534DD}" name="2007" dataDxfId="4772"/>
    <tableColumn id="20" xr3:uid="{6CCC6928-F261-4E31-AD6C-C68E107E61F2}" name="2008" dataDxfId="4771"/>
    <tableColumn id="21" xr3:uid="{FDC7C53E-BFA2-4FEB-86DE-2B229B5C08C6}" name="2009" dataDxfId="4770"/>
    <tableColumn id="22" xr3:uid="{73DF5993-7619-4FA4-9D05-FA0690573B97}" name="2010" dataDxfId="4769"/>
    <tableColumn id="23" xr3:uid="{58B614BF-9F5D-410D-AFB5-F46BBFEEDE08}" name="2011" dataDxfId="4768"/>
    <tableColumn id="24" xr3:uid="{FE713713-8572-4F9D-AA3D-667DD1F7AAA8}" name="2012" dataDxfId="4767"/>
    <tableColumn id="25" xr3:uid="{2555474E-CB71-4423-9C20-7CED0A3C84B8}" name="2013" dataDxfId="4766"/>
    <tableColumn id="26" xr3:uid="{B0D13F83-3FC4-4FC9-B200-FA6C0C40EB3D}" name="2014" dataDxfId="4765"/>
    <tableColumn id="27" xr3:uid="{9F0BDC29-6124-461B-A509-27E1E9037216}" name="2015" dataDxfId="4764"/>
    <tableColumn id="28" xr3:uid="{2377D620-C284-4E8E-9E14-843906D775DF}" name="2016" dataDxfId="4763"/>
    <tableColumn id="29" xr3:uid="{47D12E56-1EC6-427A-9BC1-B95F55110799}" name="2017" dataDxfId="4762"/>
    <tableColumn id="30" xr3:uid="{EC457758-69BE-4235-B5C9-8E6123F04B92}" name="2018" dataDxfId="4761"/>
    <tableColumn id="31" xr3:uid="{5D3D6291-43F7-4F42-9EDD-12A28100E504}" name="2019" dataDxfId="4760"/>
    <tableColumn id="32" xr3:uid="{12E99DCE-CD57-49BC-A99C-7BA93E328197}" name="2020" dataDxfId="4759"/>
    <tableColumn id="33" xr3:uid="{6A4D79BB-F68B-4C30-BFEA-7A8E6AEBA0B9}" name="2021" dataDxfId="4758"/>
    <tableColumn id="34" xr3:uid="{C501CE18-5F86-4B72-ADDC-D226C3D8B362}" name="2022"/>
    <tableColumn id="35" xr3:uid="{9B21824D-27F5-478E-B971-DCE0C1046495}" name="2023"/>
    <tableColumn id="36" xr3:uid="{520C477B-24D0-487A-A976-FB00F5F6DD36}" name="2024" dataDxfId="4757"/>
    <tableColumn id="37" xr3:uid="{430E5F59-D7B0-4EBA-A053-B07A8058093B}" name="2025" dataDxfId="4756"/>
    <tableColumn id="38" xr3:uid="{1E10392F-518C-4C37-B547-44E9EC52DCA0}" name="2026" dataDxfId="4755"/>
    <tableColumn id="39" xr3:uid="{25174D59-7CAC-4953-96BA-0EFFA769C253}" name="2027" dataDxfId="4754"/>
    <tableColumn id="40" xr3:uid="{2D285868-79A6-43F3-8F4F-B9CD2B9F084F}" name="2028" dataDxfId="4753"/>
    <tableColumn id="41" xr3:uid="{8A2F6FD5-0042-4671-B7DC-CCFDB06A1777}" name="2029" dataDxfId="4752"/>
    <tableColumn id="42" xr3:uid="{DBDCEC8F-1B08-44D9-9C5F-9FFEDD601C1A}" name="2030"/>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A6F6C69-76B2-4968-A7C7-7811BED69608}" name="IndustrialProcessesEmissionsandSublimitsMMTCO2e" displayName="IndustrialProcessesEmissionsandSublimitsMMTCO2e" ref="A106:AP121" totalsRowShown="0" headerRowDxfId="4751" headerRowBorderDxfId="4750">
  <autoFilter ref="A106:AP121" xr:uid="{6A6F6C69-76B2-4968-A7C7-7811BED6960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autoFilter>
  <tableColumns count="42">
    <tableColumn id="1" xr3:uid="{5E1B4902-4097-4D57-A062-9C32FA622402}" name="Sector/Subsector/Percent Change/Sublimits" dataDxfId="4749"/>
    <tableColumn id="2" xr3:uid="{3381454C-6DAF-437E-B1F6-7A94D3D2C899}" name="1990"/>
    <tableColumn id="3" xr3:uid="{6C83F3EC-ADC7-46D9-ABEF-2DFDF44B778C}" name="1991" dataDxfId="4748"/>
    <tableColumn id="4" xr3:uid="{3BC57140-CC25-4492-9B66-BA60797420C7}" name="1992" dataDxfId="4747"/>
    <tableColumn id="5" xr3:uid="{99F5047C-432A-46DC-B71C-C9D0BE739294}" name="1993" dataDxfId="4746"/>
    <tableColumn id="6" xr3:uid="{3135E548-DB77-4CD7-A392-509DD75A7972}" name="1994" dataDxfId="4745"/>
    <tableColumn id="7" xr3:uid="{6DF72F66-1456-412D-B973-7C2465FDA767}" name="1995" dataDxfId="4744"/>
    <tableColumn id="8" xr3:uid="{CDCDD0CC-96AB-4333-99F2-E1DD3915A10C}" name="1996" dataDxfId="4743"/>
    <tableColumn id="9" xr3:uid="{EA5EEE7B-F283-4A23-A740-5D0DA208DCCE}" name="1997" dataDxfId="4742"/>
    <tableColumn id="10" xr3:uid="{5C559F6F-DF4C-454B-96AF-8033DC195AB3}" name="1998" dataDxfId="4741"/>
    <tableColumn id="11" xr3:uid="{7383DAA4-DBD6-4CDC-9373-190205BF3877}" name="1999" dataDxfId="4740"/>
    <tableColumn id="12" xr3:uid="{6E5A0C46-33F6-4646-8ACE-766C4D413C4B}" name="2000" dataDxfId="4739"/>
    <tableColumn id="13" xr3:uid="{0D34543B-2786-457B-BF70-B328477A5577}" name="2001" dataDxfId="4738"/>
    <tableColumn id="14" xr3:uid="{FB930FD9-98F6-48C6-A112-B30DA42EE778}" name="2002" dataDxfId="4737"/>
    <tableColumn id="15" xr3:uid="{1B5D3652-0214-40C5-854A-993C353DD2D6}" name="2003" dataDxfId="4736"/>
    <tableColumn id="16" xr3:uid="{8BCCA335-B24E-4982-BD04-1F0FCF69D888}" name="2004" dataDxfId="4735"/>
    <tableColumn id="17" xr3:uid="{81C30298-506D-411C-B6CD-F4FD8A40A396}" name="2005" dataDxfId="4734"/>
    <tableColumn id="18" xr3:uid="{D6080D6B-DA4B-4233-A175-D1380F1DDD1B}" name="2006" dataDxfId="4733"/>
    <tableColumn id="19" xr3:uid="{CB867151-1FC2-4143-ABC4-1A2CFE5BB5DE}" name="2007" dataDxfId="4732"/>
    <tableColumn id="20" xr3:uid="{744BD269-BED7-49B6-AFCF-5C2F6554199C}" name="2008" dataDxfId="4731"/>
    <tableColumn id="21" xr3:uid="{223DAEBB-12FB-4B33-B2AA-F88714AA3E7E}" name="2009" dataDxfId="4730"/>
    <tableColumn id="22" xr3:uid="{384C9C85-6B14-471C-AA59-71D6C0B56869}" name="2010" dataDxfId="4729"/>
    <tableColumn id="23" xr3:uid="{19154D0A-516B-49B8-8F33-7BE893FDCA13}" name="2011" dataDxfId="4728"/>
    <tableColumn id="24" xr3:uid="{A233D906-8B75-4895-A596-EB28AE7F491A}" name="2012" dataDxfId="4727"/>
    <tableColumn id="25" xr3:uid="{653A54F1-CD25-4DE9-9233-C410B9CD8EC1}" name="2013" dataDxfId="4726"/>
    <tableColumn id="26" xr3:uid="{9F46E7F4-28E7-4C7F-87E7-FB4DCCC09B00}" name="2014" dataDxfId="4725"/>
    <tableColumn id="27" xr3:uid="{95507024-29BF-4216-936A-1C9022C12AB0}" name="2015" dataDxfId="4724"/>
    <tableColumn id="28" xr3:uid="{C237F563-DD10-4D82-A624-FC5E76F1F2F4}" name="2016" dataDxfId="4723"/>
    <tableColumn id="29" xr3:uid="{91DFE1A7-809F-4CC8-B2C4-EB00B3BD1915}" name="2017" dataDxfId="4722"/>
    <tableColumn id="30" xr3:uid="{CCA62A28-64CA-4A35-9729-550CD7A3E15B}" name="2018" dataDxfId="4721"/>
    <tableColumn id="31" xr3:uid="{2C2AE8E1-C89A-474E-8572-EFB9E7339BF6}" name="2019"/>
    <tableColumn id="32" xr3:uid="{3C9F8C0A-51A3-421A-8A2F-A1FC517AB315}" name="2020"/>
    <tableColumn id="33" xr3:uid="{C3921627-AEFF-4AE4-B110-5F88917A6171}" name="2021"/>
    <tableColumn id="34" xr3:uid="{45C95941-BE2E-4524-A581-7DC1DB82BB54}" name="2022"/>
    <tableColumn id="35" xr3:uid="{E1BA9F70-1858-4D94-9BFB-5EFC442E8EB4}" name="2023"/>
    <tableColumn id="36" xr3:uid="{20849E27-039E-4F8E-9141-7B8215494F2B}" name="2024"/>
    <tableColumn id="37" xr3:uid="{42A2FD44-8E32-4994-8674-A9EC45F0F090}" name="2025"/>
    <tableColumn id="38" xr3:uid="{7C37B82E-0C6C-4D2B-BE5C-9280EACA0E3C}" name="2026"/>
    <tableColumn id="39" xr3:uid="{2C8D6C52-C773-4C29-B512-4DEABB37223C}" name="2027"/>
    <tableColumn id="40" xr3:uid="{63F6C751-2488-4EC0-9203-AB46BBB85FEC}" name="2028"/>
    <tableColumn id="41" xr3:uid="{C13019D2-EB11-4595-B97F-4219A8BAA9C7}" name="2029"/>
    <tableColumn id="42" xr3:uid="{19CB915F-6E86-47B9-9972-DC1F174F50F2}" name="2030"/>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19B2ECB-412E-4561-AFA4-61DD2B2E0EBB}" name="MAEmissionsbySectorandSubsectorMMTCO2e" displayName="MAEmissionsbySectorandSubsectorMMTCO2e" ref="A7:AI41" totalsRowShown="0" headerRowDxfId="4720" dataDxfId="4718" headerRowBorderDxfId="4719">
  <autoFilter ref="A7:AI41" xr:uid="{019B2ECB-412E-4561-AFA4-61DD2B2E0EB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1DEF2FA5-BAE1-4537-B271-0A236DAEAC45}" name="Sector/Subsector" dataDxfId="4717"/>
    <tableColumn id="2" xr3:uid="{1DE148FD-7938-48B2-9E5F-66456F480FD3}" name="1990" dataDxfId="4716"/>
    <tableColumn id="3" xr3:uid="{5D5C414F-9A80-49D5-BB42-DEEEA05B605A}" name="1991" dataDxfId="4715"/>
    <tableColumn id="4" xr3:uid="{ABD67C37-AB4B-48D0-A980-20549F098428}" name="1992" dataDxfId="4714"/>
    <tableColumn id="5" xr3:uid="{2707742F-3EFE-4310-8237-7C3B145A7F2B}" name="1993" dataDxfId="4713"/>
    <tableColumn id="6" xr3:uid="{50D3E014-52FC-43FA-81DA-CFBEB51C0624}" name="1994" dataDxfId="4712"/>
    <tableColumn id="7" xr3:uid="{65A9AA91-F707-448A-B740-EA536122F011}" name="1995" dataDxfId="4711"/>
    <tableColumn id="8" xr3:uid="{D7B5323E-2CB9-4356-AE54-1B9271C06CA7}" name="1996" dataDxfId="4710"/>
    <tableColumn id="9" xr3:uid="{BCD5FE8F-F028-4A5D-855E-B4DEEFAB90B8}" name="1997" dataDxfId="4709"/>
    <tableColumn id="10" xr3:uid="{636802CE-F2A7-4074-B04A-98B7BBD2DFB9}" name="1998" dataDxfId="4708"/>
    <tableColumn id="11" xr3:uid="{B29C8BFF-4997-479B-9AD6-A1BC44CD77CC}" name="1999" dataDxfId="4707"/>
    <tableColumn id="12" xr3:uid="{BAFB5BF4-C7C9-4578-AFAB-895FB4BC5578}" name="2000" dataDxfId="4706"/>
    <tableColumn id="13" xr3:uid="{11C89907-A35E-4780-A988-BB2E43E4E209}" name="2001" dataDxfId="4705"/>
    <tableColumn id="14" xr3:uid="{9C7D88FC-9449-48EA-B2D0-A51E666E98DB}" name="2002" dataDxfId="4704"/>
    <tableColumn id="15" xr3:uid="{EF31F6F8-CB52-475E-98C0-4E6A10911541}" name="2003" dataDxfId="4703"/>
    <tableColumn id="16" xr3:uid="{5AC75F24-1448-426D-952D-8B324FE04939}" name="2004" dataDxfId="4702"/>
    <tableColumn id="17" xr3:uid="{E292BD05-D1FE-4FC8-A171-92A49E4FC1BE}" name="2005" dataDxfId="4701"/>
    <tableColumn id="18" xr3:uid="{EEC0D50D-1996-414B-AA96-E247358A7A9A}" name="2006" dataDxfId="4700"/>
    <tableColumn id="19" xr3:uid="{46B02C72-F3DC-4145-AFC5-60F534037A66}" name="2007" dataDxfId="4699"/>
    <tableColumn id="20" xr3:uid="{16352149-2C79-4267-880E-97FB4C82606D}" name="2008" dataDxfId="4698"/>
    <tableColumn id="21" xr3:uid="{9A6DA76F-ACDF-4266-89DA-3D886CC239B4}" name="2009" dataDxfId="4697"/>
    <tableColumn id="22" xr3:uid="{EEB0893C-38A5-48A0-AD2D-2AFA4F48D8D8}" name="2010" dataDxfId="4696"/>
    <tableColumn id="23" xr3:uid="{75C3A0B1-8877-4F7A-B761-E6D3EB61A925}" name="2011" dataDxfId="4695"/>
    <tableColumn id="24" xr3:uid="{EF538AF7-A077-41A0-9D35-0F5C241CE047}" name="2012" dataDxfId="4694"/>
    <tableColumn id="25" xr3:uid="{42641B74-8341-4977-AB88-8F77E9F8A5E3}" name="2013" dataDxfId="4693"/>
    <tableColumn id="26" xr3:uid="{9D396130-6EA4-447B-9937-2D7065784D4D}" name="2014" dataDxfId="4692"/>
    <tableColumn id="27" xr3:uid="{679CBB16-7572-49BC-8CFA-AD0B5DA1E74E}" name="2015" dataDxfId="4691"/>
    <tableColumn id="28" xr3:uid="{A6AEB093-4096-4D68-9AF6-EE781E425DE4}" name="2016" dataDxfId="4690"/>
    <tableColumn id="29" xr3:uid="{1801257B-DDB4-4BD6-9C14-0B90AFF7F35D}" name="2017" dataDxfId="4689"/>
    <tableColumn id="30" xr3:uid="{C9910EF9-2A00-4FCF-A513-B4F8DBEA2748}" name="2018" dataDxfId="4688"/>
    <tableColumn id="31" xr3:uid="{F97A86D9-F133-47A6-A875-1E61F8BB398F}" name="2019" dataDxfId="4687"/>
    <tableColumn id="32" xr3:uid="{08F55DDC-BC92-4347-B237-B7EE79AD592D}" name="2020" dataDxfId="4686"/>
    <tableColumn id="33" xr3:uid="{399DBCEE-1BE8-4F70-813A-946067297FE4}" name="2021" dataDxfId="4685"/>
    <tableColumn id="34" xr3:uid="{CCE5A7D9-D165-4468-A489-F6AC1512470F}" name="2022" dataDxfId="4684"/>
    <tableColumn id="35" xr3:uid="{953EFB98-C716-45CC-B7F8-38142DA20047}" name="2023" dataDxfId="4683"/>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8" xr:uid="{13A4D9AB-9439-4270-9CB2-AAE56991409F}" name="ContentsLinkstoMAWebpages" displayName="ContentsLinkstoMAWebpages" ref="A11:B19" totalsRowShown="0">
  <autoFilter ref="A11:B19" xr:uid="{13A4D9AB-9439-4270-9CB2-AAE56991409F}">
    <filterColumn colId="0" hiddenButton="1"/>
    <filterColumn colId="1" hiddenButton="1"/>
  </autoFilter>
  <tableColumns count="2">
    <tableColumn id="1" xr3:uid="{95919A21-A15A-4D98-8797-F573EE358042}" name="Massachusetts GHG Information" dataDxfId="5305"/>
    <tableColumn id="2" xr3:uid="{FA087B89-ED50-4AB8-87AF-6D226662A1F0}" name="Link" dataDxfId="5304" dataCellStyle="Hyperlink"/>
  </tableColumns>
  <tableStyleInfo name="TableStyleMedium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A70C2DF-28CF-49BD-8EBB-CF5686362113}" name="SummaryDatafromEPASITCO2EmissionsMMTCO2" displayName="SummaryDatafromEPASITCO2EmissionsMMTCO2" ref="A60:AI95" totalsRowShown="0" headerRowDxfId="4682" dataDxfId="4680" headerRowBorderDxfId="4681" tableBorderDxfId="4679" dataCellStyle="Comma 2">
  <autoFilter ref="A60:AI95" xr:uid="{AA70C2DF-28CF-49BD-8EBB-CF568636211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52C40738-B93B-457C-BFB7-ADA1098F10CA}" name="Sector/Fuel Type" dataDxfId="4678"/>
    <tableColumn id="2" xr3:uid="{CDB9647C-55E9-4AB2-87EF-763D91EE21A0}" name="1990" dataDxfId="4677" dataCellStyle="Comma"/>
    <tableColumn id="3" xr3:uid="{03503836-2674-4022-8B90-FC466BED8715}" name="1991" dataDxfId="4676" dataCellStyle="Comma"/>
    <tableColumn id="4" xr3:uid="{12D2D32E-3593-4AED-B659-36B65A84A2DE}" name="1992" dataDxfId="4675" dataCellStyle="Comma"/>
    <tableColumn id="5" xr3:uid="{9049C7F2-3B00-445D-A384-BF4CE2624E32}" name="1993" dataDxfId="4674" dataCellStyle="Comma"/>
    <tableColumn id="6" xr3:uid="{EE9EFD05-B59A-4B07-A5C5-6436CC86B7D9}" name="1994" dataDxfId="4673" dataCellStyle="Comma"/>
    <tableColumn id="7" xr3:uid="{CBF05D00-54A1-4C33-A6D2-762766C62DF7}" name="1995" dataDxfId="4672" dataCellStyle="Comma"/>
    <tableColumn id="8" xr3:uid="{9879E9CD-A9B7-4B2F-9B26-A60A58942710}" name="1996" dataDxfId="4671" dataCellStyle="Comma"/>
    <tableColumn id="9" xr3:uid="{EA6172F6-27D6-432E-ACEB-C94D079CA11F}" name="1997" dataDxfId="4670" dataCellStyle="Comma"/>
    <tableColumn id="10" xr3:uid="{96DBEE97-BDAD-47A4-B53D-E433267C71BD}" name="1998" dataDxfId="4669" dataCellStyle="Comma"/>
    <tableColumn id="11" xr3:uid="{45C7D7D5-F201-4BB6-A740-8DE2B480F08B}" name="1999" dataDxfId="4668" dataCellStyle="Comma"/>
    <tableColumn id="12" xr3:uid="{A60F2F26-FB91-4803-A08B-477E91E56766}" name="2000" dataDxfId="4667" dataCellStyle="Comma"/>
    <tableColumn id="13" xr3:uid="{9B05CA49-0EAB-440C-819D-E06487A9804B}" name="2001" dataDxfId="4666" dataCellStyle="Comma"/>
    <tableColumn id="14" xr3:uid="{59EEB38D-4808-4FA5-87C7-CB08D2092C8F}" name="2002" dataDxfId="4665" dataCellStyle="Comma"/>
    <tableColumn id="15" xr3:uid="{0D2CC5DC-EB97-42DD-A235-EEEEB090DB96}" name="2003" dataDxfId="4664" dataCellStyle="Comma"/>
    <tableColumn id="16" xr3:uid="{4E719D67-5027-4324-9FFC-EB62C7DF9A58}" name="2004" dataDxfId="4663" dataCellStyle="Comma"/>
    <tableColumn id="17" xr3:uid="{DCB12451-7785-443B-B19E-117652A73189}" name="2005" dataDxfId="4662" dataCellStyle="Comma"/>
    <tableColumn id="18" xr3:uid="{06DC9F5E-4ADE-459A-892C-466A845BE7DD}" name="2006" dataDxfId="4661" dataCellStyle="Comma"/>
    <tableColumn id="19" xr3:uid="{749F1CFC-3AD5-49C6-8C46-1998FD0B21BD}" name="2007" dataDxfId="4660" dataCellStyle="Comma"/>
    <tableColumn id="20" xr3:uid="{82ACFFBD-0CC2-4B49-9CC3-40777CD02BC6}" name="2008" dataDxfId="4659" dataCellStyle="Comma"/>
    <tableColumn id="21" xr3:uid="{14404E49-C33E-4BED-8DDD-1D6394CD0F4B}" name="2009" dataDxfId="4658" dataCellStyle="Comma"/>
    <tableColumn id="22" xr3:uid="{734ABE98-9F88-4F5C-A0D3-21EED1A2D19C}" name="2010" dataDxfId="4657" dataCellStyle="Comma"/>
    <tableColumn id="23" xr3:uid="{0FACD405-5B45-4B76-9E3B-DDF1B4F37CFF}" name="2011" dataDxfId="4656" dataCellStyle="Comma"/>
    <tableColumn id="24" xr3:uid="{98B2A29D-550E-43D6-A85D-BAAC215893DA}" name="2012" dataDxfId="4655" dataCellStyle="Comma"/>
    <tableColumn id="25" xr3:uid="{6BC88CBA-AC67-45C4-8BAB-51189CADFDB8}" name="2013" dataDxfId="4654" dataCellStyle="Comma"/>
    <tableColumn id="26" xr3:uid="{0048C457-3DC2-40C7-9B19-0218B95564F0}" name="2014" dataDxfId="4653" dataCellStyle="Comma"/>
    <tableColumn id="27" xr3:uid="{40CB536A-80AB-474E-ADF7-68182521FA34}" name="2015" dataDxfId="4652" dataCellStyle="Comma"/>
    <tableColumn id="28" xr3:uid="{0AB1159F-7F9F-4CFC-AE34-88CF002F751C}" name="2016" dataDxfId="4651" dataCellStyle="Comma"/>
    <tableColumn id="29" xr3:uid="{157256C4-18FE-4B22-9A19-2F64AAD98FF3}" name="2017" dataDxfId="4650" dataCellStyle="Comma 2"/>
    <tableColumn id="30" xr3:uid="{C7DEE97C-71E4-41EA-922C-07B0AFF3799B}" name="2018" dataDxfId="4649" dataCellStyle="Comma 2"/>
    <tableColumn id="31" xr3:uid="{891D7DCB-73D8-425C-AA4F-816AE06AD5C8}" name="2019" dataDxfId="4648" dataCellStyle="Comma 2"/>
    <tableColumn id="32" xr3:uid="{503C4D94-1816-4886-A595-7BD2969D3FE1}" name="2020" dataDxfId="4647" dataCellStyle="Comma 2"/>
    <tableColumn id="33" xr3:uid="{C118CFA2-2BF2-4CF0-AA1E-D64DCD80BCA8}" name="2021" dataDxfId="4646" dataCellStyle="Comma 2"/>
    <tableColumn id="34" xr3:uid="{069166AF-CA94-434F-90EE-B810C2749271}" name="2022" dataDxfId="4645" dataCellStyle="Comma 2"/>
    <tableColumn id="35" xr3:uid="{54959BD0-AFD9-49F2-BD01-EB6A07029F6F}" name="2023" dataDxfId="4644" dataCellStyle="Comma 2"/>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B9B67B52-B063-4447-89D0-3EB18FF503D2}" name="AdditionalIndustrialNaturalGasCO2EmissionsMMTCO2" displayName="AdditionalIndustrialNaturalGasCO2EmissionsMMTCO2" ref="A169:AI173" totalsRowShown="0" headerRowDxfId="4643">
  <autoFilter ref="A169:AI173" xr:uid="{B9B67B52-B063-4447-89D0-3EB18FF503D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9A575CD8-AAD2-40CB-A8B0-ABBBF210F2A7}" name="fuel consumption data and CO2 emissions"/>
    <tableColumn id="2" xr3:uid="{208E053E-3EEF-4494-ACF5-DA8F1FE00DE4}" name="1990"/>
    <tableColumn id="3" xr3:uid="{B543BA39-9461-433F-9866-A329255C4050}" name="1991"/>
    <tableColumn id="4" xr3:uid="{CD01B02A-0F26-4FCA-8A29-1DB26E73B998}" name="1992"/>
    <tableColumn id="5" xr3:uid="{EDACB7AF-CEDC-4097-9183-F1879000B84F}" name="1993"/>
    <tableColumn id="6" xr3:uid="{085A8959-3A0A-45BE-A2F0-CD88E0772A03}" name="1994"/>
    <tableColumn id="7" xr3:uid="{DA14500E-4F20-47DD-A9A9-6A01BC6AACA1}" name="1995"/>
    <tableColumn id="8" xr3:uid="{9C78E5CA-E684-4BB8-9335-EB24DD58F92C}" name="1996"/>
    <tableColumn id="9" xr3:uid="{93194EAF-7EBD-452D-9877-F3B195EEA02A}" name="1997"/>
    <tableColumn id="10" xr3:uid="{17AF68A6-8124-484D-B2D8-7E9BD7946F4B}" name="1998"/>
    <tableColumn id="11" xr3:uid="{185D86CA-929D-4B95-8105-95D8E333FF03}" name="1999"/>
    <tableColumn id="12" xr3:uid="{D0E480A0-D717-43D5-AF14-0F5D31D62754}" name="2000"/>
    <tableColumn id="13" xr3:uid="{A9B3B577-E947-4587-A49D-E30CEB4C55BD}" name="2001"/>
    <tableColumn id="14" xr3:uid="{D1E3440B-3440-4F33-AEDA-6943DA603F0C}" name="2002"/>
    <tableColumn id="15" xr3:uid="{296D942D-76FE-486D-BA30-5A7D2A2DADF1}" name="2003"/>
    <tableColumn id="16" xr3:uid="{35671D62-07A8-4803-A664-4380199A0694}" name="2004"/>
    <tableColumn id="17" xr3:uid="{FF7FB2C5-1E46-40A9-B94C-4E0F37A26F15}" name="2005"/>
    <tableColumn id="18" xr3:uid="{0A395A88-5436-46E5-9B1A-0614609EFAFD}" name="2006"/>
    <tableColumn id="19" xr3:uid="{F5266735-50FF-4538-9B5F-8EA45394EA15}" name="2007"/>
    <tableColumn id="20" xr3:uid="{29CB4CCB-3E67-45EF-BABA-795BC5FD086D}" name="2008"/>
    <tableColumn id="21" xr3:uid="{31189ED2-2121-4C8C-A3A9-4E0FB0B73E9F}" name="2009"/>
    <tableColumn id="22" xr3:uid="{4DB707EE-AD7E-48FC-945A-978876407244}" name="2010"/>
    <tableColumn id="23" xr3:uid="{C8D8889B-9AEE-4758-980E-6FC7E28617B3}" name="2011"/>
    <tableColumn id="24" xr3:uid="{A0017A5F-4C46-4368-B890-547BAB82B912}" name="2012"/>
    <tableColumn id="25" xr3:uid="{11B867FB-D3D8-4170-A881-7C326ADC091B}" name="2013"/>
    <tableColumn id="26" xr3:uid="{720A343E-AAB7-4D33-A173-F99B0A410736}" name="2014"/>
    <tableColumn id="27" xr3:uid="{496BBC65-DBE9-495A-BE92-9E223CD3E0D5}" name="2015"/>
    <tableColumn id="28" xr3:uid="{8534C511-C259-43F2-9174-824339338CF3}" name="2016"/>
    <tableColumn id="29" xr3:uid="{3FF8F6D9-2995-4779-9566-8BCFA8823F19}" name="2017"/>
    <tableColumn id="30" xr3:uid="{A8730B82-141F-420D-B3BF-815282F311A2}" name="2018"/>
    <tableColumn id="31" xr3:uid="{619A287F-2733-4406-9338-5E8A3B0FDB48}" name="2019"/>
    <tableColumn id="32" xr3:uid="{24C7116F-DB35-4807-9047-5CE6531B1CC9}" name="2020"/>
    <tableColumn id="33" xr3:uid="{15004430-3FD7-4E9A-8DA7-8FFD91BA1FAB}" name="2021"/>
    <tableColumn id="34" xr3:uid="{2E361EDC-6F2E-40A4-AEFF-0D307B3CE5EC}" name="2022"/>
    <tableColumn id="35" xr3:uid="{6EB35D95-49F9-42CE-AB54-DF4926968D23}" name="2023"/>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B2F8530-AC4C-41EE-BF38-9A705773FEFA}" name="AdditionalCommercialFuelCellCO2EmissionsMMTCO2" displayName="AdditionalCommercialFuelCellCO2EmissionsMMTCO2" ref="A182:AI187" totalsRowShown="0" headerRowDxfId="4642">
  <autoFilter ref="A182:AI187" xr:uid="{4B2F8530-AC4C-41EE-BF38-9A705773FEF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293259CD-05D5-4730-B5F8-CF31E06D4C10}" name="fuel consumption data and CO2 emissions" dataDxfId="4641"/>
    <tableColumn id="2" xr3:uid="{480F1BBB-A0F5-4126-A473-C0F0A0C03E42}" name="1990" dataDxfId="4640"/>
    <tableColumn id="3" xr3:uid="{D352C4E1-0CB4-4FAA-95FC-D5C86D6817A4}" name="1991" dataDxfId="4639"/>
    <tableColumn id="4" xr3:uid="{6E702D45-9BAC-42F2-B3DD-D49490CFCCB8}" name="1992" dataDxfId="4638"/>
    <tableColumn id="5" xr3:uid="{5BC0CD5A-ACA3-42C1-B24B-2DA3114BFF39}" name="1993" dataDxfId="4637"/>
    <tableColumn id="6" xr3:uid="{C2172130-E8A4-4261-BDD9-192AF49FB95E}" name="1994" dataDxfId="4636"/>
    <tableColumn id="7" xr3:uid="{A7296673-6F0C-4CD5-A385-752E5EB1B200}" name="1995" dataDxfId="4635"/>
    <tableColumn id="8" xr3:uid="{1D0B9EA7-8A36-4793-98D9-0D89EA693377}" name="1996" dataDxfId="4634"/>
    <tableColumn id="9" xr3:uid="{F9CC9655-A8A8-44F8-803A-15541174E1B1}" name="1997" dataDxfId="4633"/>
    <tableColumn id="10" xr3:uid="{0F20E57E-AB0A-4DE7-95D6-11A28D033946}" name="1998" dataDxfId="4632"/>
    <tableColumn id="11" xr3:uid="{C3D57EC6-F971-472D-AFDC-E3ED348E523B}" name="1999" dataDxfId="4631"/>
    <tableColumn id="12" xr3:uid="{376F6878-984A-4C5F-A089-402607A9AF68}" name="2000" dataDxfId="4630"/>
    <tableColumn id="13" xr3:uid="{8735D78E-73E4-4B33-B0DC-3EBE48816D06}" name="2001" dataDxfId="4629"/>
    <tableColumn id="14" xr3:uid="{617A6B75-008B-43BE-8AC2-18D51E70E510}" name="2002" dataDxfId="4628"/>
    <tableColumn id="15" xr3:uid="{6F563B17-A026-449A-A573-634CB0772787}" name="2003" dataDxfId="4627"/>
    <tableColumn id="16" xr3:uid="{F2957D8C-34C3-4BD8-B4B2-6734585648CB}" name="2004" dataDxfId="4626"/>
    <tableColumn id="17" xr3:uid="{9AAB10CF-CC27-4E91-8735-94C87611E250}" name="2005" dataDxfId="4625"/>
    <tableColumn id="18" xr3:uid="{9778584E-1EB8-45C9-A227-77B605449633}" name="2006" dataDxfId="4624"/>
    <tableColumn id="19" xr3:uid="{C2F8663E-914D-4C87-88FE-7B6D406EA103}" name="2007" dataDxfId="4623"/>
    <tableColumn id="20" xr3:uid="{F5DDF5B4-D060-45D7-AEF2-B31B6215CF52}" name="2008" dataDxfId="4622"/>
    <tableColumn id="21" xr3:uid="{B7C19204-EF24-4D7A-9612-B65728A0B040}" name="2009" dataDxfId="4621"/>
    <tableColumn id="22" xr3:uid="{DC437808-00DA-41AD-AE18-C035F21F3899}" name="2010" dataDxfId="4620"/>
    <tableColumn id="23" xr3:uid="{D775CD05-177A-41FB-978B-3808E2224165}" name="2011" dataDxfId="4619"/>
    <tableColumn id="24" xr3:uid="{FE265A85-F379-4A45-9B1A-A623EFD10792}" name="2012" dataDxfId="4618"/>
    <tableColumn id="25" xr3:uid="{BF4F5448-C8AD-4870-8BFC-B72841F6FB20}" name="2013" dataDxfId="4617"/>
    <tableColumn id="26" xr3:uid="{2A6F8BAE-AFCA-460F-BDBA-41705CECBF31}" name="2014" dataDxfId="4616"/>
    <tableColumn id="27" xr3:uid="{17DA9E20-F126-4F4E-B7BA-0607323D3CBB}" name="2015" dataDxfId="4615"/>
    <tableColumn id="28" xr3:uid="{BCD2626B-859B-434D-81A9-F736F77EEE91}" name="2016" dataDxfId="4614"/>
    <tableColumn id="29" xr3:uid="{8AD7BF4C-3D99-47F2-895E-9B92C660279F}" name="2017" dataDxfId="4613"/>
    <tableColumn id="30" xr3:uid="{40469DE4-9424-4DDA-8484-C11E9F80F5E4}" name="2018"/>
    <tableColumn id="31" xr3:uid="{82F8F6DA-19D6-434F-A7B6-04E560DD2A6D}" name="2019"/>
    <tableColumn id="32" xr3:uid="{BB3AC1F7-7068-4A8C-A7DA-32A908C59C75}" name="2020"/>
    <tableColumn id="33" xr3:uid="{777C61AE-C4F6-4BFC-8EF1-90059F0E6CE5}" name="2021"/>
    <tableColumn id="34" xr3:uid="{72EEF52D-B6A1-46B2-96CB-5C794E90EBAA}" name="2022"/>
    <tableColumn id="35" xr3:uid="{9947F4B4-A931-4BFB-9189-D6207BBC7798}" name="2023"/>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8244BE98-A7CB-4A60-982E-AD6CCAAB15EF}" name="FuelSpecificSummaryDatafromEPASITCO2EMissionsMMTCO2" displayName="FuelSpecificSummaryDatafromEPASITCO2EMissionsMMTCO2" ref="A100:AI163" totalsRowShown="0" headerRowDxfId="4612" dataDxfId="4610" headerRowBorderDxfId="4611" tableBorderDxfId="4609" dataCellStyle="Comma">
  <autoFilter ref="A100:AI163" xr:uid="{8244BE98-A7CB-4A60-982E-AD6CCAAB15E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06EBDC69-DEBF-45FA-B90A-DD6EEBCE31F1}" name="Sector/Specific Fuel" dataDxfId="4608"/>
    <tableColumn id="2" xr3:uid="{234AE851-AC44-46F3-9525-1F72C4A25471}" name="1990*" dataDxfId="4607" dataCellStyle="Comma"/>
    <tableColumn id="3" xr3:uid="{05CE8295-79EA-429A-8246-FE802FFC1113}" name="1991" dataDxfId="4606" dataCellStyle="Comma"/>
    <tableColumn id="4" xr3:uid="{E6723E6C-C4AF-402E-8715-5EFD96DE762C}" name="1992" dataDxfId="4605" dataCellStyle="Comma"/>
    <tableColumn id="5" xr3:uid="{6D1C73BF-DB16-4BD4-B4FF-39CE1CCA74F7}" name="1993" dataDxfId="4604" dataCellStyle="Comma"/>
    <tableColumn id="6" xr3:uid="{5363D4C6-C534-4BFB-94B6-988D14D67276}" name="1994" dataDxfId="4603" dataCellStyle="Comma"/>
    <tableColumn id="7" xr3:uid="{D5AC4F6D-7B4D-4C46-96C6-9113C62F32BA}" name="1995" dataDxfId="4602" dataCellStyle="Comma"/>
    <tableColumn id="8" xr3:uid="{6053832F-008D-4030-BBB4-98FB4C0FAE17}" name="1996" dataDxfId="4601" dataCellStyle="Comma"/>
    <tableColumn id="9" xr3:uid="{B0F909FE-B461-4251-A022-CFB3BCD185B3}" name="1997" dataDxfId="4600" dataCellStyle="Comma"/>
    <tableColumn id="10" xr3:uid="{757D88CE-505F-4BDF-8C7A-E4B77BFF11F7}" name="1998" dataDxfId="4599" dataCellStyle="Comma"/>
    <tableColumn id="11" xr3:uid="{814A3AB7-82B8-493A-BA07-4E965B6C8B45}" name="1999" dataDxfId="4598" dataCellStyle="Comma"/>
    <tableColumn id="12" xr3:uid="{4B01E037-4DAC-4929-A0D6-51E639A0E0EF}" name="2000" dataDxfId="4597" dataCellStyle="Comma"/>
    <tableColumn id="13" xr3:uid="{2522BB3A-54DF-40BD-8034-46617BD4AF8F}" name="2001" dataDxfId="4596" dataCellStyle="Comma"/>
    <tableColumn id="14" xr3:uid="{298C14CB-88F3-47A7-BD18-B83B837246E7}" name="2002" dataDxfId="4595" dataCellStyle="Comma"/>
    <tableColumn id="15" xr3:uid="{A4923BC2-B6E2-433B-81A0-2423D8B28AD6}" name="2003" dataDxfId="4594" dataCellStyle="Comma"/>
    <tableColumn id="16" xr3:uid="{5FAFAA8D-0691-4172-B177-9FE0AB78E035}" name="2004" dataDxfId="4593" dataCellStyle="Comma"/>
    <tableColumn id="17" xr3:uid="{6903C193-792F-41BD-9CF2-D07EBA38AF36}" name="2005" dataDxfId="4592" dataCellStyle="Comma"/>
    <tableColumn id="18" xr3:uid="{059FCFB0-08F7-4A55-9611-C3894C1BA57F}" name="2006" dataDxfId="4591" dataCellStyle="Comma"/>
    <tableColumn id="19" xr3:uid="{73B2000B-3CD1-431C-BAAF-2FDA18CBA114}" name="2007" dataDxfId="4590" dataCellStyle="Comma"/>
    <tableColumn id="20" xr3:uid="{C038C6F7-5964-4969-87DC-71735AE03641}" name="2008" dataDxfId="4589" dataCellStyle="Comma"/>
    <tableColumn id="21" xr3:uid="{C5FACCF2-8846-4C16-9AF2-993E61B9E6A0}" name="2009" dataDxfId="4588" dataCellStyle="Comma"/>
    <tableColumn id="22" xr3:uid="{AF06E93F-1695-433B-A5AD-CE4364B6F170}" name="2010" dataDxfId="4587" dataCellStyle="Comma"/>
    <tableColumn id="23" xr3:uid="{824F0715-57D7-4EBF-BFE1-13C8FCC46498}" name="2011" dataDxfId="4586" dataCellStyle="Comma"/>
    <tableColumn id="24" xr3:uid="{F0568CA7-561D-4AA9-9B1A-208A0A356127}" name="2012" dataDxfId="4585" dataCellStyle="Comma"/>
    <tableColumn id="25" xr3:uid="{96B7F511-C048-4DAF-9417-5AE094EFC58E}" name="2013" dataDxfId="4584" dataCellStyle="Comma"/>
    <tableColumn id="26" xr3:uid="{C297A62A-8E0A-4361-BB27-863133BB25BB}" name="2014" dataDxfId="4583" dataCellStyle="Comma"/>
    <tableColumn id="27" xr3:uid="{A7A17268-854B-4837-AEA7-E4639F98F8A3}" name="2015" dataDxfId="4582" dataCellStyle="Comma"/>
    <tableColumn id="28" xr3:uid="{FD598A92-A776-4661-B93B-979501E62179}" name="2016" dataDxfId="4581" dataCellStyle="Comma"/>
    <tableColumn id="29" xr3:uid="{7C60D875-C1D0-4758-BEF4-C0FA7E66415F}" name="2017" dataDxfId="4580" dataCellStyle="Comma"/>
    <tableColumn id="30" xr3:uid="{4FB067B7-39A7-4343-8DC1-83E6E583B95A}" name="2018" dataDxfId="4579" dataCellStyle="Comma"/>
    <tableColumn id="31" xr3:uid="{6AD29BC0-4359-47BB-9A95-09D809FDD415}" name="2019" dataDxfId="4578" dataCellStyle="Comma"/>
    <tableColumn id="32" xr3:uid="{23169162-4E13-459C-8DB8-A08EF86FA54C}" name="2020" dataDxfId="4577" dataCellStyle="Comma"/>
    <tableColumn id="33" xr3:uid="{69CC8245-B4BC-4A8C-872C-9CA343DBE96E}" name="2021" dataDxfId="4576" dataCellStyle="Comma"/>
    <tableColumn id="34" xr3:uid="{A2FA5C25-1ECC-420E-AD75-B268D7721B7A}" name="2022" dataDxfId="4575" dataCellStyle="Comma"/>
    <tableColumn id="35" xr3:uid="{B9BD49FE-43D3-48C2-8B65-176DFF38ADAE}" name="2023" dataDxfId="4574" dataCellStyle="Comma"/>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2" xr:uid="{40ACF05B-EE86-497E-8AF5-910B09A052A8}" name="DATAforCombustionCO2" displayName="DATAforCombustionCO2" ref="A46:D50" totalsRowShown="0" headerRowDxfId="4573" headerRowBorderDxfId="4572" tableBorderDxfId="4571">
  <autoFilter ref="A46:D50" xr:uid="{40ACF05B-EE86-497E-8AF5-910B09A052A8}">
    <filterColumn colId="0" hiddenButton="1"/>
    <filterColumn colId="1" hiddenButton="1"/>
    <filterColumn colId="2" hiddenButton="1"/>
    <filterColumn colId="3" hiddenButton="1"/>
  </autoFilter>
  <tableColumns count="4">
    <tableColumn id="1" xr3:uid="{96261FFE-B2FB-41BE-8BF6-B71E49D98FA5}" name="Year(s)"/>
    <tableColumn id="2" xr3:uid="{9D850B75-8F35-4C62-AB62-FE136A60F7A5}" name="Data Source"/>
    <tableColumn id="3" xr3:uid="{2E773505-50F1-4F51-944D-FD13949CF4CF}" name="Version"/>
    <tableColumn id="4" xr3:uid="{E3DEC396-13B9-48AB-91D0-F5A7FB97765A}" name="Update Date"/>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1" xr:uid="{79E05FB9-2B3D-480B-9501-74AA361E910C}" name="CO2ConversionFactorsforNGUseByNGCompanies" displayName="CO2ConversionFactorsforNGUseByNGCompanies" ref="A176:B179" totalsRowShown="0" dataDxfId="4570">
  <autoFilter ref="A176:B179" xr:uid="{79E05FB9-2B3D-480B-9501-74AA361E910C}">
    <filterColumn colId="0" hiddenButton="1"/>
    <filterColumn colId="1" hiddenButton="1"/>
  </autoFilter>
  <tableColumns count="2">
    <tableColumn id="1" xr3:uid="{762F9229-CE96-4E1F-9C45-CA9D538831C5}" name="Item" dataDxfId="4569"/>
    <tableColumn id="2" xr3:uid="{FA081478-E47B-4347-8441-34495B1C116F}" name="Value" dataDxfId="4568"/>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8" xr:uid="{D17FF6B4-7967-48FC-9496-4DCB7938FE98}" name="CO2ConversionFactorsForNGUseByFuelCells" displayName="CO2ConversionFactorsForNGUseByFuelCells" ref="A190:B194" totalsRowShown="0" tableBorderDxfId="4567">
  <autoFilter ref="A190:B194" xr:uid="{D17FF6B4-7967-48FC-9496-4DCB7938FE98}">
    <filterColumn colId="0" hiddenButton="1"/>
    <filterColumn colId="1" hiddenButton="1"/>
  </autoFilter>
  <tableColumns count="2">
    <tableColumn id="1" xr3:uid="{367F3B1C-0E15-4568-88A2-2910E15AA5ED}" name="Item" dataDxfId="4566"/>
    <tableColumn id="2" xr3:uid="{BAAE121A-F6D3-48E4-821F-BB3F2B86984A}" name="Value"/>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8" xr:uid="{9C641158-7177-403A-BB02-8E8703353057}" name="AviationCO2EmissionsByFuelType" displayName="AviationCO2EmissionsByFuelType" ref="A204:AI209" headerRowDxfId="4565" dataDxfId="4563" totalsRowDxfId="4561" headerRowBorderDxfId="4564" tableBorderDxfId="4562" headerRowCellStyle="Normal_State Transportation Module 02.13.02" dataCellStyle="Comma">
  <autoFilter ref="A204:AI209" xr:uid="{9C641158-7177-403A-BB02-8E870335305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9AE12C13-E56B-45BA-A3AB-27016263DA7D}" name="Fuel Type" totalsRowLabel="Total" dataDxfId="4560" totalsRowDxfId="4559" dataCellStyle="Normal_Non-highway"/>
    <tableColumn id="2" xr3:uid="{F31539D6-CAD2-4061-8AF2-891C4842932A}" name="1990 " dataDxfId="4558" totalsRowDxfId="4557" dataCellStyle="Comma"/>
    <tableColumn id="3" xr3:uid="{768784F8-D6CA-4195-99EE-4057C0F89425}" name="1991 " dataDxfId="4556" totalsRowDxfId="4555" dataCellStyle="Comma"/>
    <tableColumn id="4" xr3:uid="{62AE4522-D4AF-4D0E-8E25-1587A00D3BE3}" name="1992 " dataDxfId="4554" totalsRowDxfId="4553" dataCellStyle="Comma"/>
    <tableColumn id="5" xr3:uid="{FDA4ADCC-7750-4BB4-A695-A12069232228}" name="1993 " dataDxfId="4552" totalsRowDxfId="4551" dataCellStyle="Comma"/>
    <tableColumn id="6" xr3:uid="{03743214-0902-4032-9FB7-36010C3B6F64}" name="1994 " dataDxfId="4550" totalsRowDxfId="4549" dataCellStyle="Comma"/>
    <tableColumn id="7" xr3:uid="{1AF74F76-9100-45FF-B3C2-1D834ABE33E5}" name="1995 " dataDxfId="4548" totalsRowDxfId="4547" dataCellStyle="Comma"/>
    <tableColumn id="8" xr3:uid="{D305A4A9-F925-42BC-8696-C10A71AB56D5}" name="1996 " dataDxfId="4546" totalsRowDxfId="4545" dataCellStyle="Comma"/>
    <tableColumn id="9" xr3:uid="{AE46024B-5E27-4DD0-B4C2-1514CD16D547}" name="1997 " dataDxfId="4544" totalsRowDxfId="4543" dataCellStyle="Comma"/>
    <tableColumn id="10" xr3:uid="{C79243FD-6451-4C7B-AA20-397FD5B05D06}" name="1998 " dataDxfId="4542" totalsRowDxfId="4541" dataCellStyle="Comma"/>
    <tableColumn id="11" xr3:uid="{5A1FEB88-F15B-4A38-AB3E-C8D88FDEBC5D}" name="1999 " dataDxfId="4540" totalsRowDxfId="4539" dataCellStyle="Comma"/>
    <tableColumn id="12" xr3:uid="{A1929337-65B4-4E03-99D5-C5B62858826D}" name="2000 " dataDxfId="4538" totalsRowDxfId="4537" dataCellStyle="Comma"/>
    <tableColumn id="13" xr3:uid="{089C269D-A628-4BB6-BD5C-0A86E702D6A2}" name="2001 " dataDxfId="4536" totalsRowDxfId="4535" dataCellStyle="Comma"/>
    <tableColumn id="14" xr3:uid="{7420B5BE-1E43-48CB-9937-4B07D614C2FF}" name="2002 " dataDxfId="4534" totalsRowDxfId="4533" dataCellStyle="Comma"/>
    <tableColumn id="15" xr3:uid="{42E69501-F752-4360-8E66-CCD8B02A469C}" name="2003 " dataDxfId="4532" totalsRowDxfId="4531" dataCellStyle="Comma"/>
    <tableColumn id="16" xr3:uid="{C93D9CF2-74EB-4586-8D41-7C1DCFBCFC51}" name="2004 " dataDxfId="4530" totalsRowDxfId="4529" dataCellStyle="Comma"/>
    <tableColumn id="17" xr3:uid="{D7D721D9-2FDF-4BA8-9C86-FDBFB4253FCC}" name="2005 " dataDxfId="4528" totalsRowDxfId="4527" dataCellStyle="Comma"/>
    <tableColumn id="18" xr3:uid="{7726EAFD-E538-4A88-B294-3925C3A7FAED}" name="2006 " dataDxfId="4526" totalsRowDxfId="4525" dataCellStyle="Comma"/>
    <tableColumn id="19" xr3:uid="{42F7B1DA-E305-4830-8BF4-9E4398095031}" name="2007 " dataDxfId="4524" totalsRowDxfId="4523" dataCellStyle="Comma"/>
    <tableColumn id="20" xr3:uid="{424D7C09-3049-45DA-AD25-5C70BC23AF34}" name="2008 " dataDxfId="4522" totalsRowDxfId="4521" dataCellStyle="Comma"/>
    <tableColumn id="21" xr3:uid="{C25D5B3E-2829-4E47-8639-213DD48A0DD0}" name="2009 " dataDxfId="4520" totalsRowDxfId="4519" dataCellStyle="Comma"/>
    <tableColumn id="22" xr3:uid="{CD0941AE-9CCE-4772-940D-8B6B21083BF6}" name="2010 " dataDxfId="4518" totalsRowDxfId="4517" dataCellStyle="Comma"/>
    <tableColumn id="23" xr3:uid="{27E02CA5-36F7-45A4-862E-E73611C630CC}" name="2011 " dataDxfId="4516" totalsRowDxfId="4515" dataCellStyle="Comma"/>
    <tableColumn id="24" xr3:uid="{31016C6A-578B-4A29-8AD8-9B526F8D219A}" name="2012 " dataDxfId="4514" totalsRowDxfId="4513" dataCellStyle="Comma"/>
    <tableColumn id="25" xr3:uid="{193F8268-D764-460C-804D-8C88A856790C}" name="2013 " dataDxfId="4512" totalsRowDxfId="4511" dataCellStyle="Comma"/>
    <tableColumn id="26" xr3:uid="{6D80FF3C-4AB3-4E7F-80CC-17BDC5FC3538}" name="2014 " dataDxfId="4510" totalsRowDxfId="4509" dataCellStyle="Comma"/>
    <tableColumn id="27" xr3:uid="{96FD34E7-CB3A-4A0E-A42F-269845CD1F95}" name="2015 " dataDxfId="4508" totalsRowDxfId="4507" dataCellStyle="Comma"/>
    <tableColumn id="28" xr3:uid="{9990B7F3-1B27-4AEF-B3C8-940DAAFD9B11}" name="2016 " dataDxfId="4506" totalsRowDxfId="4505" dataCellStyle="Comma"/>
    <tableColumn id="29" xr3:uid="{51A840B1-5D6B-4086-BC83-18D5707D5AB7}" name="2017 " dataDxfId="4504" totalsRowDxfId="4503" dataCellStyle="Comma"/>
    <tableColumn id="30" xr3:uid="{DB6B3A61-1E2F-4EB5-9779-9B5DB4BB5A2C}" name="2018 " dataDxfId="4502" totalsRowDxfId="4501" dataCellStyle="Comma"/>
    <tableColumn id="31" xr3:uid="{CCEF53E1-5612-4797-B268-84731C2076FB}" name="2019 " dataDxfId="4500" totalsRowDxfId="4499" dataCellStyle="Comma"/>
    <tableColumn id="32" xr3:uid="{66E93B3E-4830-435A-9583-BA2DEDC440CC}" name="2020 " dataDxfId="4498" totalsRowDxfId="4497" dataCellStyle="Comma"/>
    <tableColumn id="33" xr3:uid="{603F266E-BEA0-48DE-8F81-B23462AF34BC}" name="2021 " dataDxfId="4496" totalsRowDxfId="4495" dataCellStyle="Comma"/>
    <tableColumn id="34" xr3:uid="{A6A754E6-DC01-4888-8413-CA9E35A8215B}" name="2022 " dataDxfId="4494" totalsRowDxfId="4493" dataCellStyle="Comma"/>
    <tableColumn id="35" xr3:uid="{973E18F3-C167-46FB-B895-C095932C547B}" name="2023 " dataDxfId="4492" totalsRowDxfId="4491" dataCellStyle="Comma"/>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9" xr:uid="{2A4B972F-8849-421A-9098-BA93F0ED380F}" name="BoatCO2EmissionsByFuelType" displayName="BoatCO2EmissionsByFuelType" ref="A212:AH217" totalsRowShown="0" headerRowDxfId="4490" dataDxfId="4489" tableBorderDxfId="4488" headerRowCellStyle="Normal_Non-highway" dataCellStyle="Comma">
  <autoFilter ref="A212:AH217" xr:uid="{2A4B972F-8849-421A-9098-BA93F0ED380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00CAC30C-155B-46AB-9287-1A4A7E04589E}" name="Fuel Type" dataDxfId="4487" dataCellStyle="Normal_Non-highway"/>
    <tableColumn id="2" xr3:uid="{50863246-86DA-41F0-8F24-ABA013F779EE}" name="1990 " dataDxfId="4486" dataCellStyle="Comma"/>
    <tableColumn id="3" xr3:uid="{3BAF19BC-3C85-4BC6-91B4-9F50803E9A08}" name="1991 " dataDxfId="4485" dataCellStyle="Comma"/>
    <tableColumn id="4" xr3:uid="{3938B206-EB9C-43CB-B8F7-70173863FF0E}" name="1992 " dataDxfId="4484" dataCellStyle="Comma"/>
    <tableColumn id="5" xr3:uid="{F84BCB89-D71A-4970-9ADE-036695D764FF}" name="1993 " dataDxfId="4483" dataCellStyle="Comma"/>
    <tableColumn id="6" xr3:uid="{3B73CF92-A5F6-445C-8485-10E1B10183B3}" name="1994 " dataDxfId="4482" dataCellStyle="Comma"/>
    <tableColumn id="7" xr3:uid="{3C7D351D-2670-4384-95A8-0298A4198D63}" name="1995 " dataDxfId="4481" dataCellStyle="Comma"/>
    <tableColumn id="8" xr3:uid="{C1B3E9AF-A6D5-4FA2-BD65-6806B2734F3A}" name="1996 " dataDxfId="4480" dataCellStyle="Comma"/>
    <tableColumn id="9" xr3:uid="{2DC72DAB-152D-47D1-A972-0399FDF5B337}" name="1997 " dataDxfId="4479" dataCellStyle="Comma"/>
    <tableColumn id="10" xr3:uid="{59928C74-468F-4A99-834C-FA89BDAFD0E9}" name="1998 " dataDxfId="4478" dataCellStyle="Comma"/>
    <tableColumn id="11" xr3:uid="{11F57561-3749-4411-88F1-F4BB2AAF381F}" name="1999 " dataDxfId="4477" dataCellStyle="Comma"/>
    <tableColumn id="12" xr3:uid="{E77E6EFD-FE96-4390-8077-47C26C2A4C25}" name="2000 " dataDxfId="4476" dataCellStyle="Comma"/>
    <tableColumn id="13" xr3:uid="{A833889F-C75A-4FCD-B262-CC1EA5EEB874}" name="2001 " dataDxfId="4475" dataCellStyle="Comma"/>
    <tableColumn id="14" xr3:uid="{905475D6-5F07-4A7B-A252-EB47212BC4D4}" name="2002 " dataDxfId="4474" dataCellStyle="Comma"/>
    <tableColumn id="15" xr3:uid="{28A0DACE-05DA-4451-900E-ACD939F78098}" name="2003 " dataDxfId="4473" dataCellStyle="Comma"/>
    <tableColumn id="16" xr3:uid="{4598BA58-92D8-414D-AF1B-27544254B501}" name="2004 " dataDxfId="4472" dataCellStyle="Comma"/>
    <tableColumn id="17" xr3:uid="{C7FD9D0A-7A0D-4D01-A08B-ECEC9A2A55C7}" name="2005 " dataDxfId="4471" dataCellStyle="Comma"/>
    <tableColumn id="18" xr3:uid="{7621FC78-9392-4711-9162-67548578CBBC}" name="2006 " dataDxfId="4470" dataCellStyle="Comma"/>
    <tableColumn id="19" xr3:uid="{53F2B91C-BFB3-405C-A376-6A5E2C19DACF}" name="2007 " dataDxfId="4469" dataCellStyle="Comma"/>
    <tableColumn id="20" xr3:uid="{5BFF49E2-54EF-40FB-BE15-9ADAF837AE13}" name="2008 " dataDxfId="4468" dataCellStyle="Comma"/>
    <tableColumn id="21" xr3:uid="{1CB64C62-BC47-4777-9D84-928B992F611B}" name="2009 " dataDxfId="4467" dataCellStyle="Comma"/>
    <tableColumn id="22" xr3:uid="{781A91F7-1A70-4375-B110-10AB6168AAAE}" name="2010 " dataDxfId="4466" dataCellStyle="Comma"/>
    <tableColumn id="23" xr3:uid="{B6BFAFC4-38B9-4716-B7DB-4868284A0C10}" name="2011 " dataDxfId="4465" dataCellStyle="Comma"/>
    <tableColumn id="24" xr3:uid="{C41B9556-4BDC-400F-B9F4-A2810143143D}" name="2012 " dataDxfId="4464" dataCellStyle="Comma"/>
    <tableColumn id="25" xr3:uid="{135CFFD3-2A9F-42B1-952F-5068E4017B04}" name="2013 " dataDxfId="4463" dataCellStyle="Comma"/>
    <tableColumn id="26" xr3:uid="{73CB43FA-B7D2-497E-8199-C55CB824FB06}" name="2014 " dataDxfId="4462" dataCellStyle="Comma"/>
    <tableColumn id="27" xr3:uid="{BCE6662F-205E-4025-81A6-2F955CD4BB8A}" name="2015 " dataDxfId="4461" dataCellStyle="Comma"/>
    <tableColumn id="28" xr3:uid="{1194ECA8-2A4E-4EED-B673-D101E3837595}" name="2016 " dataDxfId="4460" dataCellStyle="Comma"/>
    <tableColumn id="29" xr3:uid="{045B798B-E06F-42F3-AB79-484AE0100F74}" name="2017 " dataDxfId="4459" dataCellStyle="Comma"/>
    <tableColumn id="30" xr3:uid="{DCA5E6FC-D001-4EA1-A478-D7ED2B8DBD0E}" name="2018 " dataDxfId="4458" dataCellStyle="Comma"/>
    <tableColumn id="31" xr3:uid="{16D90D60-D450-42C8-B5CD-99E9162FFD41}" name="2019 " dataDxfId="4457" dataCellStyle="Comma"/>
    <tableColumn id="32" xr3:uid="{5610BCE3-4243-47CE-9C0F-1FBFBFCFA08E}" name="2020 " dataDxfId="4456" dataCellStyle="Comma"/>
    <tableColumn id="33" xr3:uid="{670BD5DB-E00B-4490-A3D3-F9AA53187AA0}" name="2021 " dataDxfId="4455" dataCellStyle="Comma"/>
    <tableColumn id="34" xr3:uid="{FA435BA2-2A2B-431D-9029-8BDF94364A87}" name="2022 " dataDxfId="4454" dataCellStyle="Comma"/>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0" xr:uid="{D8F33672-D928-4718-88BB-5C12712080A6}" name="LocomotiveCO2EmissionsByFuelType" displayName="LocomotiveCO2EmissionsByFuelType" ref="A220:AH225" totalsRowShown="0" headerRowDxfId="4453" dataDxfId="4452" tableBorderDxfId="4451" headerRowCellStyle="Normal_Non-highway" dataCellStyle="Comma">
  <autoFilter ref="A220:AH225" xr:uid="{D8F33672-D928-4718-88BB-5C12712080A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D9BA53D6-D041-49FF-BB49-B0315958D1E7}" name="Fuel Type" dataDxfId="4450" dataCellStyle="Normal_Non-highway"/>
    <tableColumn id="2" xr3:uid="{B9F001D7-3481-4DDD-93E7-FD70BBB4CE57}" name="1990 " dataDxfId="4449" dataCellStyle="Comma"/>
    <tableColumn id="3" xr3:uid="{69345DC4-506F-4F59-992E-54593FD1FD5E}" name="1991 " dataDxfId="4448" dataCellStyle="Comma"/>
    <tableColumn id="4" xr3:uid="{B3B4A7B3-047E-4579-8EBE-A1094B2DEDE6}" name="1992 " dataDxfId="4447" dataCellStyle="Comma"/>
    <tableColumn id="5" xr3:uid="{8E3DC41A-B964-42DF-BF51-145708C8779B}" name="1993 " dataDxfId="4446" dataCellStyle="Comma"/>
    <tableColumn id="6" xr3:uid="{20E09731-F0AF-4EB7-8B3E-61AF5A7C2A39}" name="1994 " dataDxfId="4445" dataCellStyle="Comma"/>
    <tableColumn id="7" xr3:uid="{EBF61F99-85F5-4177-A995-CE1B75BE8082}" name="1995 " dataDxfId="4444" dataCellStyle="Comma"/>
    <tableColumn id="8" xr3:uid="{AB0A7263-4F3B-4898-A668-D7764767391F}" name="1996 " dataDxfId="4443" dataCellStyle="Comma"/>
    <tableColumn id="9" xr3:uid="{74E0B1A1-A145-4708-8E73-E2BEF1CF6356}" name="1997 " dataDxfId="4442" dataCellStyle="Comma"/>
    <tableColumn id="10" xr3:uid="{F5DC79E3-C722-4E81-906B-6EC5744C88D6}" name="1998 " dataDxfId="4441" dataCellStyle="Comma"/>
    <tableColumn id="11" xr3:uid="{FBA9F6F1-867E-4F4E-8F10-BBAFC0A5FDCC}" name="1999 " dataDxfId="4440" dataCellStyle="Comma"/>
    <tableColumn id="12" xr3:uid="{3C94AED7-5D92-4001-8AB8-D4AB96A65254}" name="2000 " dataDxfId="4439" dataCellStyle="Comma"/>
    <tableColumn id="13" xr3:uid="{1FBA09E8-8438-4F76-B842-86470CA4EA64}" name="2001 " dataDxfId="4438" dataCellStyle="Comma"/>
    <tableColumn id="14" xr3:uid="{5A09C8CD-3107-4815-A85B-BA28077FC058}" name="2002 " dataDxfId="4437" dataCellStyle="Comma"/>
    <tableColumn id="15" xr3:uid="{A53E49DC-EDAC-40A6-8156-8D29B08A1AFA}" name="2003 " dataDxfId="4436" dataCellStyle="Comma"/>
    <tableColumn id="16" xr3:uid="{A2416174-D06D-4AAB-A00B-779A3AEC6D55}" name="2004 " dataDxfId="4435" dataCellStyle="Comma"/>
    <tableColumn id="17" xr3:uid="{429FAC13-566E-4E9E-89B9-15DA27802303}" name="2005 " dataDxfId="4434" dataCellStyle="Comma"/>
    <tableColumn id="18" xr3:uid="{8E743CA4-B020-4A2C-8D44-0FF34A756637}" name="2006 " dataDxfId="4433" dataCellStyle="Comma"/>
    <tableColumn id="19" xr3:uid="{AC32802C-D02A-4F4B-86ED-DEB44FFC6F96}" name="2007 " dataDxfId="4432" dataCellStyle="Comma"/>
    <tableColumn id="20" xr3:uid="{1CE5B414-6885-4F5E-9277-F4EDA67998F5}" name="2008 " dataDxfId="4431" dataCellStyle="Comma"/>
    <tableColumn id="21" xr3:uid="{48E775D9-00DA-411D-9FA2-F663A550A429}" name="2009 " dataDxfId="4430" dataCellStyle="Comma"/>
    <tableColumn id="22" xr3:uid="{09B9A56C-1BE8-4BA0-8193-B39F01A7628C}" name="2010 " dataDxfId="4429" dataCellStyle="Comma"/>
    <tableColumn id="23" xr3:uid="{640682F0-2A39-477F-9D11-D28190E9CC33}" name="2011 " dataDxfId="4428" dataCellStyle="Comma"/>
    <tableColumn id="24" xr3:uid="{6C2C7CBF-0F36-426B-9C0A-9907E7218D28}" name="2012 " dataDxfId="4427" dataCellStyle="Comma"/>
    <tableColumn id="25" xr3:uid="{8A32C1DE-AFB8-4B20-8C8A-069F73C7C022}" name="2013 " dataDxfId="4426" dataCellStyle="Comma"/>
    <tableColumn id="26" xr3:uid="{D41910C5-BE7D-46DD-B843-E443F5CA902D}" name="2014 " dataDxfId="4425" dataCellStyle="Comma"/>
    <tableColumn id="27" xr3:uid="{17377F7A-26E6-4033-A674-4B7346F80DAC}" name="2015 " dataDxfId="4424" dataCellStyle="Comma"/>
    <tableColumn id="28" xr3:uid="{9327C0EC-3BF0-4C9C-BABC-0A4A19B63B3F}" name="2016 " dataDxfId="4423" dataCellStyle="Comma"/>
    <tableColumn id="29" xr3:uid="{16A417A5-7CC7-436A-AC8E-2570786A2C48}" name="2017 " dataDxfId="4422" dataCellStyle="Comma"/>
    <tableColumn id="30" xr3:uid="{A15C6CB9-78EE-42FB-8091-45F82E0E2270}" name="2018 " dataDxfId="4421" dataCellStyle="Comma"/>
    <tableColumn id="31" xr3:uid="{3B606100-383A-437F-B6A1-D309B71D34FD}" name="2019 " dataDxfId="4420" dataCellStyle="Comma"/>
    <tableColumn id="32" xr3:uid="{2EC35C62-D152-452D-BBDB-102BB8753A04}" name="2020 " dataDxfId="4419" dataCellStyle="Comma"/>
    <tableColumn id="33" xr3:uid="{F18DC0C8-775F-4133-8770-EA0B1F0D3274}" name="2021 " dataDxfId="4418" dataCellStyle="Comma"/>
    <tableColumn id="34" xr3:uid="{FC8315A2-41E0-4551-A0A3-DC3FCA0DC91B}" name="2022 " dataDxfId="4417" dataCellStyle="Comma"/>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6F005804-834C-4586-BB86-2345BA28E7D2}" name="MAEmissionsSummaryMMTCO2e" displayName="MAEmissionsSummaryMMTCO2e" ref="A48:AP64" totalsRowShown="0" headerRowDxfId="5303" dataDxfId="5301" headerRowBorderDxfId="5302">
  <autoFilter ref="A48:AP64" xr:uid="{6F005804-834C-4586-BB86-2345BA28E7D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autoFilter>
  <tableColumns count="42">
    <tableColumn id="1" xr3:uid="{0276BC43-DEDF-4B47-9552-56CDACD3DDE2}" name="Sector/Subcategory"/>
    <tableColumn id="2" xr3:uid="{A85FB1F7-3130-4726-A83F-068A99C5D922}" name="1990" dataDxfId="5300"/>
    <tableColumn id="3" xr3:uid="{4D88DF8F-E554-44A6-8B0D-424AA2D7FAFC}" name="1991" dataDxfId="5299"/>
    <tableColumn id="4" xr3:uid="{5EAEB9B4-4D8D-4B76-9A46-53AF2155BEA2}" name="1992" dataDxfId="5298"/>
    <tableColumn id="5" xr3:uid="{15869A26-33F1-483A-B4B5-6BE6FB8E309C}" name="1993" dataDxfId="5297"/>
    <tableColumn id="6" xr3:uid="{12CB2FA8-E3B1-4024-9300-DAD5E6B1835F}" name="1994" dataDxfId="5296"/>
    <tableColumn id="7" xr3:uid="{AADC43D9-BE7B-41F0-974E-FBE13DB72CA1}" name="1995" dataDxfId="5295"/>
    <tableColumn id="8" xr3:uid="{6E9C61A4-33C6-4502-88C6-CE11112EAD41}" name="1996" dataDxfId="5294"/>
    <tableColumn id="9" xr3:uid="{F04EE2F7-9862-4DC7-8F7B-FCC7844BF129}" name="1997" dataDxfId="5293"/>
    <tableColumn id="10" xr3:uid="{409127F9-D180-4B1F-975F-50A0A1A6EC34}" name="1998" dataDxfId="5292"/>
    <tableColumn id="11" xr3:uid="{B8B58BA7-51C4-4183-A242-D5DAF2E3F874}" name="1999" dataDxfId="5291"/>
    <tableColumn id="12" xr3:uid="{564C9EBB-ED05-4A86-A401-9219E8D7C232}" name="2000" dataDxfId="5290"/>
    <tableColumn id="13" xr3:uid="{486B9AC0-FAF7-48AA-82DC-4E5E2CDB1E7C}" name="2001" dataDxfId="5289"/>
    <tableColumn id="14" xr3:uid="{0A38FFEA-DEEF-44EC-B443-941E1C260143}" name="2002" dataDxfId="5288"/>
    <tableColumn id="15" xr3:uid="{46D4C0DA-64DE-46DE-A2B2-D77ECA8F1182}" name="2003" dataDxfId="5287"/>
    <tableColumn id="16" xr3:uid="{D6BB8A7B-9DE5-424A-8339-8E020FB84532}" name="2004" dataDxfId="5286"/>
    <tableColumn id="17" xr3:uid="{FFA582D7-2F57-44BA-9156-D9C8DDCEB890}" name="2005" dataDxfId="5285"/>
    <tableColumn id="18" xr3:uid="{C3D0A847-1FD9-4A43-ABA5-E0B79BC3DE42}" name="2006" dataDxfId="5284"/>
    <tableColumn id="19" xr3:uid="{2BDFC658-B16B-4D90-AECD-118914D8CB21}" name="2007" dataDxfId="5283"/>
    <tableColumn id="20" xr3:uid="{85BE66CE-B82E-49D9-A049-E14A4F9A5E07}" name="2008" dataDxfId="5282"/>
    <tableColumn id="21" xr3:uid="{337E53F3-8C3A-41DF-BA79-4796A9095933}" name="2009" dataDxfId="5281"/>
    <tableColumn id="22" xr3:uid="{BCE3DF47-1830-48A5-97CE-26930651CC59}" name="2010" dataDxfId="5280"/>
    <tableColumn id="23" xr3:uid="{14854F70-8FE7-4EBB-9864-AD7BF89D495B}" name="2011" dataDxfId="5279"/>
    <tableColumn id="24" xr3:uid="{53E8E36C-5F95-4312-993E-811A2C52E3CE}" name="2012" dataDxfId="5278"/>
    <tableColumn id="25" xr3:uid="{0D6ABE62-4739-4F84-8C70-E7B4F303032F}" name="2013" dataDxfId="5277"/>
    <tableColumn id="26" xr3:uid="{69C3D4ED-D2F5-4A64-B373-0B337EBC473B}" name="2014" dataDxfId="5276"/>
    <tableColumn id="27" xr3:uid="{E7418662-B764-42B9-A37A-BD7B07CE0EDA}" name="2015" dataDxfId="5275"/>
    <tableColumn id="28" xr3:uid="{42777FBD-E58D-4108-934E-047F7645BCAC}" name="2016" dataDxfId="5274"/>
    <tableColumn id="29" xr3:uid="{3FC134FD-601E-4855-85E7-0EEE95268858}" name="2017" dataDxfId="5273"/>
    <tableColumn id="30" xr3:uid="{EE8F4176-297A-40AC-ACD6-2EFBC76B19F1}" name="2018" dataDxfId="5272"/>
    <tableColumn id="31" xr3:uid="{3269670F-FEAD-4FB1-BE34-30E93D5EB357}" name="2019" dataDxfId="5271"/>
    <tableColumn id="32" xr3:uid="{6596947B-FADB-41BB-9810-C2B6F4E07FA7}" name="2020"/>
    <tableColumn id="33" xr3:uid="{0B779A8E-4243-4192-825D-3B77FAD1C13D}" name="2021" dataDxfId="5270"/>
    <tableColumn id="34" xr3:uid="{20FA6978-57B6-49FB-A5A9-6B2E8A5CF638}" name="2022" dataDxfId="5269"/>
    <tableColumn id="35" xr3:uid="{71D23C3C-8886-4DB1-954D-92C7BF064C3A}" name="2023" dataDxfId="5268"/>
    <tableColumn id="36" xr3:uid="{7FCA3A4E-AA5C-4A9E-BA33-86115833374B}" name="2024" dataDxfId="5267"/>
    <tableColumn id="37" xr3:uid="{00E208D9-0B48-4353-9E43-139C15EBCDD7}" name="2025"/>
    <tableColumn id="38" xr3:uid="{70D2F6DA-803D-43B7-863C-656229C30D8A}" name="2026" dataDxfId="5266"/>
    <tableColumn id="39" xr3:uid="{CD02AE26-A6BF-468E-BC33-F6DFA31AE816}" name="2027" dataDxfId="5265"/>
    <tableColumn id="40" xr3:uid="{D1B14437-2900-4F9A-B9E8-6A96292BFD49}" name="2028" dataDxfId="5264"/>
    <tableColumn id="41" xr3:uid="{54C6AB41-97C3-4696-9288-8930503D6A10}" name="2029" dataDxfId="5263"/>
    <tableColumn id="42" xr3:uid="{C7C3BAF4-CEE1-4A47-9939-920385B1B4EA}" name="2030"/>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1" xr:uid="{92D1E960-AB2D-4445-B9CF-84E279BB6A8A}" name="OtherNonHighwayCO2EmissionByVehicleAndFuelType" displayName="OtherNonHighwayCO2EmissionByVehicleAndFuelType" ref="A228:AH237" totalsRowShown="0" headerRowDxfId="4416" dataDxfId="4415" headerRowCellStyle="Normal_Non-highway">
  <autoFilter ref="A228:AH237" xr:uid="{92D1E960-AB2D-4445-B9CF-84E279BB6A8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C968BDAA-BC0F-4C99-AB04-69331DCEEA50}" name="Fuel Type/Vehicle Type" dataDxfId="4414"/>
    <tableColumn id="2" xr3:uid="{4809FA68-DA6E-4F85-8FF2-F8D50649598A}" name="1990 " dataDxfId="4413"/>
    <tableColumn id="3" xr3:uid="{0C1F8499-488A-4488-84DF-A2AC56292499}" name="1991 " dataDxfId="4412"/>
    <tableColumn id="4" xr3:uid="{4EC0E567-83D7-4ACB-96A5-A2E99C5880EB}" name="1992 " dataDxfId="4411"/>
    <tableColumn id="5" xr3:uid="{91E3ED5A-E6EA-4BC6-9A35-52130A6AF7D8}" name="1993 " dataDxfId="4410"/>
    <tableColumn id="6" xr3:uid="{A81028E8-8785-4C02-AFDE-BCBCCFF36000}" name="1994 " dataDxfId="4409"/>
    <tableColumn id="7" xr3:uid="{99604BDA-5DB6-4FDA-B371-2EE4030C77C0}" name="1995 " dataDxfId="4408"/>
    <tableColumn id="8" xr3:uid="{DD916126-2D97-4781-8AC9-3D3BD392AE99}" name="1996 " dataDxfId="4407"/>
    <tableColumn id="9" xr3:uid="{2C26ED1B-0DBD-49D1-89A8-8E04FD192592}" name="1997 " dataDxfId="4406"/>
    <tableColumn id="10" xr3:uid="{830ADABD-F27A-4DD8-A066-8102F61B5E87}" name="1998 " dataDxfId="4405"/>
    <tableColumn id="11" xr3:uid="{FE820E6D-8E7F-4B38-A541-17ABCE6A6B16}" name="1999 " dataDxfId="4404"/>
    <tableColumn id="12" xr3:uid="{BF1F646B-10A0-4D3E-BF8A-15C56BA6B92C}" name="2000 " dataDxfId="4403"/>
    <tableColumn id="13" xr3:uid="{91C11CD9-08AB-48B1-9A96-3027B5E38C10}" name="2001 " dataDxfId="4402"/>
    <tableColumn id="14" xr3:uid="{0F6CA4C0-7C93-4635-BBA3-0DF072AA51A6}" name="2002 " dataDxfId="4401"/>
    <tableColumn id="15" xr3:uid="{C8BF17FE-790D-4683-ACF9-15DEF86DB1DE}" name="2003 " dataDxfId="4400"/>
    <tableColumn id="16" xr3:uid="{4B4103A2-91D3-4181-B216-98A8D1820AC4}" name="2004 " dataDxfId="4399"/>
    <tableColumn id="17" xr3:uid="{DC205B47-1FD8-4D24-B932-E6DD48AAECB1}" name="2005 " dataDxfId="4398"/>
    <tableColumn id="18" xr3:uid="{659BE0FF-F2CB-445F-9DBE-A37AF7EE91F4}" name="2006 " dataDxfId="4397"/>
    <tableColumn id="19" xr3:uid="{3403B6B6-6C48-4CDC-B3C6-386A7B498343}" name="2007 " dataDxfId="4396"/>
    <tableColumn id="20" xr3:uid="{C79D208B-459B-4F5C-BA85-91B140B4767C}" name="2008 " dataDxfId="4395"/>
    <tableColumn id="21" xr3:uid="{9AAE3922-9747-4B35-850B-CEA8FC4F670E}" name="2009 " dataDxfId="4394"/>
    <tableColumn id="22" xr3:uid="{36856654-2655-42CD-953A-645BC106E9D3}" name="2010 " dataDxfId="4393"/>
    <tableColumn id="23" xr3:uid="{353E8049-844A-420F-B43A-836E47043EF2}" name="2011 " dataDxfId="4392"/>
    <tableColumn id="24" xr3:uid="{379330A0-DC97-4170-B3DD-F3DDF94CAE9B}" name="2012 " dataDxfId="4391"/>
    <tableColumn id="25" xr3:uid="{84C22BEE-D5BF-43ED-8B49-4B7122D96770}" name="2013 " dataDxfId="4390"/>
    <tableColumn id="26" xr3:uid="{D2B2A470-C94A-44A1-92BF-15E7A575A299}" name="2014 " dataDxfId="4389"/>
    <tableColumn id="27" xr3:uid="{45127A75-C6F1-45BA-9F21-99D62E26ADD6}" name="2015 " dataDxfId="4388"/>
    <tableColumn id="28" xr3:uid="{7F287A69-EED2-416E-98F0-FE8192FB44B2}" name="2016 " dataDxfId="4387"/>
    <tableColumn id="29" xr3:uid="{231A4C6D-3824-42A2-8BEC-33D0AF64D812}" name="2017 " dataDxfId="4386"/>
    <tableColumn id="30" xr3:uid="{992F747A-7952-4C7D-8E1E-3D77CE64E96A}" name="2018 " dataDxfId="4385"/>
    <tableColumn id="31" xr3:uid="{AE3F585C-0868-4EB1-8053-45502D1DDF89}" name="2019 " dataDxfId="4384"/>
    <tableColumn id="32" xr3:uid="{F49270A6-A46C-4DF5-8453-6E5C5FA1AC91}" name="2020 " dataDxfId="4383"/>
    <tableColumn id="33" xr3:uid="{7F04FAED-5230-46E2-8B8B-7A1017BC9245}" name="2021 " dataDxfId="4382"/>
    <tableColumn id="34" xr3:uid="{B4918BF0-1A86-4C56-ADA8-4C573AB352E2}" name="2022 " dataDxfId="4381"/>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EE5FB1A-D7B8-4399-BED6-EC23CAE409B9}" name="FuelSpecificSummaryDatafromBiogenicCombustionWorksheetCH4andN2OMMTCO2e" displayName="FuelSpecificSummaryDatafromBiogenicCombustionWorksheetCH4andN2OMMTCO2e" ref="A167:AI178" totalsRowShown="0" headerRowDxfId="4380" dataDxfId="4378" headerRowBorderDxfId="4379" tableBorderDxfId="4377">
  <autoFilter ref="A167:AI178" xr:uid="{4EE5FB1A-D7B8-4399-BED6-EC23CAE409B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874BAF64-E45B-4398-AE8D-39D2DD69BA52}" name="Sector/Specific Fuel" dataDxfId="4376"/>
    <tableColumn id="2" xr3:uid="{35EC126E-D07B-4792-8E32-445C16128FC0}" name="1990" dataDxfId="4375"/>
    <tableColumn id="3" xr3:uid="{7CB4B81C-0E03-4281-BE3E-A405844F1692}" name="1991" dataDxfId="4374"/>
    <tableColumn id="4" xr3:uid="{646F7A66-EB72-401C-B201-E22D65614F69}" name="1992" dataDxfId="4373"/>
    <tableColumn id="5" xr3:uid="{1F97E81F-8184-4450-A48B-DDAE7D176767}" name="1993" dataDxfId="4372"/>
    <tableColumn id="6" xr3:uid="{6B21F7D6-69C7-4637-B82A-A2B617BF78CE}" name="1994" dataDxfId="4371"/>
    <tableColumn id="7" xr3:uid="{869D1B09-E653-4144-90D9-A8940226FFAD}" name="1995" dataDxfId="4370"/>
    <tableColumn id="8" xr3:uid="{6BBCBE27-871E-4DEB-B0B6-9A382761BB5C}" name="1996" dataDxfId="4369"/>
    <tableColumn id="9" xr3:uid="{0A3F0DBE-96DB-4FB7-8B90-C72BED06130C}" name="1997" dataDxfId="4368"/>
    <tableColumn id="10" xr3:uid="{B4B06924-B4D3-47B4-8B1F-8F77961FDFE0}" name="1998" dataDxfId="4367"/>
    <tableColumn id="11" xr3:uid="{04199D30-CE9F-4021-842B-A45A8F158246}" name="1999" dataDxfId="4366"/>
    <tableColumn id="12" xr3:uid="{91B4B4D1-A408-4E09-932E-B68A73D3607E}" name="2000" dataDxfId="4365"/>
    <tableColumn id="13" xr3:uid="{FF963A8D-D698-4DC2-B8EB-E710A0752684}" name="2001" dataDxfId="4364"/>
    <tableColumn id="14" xr3:uid="{E4F3B17D-87B8-414A-94F0-2CEA5E411277}" name="2002" dataDxfId="4363"/>
    <tableColumn id="15" xr3:uid="{EE414836-8B7C-4375-89E5-5EA41ADC57A2}" name="2003" dataDxfId="4362"/>
    <tableColumn id="16" xr3:uid="{FBCD04B5-1A44-4938-AE52-06EC6E091CB5}" name="2004" dataDxfId="4361"/>
    <tableColumn id="17" xr3:uid="{53DD4510-5B3E-4F27-BCBE-DE2D54F802B0}" name="2005" dataDxfId="4360"/>
    <tableColumn id="18" xr3:uid="{5E2EC3CD-4939-4E6A-B3FD-DC7068D4134B}" name="2006" dataDxfId="4359"/>
    <tableColumn id="19" xr3:uid="{EE845955-0BDB-4A74-8565-2980422CC4AA}" name="2007" dataDxfId="4358"/>
    <tableColumn id="20" xr3:uid="{1818B01D-0703-4667-BA2F-913AD0DF0D78}" name="2008" dataDxfId="4357"/>
    <tableColumn id="21" xr3:uid="{18645953-BDD0-43ED-8E2B-A518F3030094}" name="2009" dataDxfId="4356"/>
    <tableColumn id="22" xr3:uid="{B99E85B0-553B-4E3C-A0A6-A666D5CFC87F}" name="2010" dataDxfId="4355"/>
    <tableColumn id="23" xr3:uid="{F27A9819-6F4A-4307-BD1A-8055C8520527}" name="2011" dataDxfId="4354"/>
    <tableColumn id="24" xr3:uid="{7F373C44-3702-4C8C-8045-5B3753129095}" name="2012" dataDxfId="4353"/>
    <tableColumn id="25" xr3:uid="{F66ED78B-4520-4323-A4E8-5EFFE0DCA016}" name="2013" dataDxfId="4352"/>
    <tableColumn id="26" xr3:uid="{FFF7D255-88F0-43EB-9D27-041976C38032}" name="2014" dataDxfId="4351"/>
    <tableColumn id="27" xr3:uid="{AEBC25CA-C080-4D22-967D-37F4A02E230D}" name="2015" dataDxfId="4350"/>
    <tableColumn id="28" xr3:uid="{881C18F0-3937-4708-B755-CB57DC6B3A17}" name="2016" dataDxfId="4349"/>
    <tableColumn id="29" xr3:uid="{D8D8F9D9-6BF6-4EF4-B0AC-F784FE4661BB}" name="2017" dataDxfId="4348"/>
    <tableColumn id="30" xr3:uid="{38D7B504-56DA-432E-ADA0-31DC24CD6460}" name="2018" dataDxfId="4347"/>
    <tableColumn id="31" xr3:uid="{542E2207-7058-419D-9543-2593D0769DAF}" name="2019" dataDxfId="4346"/>
    <tableColumn id="32" xr3:uid="{3561A28B-AE39-4F58-8E90-548FAAC87A92}" name="2020" dataDxfId="4345"/>
    <tableColumn id="33" xr3:uid="{9F29BB4C-0F95-4240-B07C-C7B52F698A59}" name="2021" dataDxfId="4344"/>
    <tableColumn id="34" xr3:uid="{CEAFA7BF-8428-4634-9A6B-C4DCC1C7CF84}" name="2022" dataDxfId="4343"/>
    <tableColumn id="35" xr3:uid="{738DEFF3-FC25-4DEA-94D6-8E4F2A053646}" name="2023" dataDxfId="4342"/>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25365C93-96E5-4874-8898-60A4A82A314D}" name="FuelSpecificSummaryDatafromEPASITStationaryCH4andN2OMMTCO2e" displayName="FuelSpecificSummaryDatafromEPASITStationaryCH4andN2OMMTCO2e" ref="A109:AI162" totalsRowShown="0" headerRowDxfId="4341" dataDxfId="4339" headerRowBorderDxfId="4340" tableBorderDxfId="4338" dataCellStyle="Comma">
  <autoFilter ref="A109:AI162" xr:uid="{25365C93-96E5-4874-8898-60A4A82A314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37C55367-DF17-47A7-8573-E1EFCE73D4D7}" name="Sector/Specific Fuel" dataDxfId="4337"/>
    <tableColumn id="2" xr3:uid="{C7B81C25-620F-46C3-97F8-460BE516D526}" name="1990*" dataDxfId="4336" dataCellStyle="Comma"/>
    <tableColumn id="3" xr3:uid="{4BF70EC1-FAF3-44EB-B2C0-4024412F915C}" name="1991" dataDxfId="4335" dataCellStyle="Comma"/>
    <tableColumn id="4" xr3:uid="{7A25D240-976D-47C9-92BC-9D7EB1555108}" name="1992" dataDxfId="4334" dataCellStyle="Comma"/>
    <tableColumn id="5" xr3:uid="{7840B6B5-187F-4FDB-ADA7-F3A9A2FC1059}" name="1993" dataDxfId="4333" dataCellStyle="Comma"/>
    <tableColumn id="6" xr3:uid="{ADBF7355-918D-412B-A783-2085A5318AA3}" name="1994" dataDxfId="4332" dataCellStyle="Comma"/>
    <tableColumn id="7" xr3:uid="{725FE0F2-58D5-4C8F-9649-994926F16A3B}" name="1995" dataDxfId="4331" dataCellStyle="Comma"/>
    <tableColumn id="8" xr3:uid="{1CCDAAE9-29E7-4C8C-8CED-8842824B90A1}" name="1996" dataDxfId="4330" dataCellStyle="Comma"/>
    <tableColumn id="9" xr3:uid="{FD328436-9C2F-4C42-9F49-C66077FBCA6E}" name="1997" dataDxfId="4329" dataCellStyle="Comma"/>
    <tableColumn id="10" xr3:uid="{1B6D3E98-36D8-4E92-A631-BF6FE9841BEA}" name="1998" dataDxfId="4328" dataCellStyle="Comma"/>
    <tableColumn id="11" xr3:uid="{ABC0839D-C6EC-4AEA-BA8B-8EFB49D09261}" name="1999" dataDxfId="4327" dataCellStyle="Comma"/>
    <tableColumn id="12" xr3:uid="{CB023FD2-A2B7-449B-83B8-EA0583B4532F}" name="2000" dataDxfId="4326" dataCellStyle="Comma"/>
    <tableColumn id="13" xr3:uid="{36DB04ED-BEF6-4B15-B13E-9E5631E4FA41}" name="2001" dataDxfId="4325" dataCellStyle="Comma"/>
    <tableColumn id="14" xr3:uid="{1CB2D51E-E16A-4C3E-9AC4-384290962F90}" name="2002" dataDxfId="4324" dataCellStyle="Comma"/>
    <tableColumn id="15" xr3:uid="{427E004B-A14F-458D-8115-2584837FB06E}" name="2003" dataDxfId="4323" dataCellStyle="Comma"/>
    <tableColumn id="16" xr3:uid="{7A3706CA-ED88-49BB-8696-9B2D8CDE451F}" name="2004" dataDxfId="4322" dataCellStyle="Comma"/>
    <tableColumn id="17" xr3:uid="{44E5D06C-779A-4265-9CC9-D7150C2FD70E}" name="2005" dataDxfId="4321" dataCellStyle="Comma"/>
    <tableColumn id="18" xr3:uid="{512C0CCD-77C5-4B9F-86E7-FCEA53CBBF31}" name="2006" dataDxfId="4320" dataCellStyle="Comma"/>
    <tableColumn id="19" xr3:uid="{025AD71F-9F7A-4AFC-82C0-CA018C04037C}" name="2007" dataDxfId="4319" dataCellStyle="Comma"/>
    <tableColumn id="20" xr3:uid="{64B8D458-9C14-433F-BF55-B87DFEDF24A2}" name="2008" dataDxfId="4318" dataCellStyle="Comma"/>
    <tableColumn id="21" xr3:uid="{D58042B1-35BE-460D-A1F3-B275BE9EE6EA}" name="2009" dataDxfId="4317" dataCellStyle="Comma"/>
    <tableColumn id="22" xr3:uid="{2D0629EE-8637-44D4-B2B6-DFC175A404D5}" name="2010" dataDxfId="4316" dataCellStyle="Comma"/>
    <tableColumn id="23" xr3:uid="{E16F5A5A-1F48-4FF0-B9D4-251B7668B858}" name="2011" dataDxfId="4315" dataCellStyle="Comma"/>
    <tableColumn id="24" xr3:uid="{E1B870BC-A1B5-44D3-AC04-A3EA94F569F2}" name="2012" dataDxfId="4314" dataCellStyle="Comma"/>
    <tableColumn id="25" xr3:uid="{0C96FC45-9314-41D6-968C-29AB398A1389}" name="2013" dataDxfId="4313" dataCellStyle="Comma"/>
    <tableColumn id="26" xr3:uid="{B516AEA1-DE61-49BA-AD79-BCB4366B59C6}" name="2014" dataDxfId="4312" dataCellStyle="Comma"/>
    <tableColumn id="27" xr3:uid="{2D44683F-6357-4409-96F2-559DE6041E79}" name="2015" dataDxfId="4311" dataCellStyle="Comma"/>
    <tableColumn id="28" xr3:uid="{6E5DCC65-2E45-4BBD-BE00-42913EEA490D}" name="2016" dataDxfId="4310" dataCellStyle="Comma"/>
    <tableColumn id="29" xr3:uid="{80E4C3D0-54C0-43BB-BDE8-8E575083C278}" name="2017" dataDxfId="4309" dataCellStyle="Comma"/>
    <tableColumn id="30" xr3:uid="{7ABF0751-5FA7-4CA1-AB4D-8C251EE7A321}" name="2018" dataDxfId="4308" dataCellStyle="Comma"/>
    <tableColumn id="31" xr3:uid="{EA2BB0F9-1777-4ED9-AE79-09BEBBCE05FA}" name="2019" dataDxfId="4307" dataCellStyle="Comma"/>
    <tableColumn id="32" xr3:uid="{7C11189A-90E9-487D-ACDD-6ECA82F505E7}" name="2020" dataDxfId="4306" dataCellStyle="Comma"/>
    <tableColumn id="33" xr3:uid="{A7AF063B-630E-4F35-A34A-ABB2560C7FF0}" name="2021" dataDxfId="4305" dataCellStyle="Comma"/>
    <tableColumn id="34" xr3:uid="{A82599F1-0FAE-410D-B35C-B63E2E4BCBD6}" name="2022" dataDxfId="4304" dataCellStyle="Comma"/>
    <tableColumn id="35" xr3:uid="{E33B6AD3-9D15-4464-BCAC-D754502F189C}" name="2023" dataDxfId="4303" dataCellStyle="Comma"/>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3358DA5-BDB3-4EA6-BFC3-C35BDE16568A}" name="AdditionalIndustrialNaturalGasCH4andN2OMMTCO2e" displayName="AdditionalIndustrialNaturalGasCH4andN2OMMTCO2e" ref="A95:AI100" totalsRowShown="0" headerRowDxfId="4302" dataDxfId="4301">
  <autoFilter ref="A95:AI100" xr:uid="{93358DA5-BDB3-4EA6-BFC3-C35BDE16568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2F310817-795F-4734-9D39-BC404646D721}" name="fuel consumption data and emissions" dataDxfId="4300"/>
    <tableColumn id="2" xr3:uid="{5C50C60F-02C1-4F66-94F6-2FE2E81987D5}" name="1990" dataDxfId="4299"/>
    <tableColumn id="3" xr3:uid="{9B52E11B-5585-4AF4-B32B-93376B2C5587}" name="1991" dataDxfId="4298"/>
    <tableColumn id="4" xr3:uid="{189A0B38-454F-4381-9C66-AF82D5AE0C9E}" name="1992" dataDxfId="4297"/>
    <tableColumn id="5" xr3:uid="{EB0EAC62-D429-40A1-8D93-AE35BF9F8346}" name="1993" dataDxfId="4296"/>
    <tableColumn id="6" xr3:uid="{E22CB952-ECD1-42ED-9649-B9D34D8A7567}" name="1994" dataDxfId="4295"/>
    <tableColumn id="7" xr3:uid="{D7D625DE-B1FC-4581-BD66-F788D5FFE7E3}" name="1995" dataDxfId="4294"/>
    <tableColumn id="8" xr3:uid="{1A517EC3-1B16-4FFF-AED2-FA7EF4B63614}" name="1996" dataDxfId="4293"/>
    <tableColumn id="9" xr3:uid="{428EC206-946C-4366-8679-C454CDC20BB0}" name="1997" dataDxfId="4292"/>
    <tableColumn id="10" xr3:uid="{C8ABBFA7-C4EC-4E4C-913A-4BFF936AAC29}" name="1998" dataDxfId="4291"/>
    <tableColumn id="11" xr3:uid="{0B2524C6-B1AE-4446-B5AA-AB0CBC7E4442}" name="1999" dataDxfId="4290"/>
    <tableColumn id="12" xr3:uid="{76E68DAB-5A08-439C-9472-C90F2D0EB819}" name="2000" dataDxfId="4289"/>
    <tableColumn id="13" xr3:uid="{6F3EA080-03A3-49E0-831B-378F0F54C9AF}" name="2001" dataDxfId="4288"/>
    <tableColumn id="14" xr3:uid="{DF3B7289-F1FC-47FD-92FA-BCBC8D37899B}" name="2002" dataDxfId="4287"/>
    <tableColumn id="15" xr3:uid="{33D8D6E4-201D-4E23-9841-C5373B3EA9CB}" name="2003" dataDxfId="4286"/>
    <tableColumn id="16" xr3:uid="{E60CD23E-0434-4BD1-8B07-421ABE963C8B}" name="2004" dataDxfId="4285"/>
    <tableColumn id="17" xr3:uid="{378EA2F1-1654-49CB-AFDD-B19804285F8F}" name="2005" dataDxfId="4284"/>
    <tableColumn id="18" xr3:uid="{53C5219E-9FDD-4E90-8F08-6AB180AC7C55}" name="2006" dataDxfId="4283"/>
    <tableColumn id="19" xr3:uid="{DC6913A0-9D26-4E27-BF1C-64C91FD2F2BA}" name="2007" dataDxfId="4282"/>
    <tableColumn id="20" xr3:uid="{8D64A1C9-1388-493C-B5D2-8D8B35D541BF}" name="2008" dataDxfId="4281"/>
    <tableColumn id="21" xr3:uid="{F087E0A0-9852-4FF0-AF9A-6B960D727EF0}" name="2009" dataDxfId="4280"/>
    <tableColumn id="22" xr3:uid="{F12AA35E-D06E-4273-BF35-245621F4D715}" name="2010" dataDxfId="4279"/>
    <tableColumn id="23" xr3:uid="{B345B06A-013F-4378-A4A9-76129D3D1A0A}" name="2011" dataDxfId="4278"/>
    <tableColumn id="24" xr3:uid="{00A2850C-82A3-4405-A5B1-F52F720715B6}" name="2012" dataDxfId="4277"/>
    <tableColumn id="25" xr3:uid="{B2D33433-F8FE-4100-8201-33964ABA6798}" name="2013" dataDxfId="4276"/>
    <tableColumn id="26" xr3:uid="{60C9EAD6-B179-4BA3-9B97-895F342DAEC1}" name="2014" dataDxfId="4275"/>
    <tableColumn id="27" xr3:uid="{D00DF234-1164-4805-9DB7-986F0291973C}" name="2015" dataDxfId="4274"/>
    <tableColumn id="28" xr3:uid="{CE43A77A-71C3-46F2-B1A3-381E093394CB}" name="2016" dataDxfId="4273"/>
    <tableColumn id="29" xr3:uid="{1802F7DC-3D3C-4A6E-968C-E019793FD040}" name="2017" dataDxfId="4272"/>
    <tableColumn id="30" xr3:uid="{1A33A034-0DDF-40F9-9648-4C4B573B05A5}" name="2018" dataDxfId="4271"/>
    <tableColumn id="31" xr3:uid="{A1D2B371-C3EE-4F7A-9572-A809D443A863}" name="2019" dataDxfId="4270"/>
    <tableColumn id="32" xr3:uid="{D28D9118-F09E-4BAA-8604-C47C33B2422F}" name="2020" dataDxfId="4269"/>
    <tableColumn id="33" xr3:uid="{C7A1D566-73A2-430A-BE54-9D2BFC34A6F9}" name="2021" dataDxfId="4268"/>
    <tableColumn id="34" xr3:uid="{F3BAEF62-D592-4C04-AE6F-463EA9F3E316}" name="2022" dataDxfId="4267"/>
    <tableColumn id="35" xr3:uid="{A97B5408-9703-40EE-9C5F-2A087E97BA3E}" name="2023" dataDxfId="4266"/>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842AB36-13D2-499B-8030-8FC93DB11044}" name="SummaryDatafromEPASITStationaryCH4nadN2OMMTCO2e" displayName="SummaryDatafromEPASITStationaryCH4nadN2OMMTCO2e" ref="A41:AI55" totalsRowShown="0" headerRowDxfId="4265" dataDxfId="4263" headerRowBorderDxfId="4264" tableBorderDxfId="4262" dataCellStyle="Comma 2">
  <autoFilter ref="A41:AI55" xr:uid="{E842AB36-13D2-499B-8030-8FC93DB1104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03281911-5A75-4208-AC12-1EF87796B0F7}" name="Sector/Gas" dataDxfId="4261"/>
    <tableColumn id="2" xr3:uid="{A26DDA83-EC1F-4C30-B3F1-8B8C41C9524F}" name="1990" dataDxfId="4260" dataCellStyle="Comma"/>
    <tableColumn id="3" xr3:uid="{CAD48979-F2A5-4C71-B165-BD15F16DB2DE}" name="1991" dataDxfId="4259" dataCellStyle="Comma"/>
    <tableColumn id="4" xr3:uid="{3DC79ADC-320C-41D8-B7B8-A4C49E5C3499}" name="1992" dataDxfId="4258" dataCellStyle="Comma"/>
    <tableColumn id="5" xr3:uid="{345A1101-1888-4173-A2D8-2520B4AD6323}" name="1993" dataDxfId="4257" dataCellStyle="Comma"/>
    <tableColumn id="6" xr3:uid="{D755CB53-FB6E-4D31-A67F-C638ED418A03}" name="1994" dataDxfId="4256" dataCellStyle="Comma"/>
    <tableColumn id="7" xr3:uid="{A7C42615-045D-4118-9AF1-F47D720EE224}" name="1995" dataDxfId="4255" dataCellStyle="Comma"/>
    <tableColumn id="8" xr3:uid="{82911D72-ED80-4D18-99E2-934653C90A67}" name="1996" dataDxfId="4254" dataCellStyle="Comma"/>
    <tableColumn id="9" xr3:uid="{503DBAE3-BEC0-4A49-98B2-F08C89D05FE9}" name="1997" dataDxfId="4253" dataCellStyle="Comma"/>
    <tableColumn id="10" xr3:uid="{8E15DA4C-5CBF-471D-8469-5551FC97A232}" name="1998" dataDxfId="4252" dataCellStyle="Comma"/>
    <tableColumn id="11" xr3:uid="{FB180B6A-0A2C-4FA3-B598-6883A17E0B2B}" name="1999" dataDxfId="4251" dataCellStyle="Comma"/>
    <tableColumn id="12" xr3:uid="{95388DD2-B37B-446E-AD89-B6B8FF896C8C}" name="2000" dataDxfId="4250" dataCellStyle="Comma"/>
    <tableColumn id="13" xr3:uid="{D0BE615E-844D-4321-98BD-1BD260674D52}" name="2001" dataDxfId="4249" dataCellStyle="Comma"/>
    <tableColumn id="14" xr3:uid="{6CE3C6F8-1B99-4709-BC0F-6FE84C9890D9}" name="2002" dataDxfId="4248" dataCellStyle="Comma"/>
    <tableColumn id="15" xr3:uid="{A5C2E075-2A8A-433B-B259-7BD9BF4F6559}" name="2003" dataDxfId="4247" dataCellStyle="Comma"/>
    <tableColumn id="16" xr3:uid="{8713A33D-4BC0-493A-B7CA-AD030F823BFA}" name="2004" dataDxfId="4246" dataCellStyle="Comma"/>
    <tableColumn id="17" xr3:uid="{B8B2863D-7331-4CA7-B21D-70F24444F841}" name="2005" dataDxfId="4245" dataCellStyle="Comma"/>
    <tableColumn id="18" xr3:uid="{1F56B4AE-CBB2-46E5-91FB-10F5E13DD5B6}" name="2006" dataDxfId="4244" dataCellStyle="Comma"/>
    <tableColumn id="19" xr3:uid="{5B9E54C7-70AE-492A-903F-E7EA73CC4019}" name="2007" dataDxfId="4243" dataCellStyle="Comma"/>
    <tableColumn id="20" xr3:uid="{6ACAC8C4-DCD4-41E6-A237-9B00816FEBC0}" name="2008" dataDxfId="4242" dataCellStyle="Comma"/>
    <tableColumn id="21" xr3:uid="{6A7CA249-3B67-43F0-BCFA-9981FE8F3EDB}" name="2009" dataDxfId="4241" dataCellStyle="Comma"/>
    <tableColumn id="22" xr3:uid="{1C5771AC-A7B4-462C-8F2F-30DC7F620358}" name="2010" dataDxfId="4240" dataCellStyle="Comma"/>
    <tableColumn id="23" xr3:uid="{19BA1AF4-72E6-4E64-9B58-6BD795C93D93}" name="2011" dataDxfId="4239" dataCellStyle="Comma"/>
    <tableColumn id="24" xr3:uid="{B8B9BE0A-05A6-4190-96B1-897247ED0588}" name="2012" dataDxfId="4238" dataCellStyle="Comma"/>
    <tableColumn id="25" xr3:uid="{51F58000-0BCD-4DCF-8B72-6F2622AA1E1B}" name="2013" dataDxfId="4237" dataCellStyle="Comma"/>
    <tableColumn id="26" xr3:uid="{EA896207-808A-4424-8086-835655BA8D63}" name="2014" dataDxfId="4236" dataCellStyle="Comma"/>
    <tableColumn id="27" xr3:uid="{9CB7E258-106C-488B-90F5-48F98FA6F850}" name="2015" dataDxfId="4235" dataCellStyle="Comma"/>
    <tableColumn id="28" xr3:uid="{224A2826-4A80-41D7-8553-D26DD1D30142}" name="2016" dataDxfId="4234" dataCellStyle="Comma"/>
    <tableColumn id="29" xr3:uid="{3DB0E838-2629-4581-B942-7770ACE252B8}" name="2017" dataDxfId="4233" dataCellStyle="Comma 2"/>
    <tableColumn id="30" xr3:uid="{5FAD5124-D1CA-4B63-B0E6-A7E7420C0D82}" name="2018" dataDxfId="4232" dataCellStyle="Comma 2"/>
    <tableColumn id="31" xr3:uid="{EB51DB62-0E2F-4376-9463-329C63FF44ED}" name="2019" dataDxfId="4231" dataCellStyle="Comma 2"/>
    <tableColumn id="32" xr3:uid="{9DFB1A9E-59AA-470E-8474-35F094940C3C}" name="2020" dataDxfId="4230" dataCellStyle="Comma 2"/>
    <tableColumn id="33" xr3:uid="{0C243EB8-860E-47F1-A633-469CCB080445}" name="2021" dataDxfId="4229" dataCellStyle="Comma 2"/>
    <tableColumn id="34" xr3:uid="{7C02F5C9-C168-4C3E-BE86-8937CA004052}" name="2022" dataDxfId="4228" dataCellStyle="Comma 2"/>
    <tableColumn id="35" xr3:uid="{7D12B681-352E-4078-9A48-FE0CDB0538EA}" name="2023" dataDxfId="4227" dataCellStyle="Comma 2"/>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CA812F7-6051-459C-9231-57D3FB3352BB}" name="SummaryDatafromBiogenicCombustionWorksheetCH4andN2OMMTCO2e" displayName="SummaryDatafromBiogenicCombustionWorksheetCH4andN2OMMTCO2e" ref="A58:AI72" totalsRowShown="0" headerRowDxfId="4226" dataDxfId="4224" headerRowBorderDxfId="4225" tableBorderDxfId="4223" dataCellStyle="Comma">
  <autoFilter ref="A58:AI72" xr:uid="{DCA812F7-6051-459C-9231-57D3FB3352B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CF83227C-12AE-4507-906F-41A0EA411BEF}" name="Sector/Gas" dataDxfId="4222"/>
    <tableColumn id="2" xr3:uid="{4D87A627-E6D7-4C40-8E98-07B11309A5DE}" name="1990" dataDxfId="4221" dataCellStyle="Comma"/>
    <tableColumn id="3" xr3:uid="{78A46782-4076-4F2A-84E7-76ABE335216D}" name="1991" dataDxfId="4220" dataCellStyle="Comma"/>
    <tableColumn id="4" xr3:uid="{99FAB9A3-5934-4412-A8EC-2668333C683C}" name="1992" dataDxfId="4219" dataCellStyle="Comma"/>
    <tableColumn id="5" xr3:uid="{86A26A5D-78F0-47CF-B0EE-3E23DA145C7E}" name="1993" dataDxfId="4218" dataCellStyle="Comma"/>
    <tableColumn id="6" xr3:uid="{70BD9CCB-A803-4170-8E2A-397E1BF9D601}" name="1994" dataDxfId="4217" dataCellStyle="Comma"/>
    <tableColumn id="7" xr3:uid="{6D46CA2A-F13A-4600-BD32-3895C0787180}" name="1995" dataDxfId="4216" dataCellStyle="Comma"/>
    <tableColumn id="8" xr3:uid="{E906F2A7-B845-4932-B391-1F26390D2F5A}" name="1996" dataDxfId="4215" dataCellStyle="Comma"/>
    <tableColumn id="9" xr3:uid="{CD2AD88E-A0CF-495A-9690-6F449CD618AF}" name="1997" dataDxfId="4214" dataCellStyle="Comma"/>
    <tableColumn id="10" xr3:uid="{B56F34A6-44CC-4817-B36B-9A09AEA07446}" name="1998" dataDxfId="4213" dataCellStyle="Comma"/>
    <tableColumn id="11" xr3:uid="{59F4E3A7-3A80-46A2-9F75-F1EDB6746BC6}" name="1999" dataDxfId="4212" dataCellStyle="Comma"/>
    <tableColumn id="12" xr3:uid="{63005D3A-4106-4AD7-9D60-8BD95549BCAC}" name="2000" dataDxfId="4211" dataCellStyle="Comma"/>
    <tableColumn id="13" xr3:uid="{8281E0FD-55D1-4BC6-BA78-B24E4A2523A5}" name="2001" dataDxfId="4210" dataCellStyle="Comma"/>
    <tableColumn id="14" xr3:uid="{29F66E84-41FD-4D03-ADA1-6659AFEE45DF}" name="2002" dataDxfId="4209" dataCellStyle="Comma"/>
    <tableColumn id="15" xr3:uid="{99239935-5B78-40B7-AEA6-2C685FEEF4E7}" name="2003" dataDxfId="4208" dataCellStyle="Comma"/>
    <tableColumn id="16" xr3:uid="{D9314B83-9BE4-4129-A083-699C76E6F85D}" name="2004" dataDxfId="4207" dataCellStyle="Comma"/>
    <tableColumn id="17" xr3:uid="{ED80F5FF-E29F-4BFE-9263-5BD98F3CF3E6}" name="2005" dataDxfId="4206" dataCellStyle="Comma"/>
    <tableColumn id="18" xr3:uid="{7F359584-A2E3-427D-B6DD-F76BCD11FAD8}" name="2006" dataDxfId="4205" dataCellStyle="Comma"/>
    <tableColumn id="19" xr3:uid="{89B6A318-E8F1-4F02-84CB-617ACB9F2B28}" name="2007" dataDxfId="4204" dataCellStyle="Comma"/>
    <tableColumn id="20" xr3:uid="{B4046ADD-C429-4B4B-B7AC-75FC9CA4FBCE}" name="2008" dataDxfId="4203" dataCellStyle="Comma"/>
    <tableColumn id="21" xr3:uid="{BE9D30E1-4B03-4C3B-8B5E-A3DD5C0E6AB7}" name="2009" dataDxfId="4202" dataCellStyle="Comma"/>
    <tableColumn id="22" xr3:uid="{07616344-F003-4709-90F8-52BB92E78325}" name="2010" dataDxfId="4201" dataCellStyle="Comma"/>
    <tableColumn id="23" xr3:uid="{2A1AED8D-1BDC-4334-8FC7-7E4E1D4A5F1B}" name="2011" dataDxfId="4200" dataCellStyle="Comma"/>
    <tableColumn id="24" xr3:uid="{00238B81-C8C7-451C-BC6E-8EA45901E84D}" name="2012" dataDxfId="4199" dataCellStyle="Comma"/>
    <tableColumn id="25" xr3:uid="{B97F4E47-B700-48D6-BE3F-9F86DA5E1761}" name="2013" dataDxfId="4198" dataCellStyle="Comma"/>
    <tableColumn id="26" xr3:uid="{66D7AF56-A261-470E-A0B5-9D6D86463219}" name="2014" dataDxfId="4197" dataCellStyle="Comma"/>
    <tableColumn id="27" xr3:uid="{F43D0E49-7F54-455E-B5A8-6D434353A0B5}" name="2015" dataDxfId="4196" dataCellStyle="Comma"/>
    <tableColumn id="28" xr3:uid="{F3B2D7A4-2198-4E35-A1FC-1E2398B925A4}" name="2016" dataDxfId="4195" dataCellStyle="Comma"/>
    <tableColumn id="29" xr3:uid="{43E0E710-DB38-4AC6-8EB0-9D2C35F966C0}" name="2017" dataDxfId="4194" dataCellStyle="Comma"/>
    <tableColumn id="30" xr3:uid="{F3C41E1E-D340-40C7-B648-64EBC7BF0BFD}" name="2018" dataDxfId="4193" dataCellStyle="Comma"/>
    <tableColumn id="31" xr3:uid="{06B7E7EA-691C-4847-ACCD-F020E1074E49}" name="2019" dataDxfId="4192" dataCellStyle="Comma"/>
    <tableColumn id="32" xr3:uid="{D10942D8-5616-4FDB-94D0-9F359C95A502}" name="2020" dataDxfId="4191" dataCellStyle="Comma"/>
    <tableColumn id="33" xr3:uid="{99E30E8C-A249-45F5-8776-38D7654F239C}" name="2021" dataDxfId="4190" dataCellStyle="Comma"/>
    <tableColumn id="34" xr3:uid="{192B4F2C-05CE-4DC6-BAE9-00086193AC96}" name="2022" dataDxfId="4189" dataCellStyle="Comma"/>
    <tableColumn id="35" xr3:uid="{60F472ED-9C49-41FE-93DE-3ACA0A0361E8}" name="2023" dataDxfId="4188" dataCellStyle="Comma"/>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DEEFDFCC-40FD-4989-8653-B56D56F39EF9}" name="CH4andN2OTotalsbySectorMMTCO2e" displayName="CH4andN2OTotalsbySectorMMTCO2e" ref="A75:AI89" totalsRowShown="0" headerRowDxfId="4187" dataDxfId="4185" headerRowBorderDxfId="4186" tableBorderDxfId="4184" dataCellStyle="Comma">
  <autoFilter ref="A75:AI89" xr:uid="{DEEFDFCC-40FD-4989-8653-B56D56F39E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1C3F3D17-8F77-43FC-806D-76945295017E}" name="Sector/Gas" dataDxfId="4183"/>
    <tableColumn id="2" xr3:uid="{EA6DC237-AB65-49AA-9B0D-00B067DA83C2}" name="1990" dataDxfId="4182" dataCellStyle="Comma">
      <calculatedColumnFormula>B42+B59</calculatedColumnFormula>
    </tableColumn>
    <tableColumn id="3" xr3:uid="{72B0105D-1744-46B2-B290-7F4CBFD9D5EA}" name="1991" dataDxfId="4181" dataCellStyle="Comma">
      <calculatedColumnFormula>C42+C59</calculatedColumnFormula>
    </tableColumn>
    <tableColumn id="4" xr3:uid="{A15F22C3-5BCC-40D3-9014-BC67B4BC841D}" name="1992" dataDxfId="4180" dataCellStyle="Comma">
      <calculatedColumnFormula>D42+D59</calculatedColumnFormula>
    </tableColumn>
    <tableColumn id="5" xr3:uid="{9A03E7EC-389A-4AEB-B81C-677EC2FD7FA8}" name="1993" dataDxfId="4179" dataCellStyle="Comma">
      <calculatedColumnFormula>E42+E59</calculatedColumnFormula>
    </tableColumn>
    <tableColumn id="6" xr3:uid="{77A271C1-4F0D-429F-BD7B-9931E158D083}" name="1994" dataDxfId="4178" dataCellStyle="Comma">
      <calculatedColumnFormula>F42+F59</calculatedColumnFormula>
    </tableColumn>
    <tableColumn id="7" xr3:uid="{705D1AE0-61F4-4B83-8053-C9163376AF6A}" name="1995" dataDxfId="4177" dataCellStyle="Comma">
      <calculatedColumnFormula>G42+G59</calculatedColumnFormula>
    </tableColumn>
    <tableColumn id="8" xr3:uid="{6CA9955C-FC53-4E19-968D-7F6B6642E964}" name="1996" dataDxfId="4176" dataCellStyle="Comma">
      <calculatedColumnFormula>H42+H59</calculatedColumnFormula>
    </tableColumn>
    <tableColumn id="9" xr3:uid="{CB431537-43F3-4BCD-9B6B-03406A10947B}" name="1997" dataDxfId="4175" dataCellStyle="Comma">
      <calculatedColumnFormula>I42+I59</calculatedColumnFormula>
    </tableColumn>
    <tableColumn id="10" xr3:uid="{5A545EF8-8947-4BEB-91F9-3F8BC53BCE9A}" name="1998" dataDxfId="4174" dataCellStyle="Comma">
      <calculatedColumnFormula>J42+J59</calculatedColumnFormula>
    </tableColumn>
    <tableColumn id="11" xr3:uid="{DC947365-19C8-4C10-9597-A7142236C5E1}" name="1999" dataDxfId="4173" dataCellStyle="Comma">
      <calculatedColumnFormula>K42+K59</calculatedColumnFormula>
    </tableColumn>
    <tableColumn id="12" xr3:uid="{299D6C39-3EE5-4C1F-B5D2-E13ED6E21221}" name="2000" dataDxfId="4172" dataCellStyle="Comma">
      <calculatedColumnFormula>L42+L59</calculatedColumnFormula>
    </tableColumn>
    <tableColumn id="13" xr3:uid="{DC715019-BEF4-46A2-9D42-B43871D84375}" name="2001" dataDxfId="4171" dataCellStyle="Comma">
      <calculatedColumnFormula>M42+M59</calculatedColumnFormula>
    </tableColumn>
    <tableColumn id="14" xr3:uid="{C3CB5AB1-7A46-4323-AC37-53BF1BF921C3}" name="2002" dataDxfId="4170" dataCellStyle="Comma">
      <calculatedColumnFormula>N42+N59</calculatedColumnFormula>
    </tableColumn>
    <tableColumn id="15" xr3:uid="{0CB1750D-834F-41D4-8FC8-0CD00564ADC5}" name="2003" dataDxfId="4169" dataCellStyle="Comma">
      <calculatedColumnFormula>O42+O59</calculatedColumnFormula>
    </tableColumn>
    <tableColumn id="16" xr3:uid="{E2F1E00A-6ADD-45D9-9DBB-C53774806FE3}" name="2004" dataDxfId="4168" dataCellStyle="Comma">
      <calculatedColumnFormula>P42+P59</calculatedColumnFormula>
    </tableColumn>
    <tableColumn id="17" xr3:uid="{1F57A06B-3BBA-4608-BC87-FF9710F78A86}" name="2005" dataDxfId="4167" dataCellStyle="Comma">
      <calculatedColumnFormula>Q42+Q59</calculatedColumnFormula>
    </tableColumn>
    <tableColumn id="18" xr3:uid="{27CFD2EB-24CF-4209-AECE-BC4957A71ED1}" name="2006" dataDxfId="4166" dataCellStyle="Comma">
      <calculatedColumnFormula>R42+R59</calculatedColumnFormula>
    </tableColumn>
    <tableColumn id="19" xr3:uid="{2FF4F37D-3E9C-4603-A3F2-5C4C4DE043A7}" name="2007" dataDxfId="4165" dataCellStyle="Comma">
      <calculatedColumnFormula>S42+S59</calculatedColumnFormula>
    </tableColumn>
    <tableColumn id="20" xr3:uid="{E3A1351F-3FB2-4B6D-AE4E-A8F6C02F528A}" name="2008" dataDxfId="4164" dataCellStyle="Comma">
      <calculatedColumnFormula>T42+T59</calculatedColumnFormula>
    </tableColumn>
    <tableColumn id="21" xr3:uid="{58803E20-4258-4C49-9C5E-D550295E5C1F}" name="2009" dataDxfId="4163" dataCellStyle="Comma">
      <calculatedColumnFormula>U42+U59</calculatedColumnFormula>
    </tableColumn>
    <tableColumn id="22" xr3:uid="{3ED51B69-CD47-408D-9D64-2BB9179210D8}" name="2010" dataDxfId="4162" dataCellStyle="Comma">
      <calculatedColumnFormula>V42+V59</calculatedColumnFormula>
    </tableColumn>
    <tableColumn id="23" xr3:uid="{029E1C4F-3297-40F0-9A45-A79E497CC136}" name="2011" dataDxfId="4161" dataCellStyle="Comma">
      <calculatedColumnFormula>W42+W59</calculatedColumnFormula>
    </tableColumn>
    <tableColumn id="24" xr3:uid="{8B921F2E-567B-4DEB-A69C-C97AF4B82E50}" name="2012" dataDxfId="4160" dataCellStyle="Comma">
      <calculatedColumnFormula>X42+X59</calculatedColumnFormula>
    </tableColumn>
    <tableColumn id="25" xr3:uid="{18FAF712-B654-4CB9-B5FE-FE84B3CFE681}" name="2013" dataDxfId="4159" dataCellStyle="Comma">
      <calculatedColumnFormula>Y42+Y59</calculatedColumnFormula>
    </tableColumn>
    <tableColumn id="26" xr3:uid="{0B5A46D8-9D5D-4BD4-A9D1-6A192B8BC0F4}" name="2014" dataDxfId="4158" dataCellStyle="Comma">
      <calculatedColumnFormula>Z42+Z59</calculatedColumnFormula>
    </tableColumn>
    <tableColumn id="27" xr3:uid="{C1AFBCA9-557D-44E7-8BA5-5DF1456745F7}" name="2015" dataDxfId="4157" dataCellStyle="Comma">
      <calculatedColumnFormula>AA42+AA59</calculatedColumnFormula>
    </tableColumn>
    <tableColumn id="28" xr3:uid="{E7CE1414-7A48-47A4-8F10-F04EB9B24B3D}" name="2016" dataDxfId="4156" dataCellStyle="Comma">
      <calculatedColumnFormula>AB42+AB59</calculatedColumnFormula>
    </tableColumn>
    <tableColumn id="29" xr3:uid="{69377F96-5B31-4B39-9045-1CDEF6ACE998}" name="2017" dataDxfId="4155" dataCellStyle="Comma">
      <calculatedColumnFormula>AC42+AC59</calculatedColumnFormula>
    </tableColumn>
    <tableColumn id="30" xr3:uid="{3DA8B3F3-F3A5-43CA-B65E-E6F7E0284CF0}" name="2018" dataDxfId="4154" dataCellStyle="Comma">
      <calculatedColumnFormula>AD42+AD59</calculatedColumnFormula>
    </tableColumn>
    <tableColumn id="31" xr3:uid="{91F4A1AF-71E2-4388-87D8-9061AF3E00EB}" name="2019" dataDxfId="4153" dataCellStyle="Comma">
      <calculatedColumnFormula>AE42+AE59</calculatedColumnFormula>
    </tableColumn>
    <tableColumn id="32" xr3:uid="{34276FDC-64F5-40B5-8E68-9885D0CEC37C}" name="2020" dataDxfId="4152" dataCellStyle="Comma">
      <calculatedColumnFormula>AF42+AF59</calculatedColumnFormula>
    </tableColumn>
    <tableColumn id="33" xr3:uid="{82563363-53D8-4787-8AAA-8A887B469ADA}" name="2021" dataDxfId="4151" dataCellStyle="Comma">
      <calculatedColumnFormula>AG42+AG59</calculatedColumnFormula>
    </tableColumn>
    <tableColumn id="34" xr3:uid="{4FA25CE2-7720-4A8D-95E1-5C952F5B2115}" name="2022" dataDxfId="4150" dataCellStyle="Comma">
      <calculatedColumnFormula>AH42+AH59</calculatedColumnFormula>
    </tableColumn>
    <tableColumn id="35" xr3:uid="{1B5688FE-6E9B-4B28-8AFA-27E6D42FC33D}" name="2023" dataDxfId="4149" dataCellStyle="Comma">
      <calculatedColumnFormula>AI42+AI59</calculatedColumnFormula>
    </tableColumn>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3" xr:uid="{F8160744-A8DC-4796-B146-B5551888D44D}" name="DATAforStationaryCH4andN2O" displayName="DATAforStationaryCH4andN2O" ref="A24:D27" totalsRowShown="0" headerRowDxfId="4148" headerRowBorderDxfId="4147" tableBorderDxfId="4146">
  <autoFilter ref="A24:D27" xr:uid="{F8160744-A8DC-4796-B146-B5551888D44D}">
    <filterColumn colId="0" hiddenButton="1"/>
    <filterColumn colId="1" hiddenButton="1"/>
    <filterColumn colId="2" hiddenButton="1"/>
    <filterColumn colId="3" hiddenButton="1"/>
  </autoFilter>
  <tableColumns count="4">
    <tableColumn id="1" xr3:uid="{E0FE86D3-1BBF-43CD-8D7E-E6E7F8413F39}" name="Year(s)"/>
    <tableColumn id="2" xr3:uid="{BD50BB77-B575-49B9-B5EA-09AD86F00A3C}" name="Data Source"/>
    <tableColumn id="3" xr3:uid="{AFB0CDCE-83F7-40D0-B73A-3351A2C08BA0}" name="Version"/>
    <tableColumn id="4" xr3:uid="{EAE1F934-57A5-410E-9F36-9F42CA39FAC5}" name="Update Date"/>
  </tableColumns>
  <tableStyleInfo name="TableStyleLight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9" xr:uid="{51534941-4A3B-41BF-A885-83A8A599E32A}" name="StationaryEmissionFactorsforNGUseByNGCompanies" displayName="StationaryEmissionFactorsforNGUseByNGCompanies" ref="A103:B106" totalsRowShown="0" dataDxfId="4145">
  <autoFilter ref="A103:B106" xr:uid="{51534941-4A3B-41BF-A885-83A8A599E32A}"/>
  <tableColumns count="2">
    <tableColumn id="1" xr3:uid="{62FF6B6D-DF74-49D7-A6A2-BE1C7153AC6A}" name="Item" dataDxfId="4144"/>
    <tableColumn id="2" xr3:uid="{A0C79734-BA92-4E03-B168-C342432556B3}" name="Value" dataDxfId="4143"/>
  </tableColumns>
  <tableStyleInfo name="TableStyleLight1"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5E5115BD-D323-4BBC-879F-9E1A8714196A}" name="TotalCH4andN2OEmissionsfromMobileSourcesMTCO2e" displayName="TotalCH4andN2OEmissionsfromMobileSourcesMTCO2e" ref="A20:AI43" totalsRowShown="0" headerRowDxfId="4142" dataDxfId="4140" headerRowBorderDxfId="4141" tableBorderDxfId="4139" headerRowCellStyle="Comma" dataCellStyle="Comma">
  <autoFilter ref="A20:AI43" xr:uid="{5E5115BD-D323-4BBC-879F-9E1A871419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ADC25B28-D81F-48FC-9E2B-BC6F47096D90}" name="Fuel Type/Vehicle Type" dataDxfId="4138"/>
    <tableColumn id="2" xr3:uid="{1CBCBA74-6C3E-4717-BFBC-B0BF2D65D0C1}" name="1990" dataDxfId="4137" dataCellStyle="Comma"/>
    <tableColumn id="3" xr3:uid="{34AD7029-08C8-479F-8731-AFE2B71194C8}" name="1991" dataDxfId="4136" dataCellStyle="Comma"/>
    <tableColumn id="4" xr3:uid="{94B0AC9F-0196-4B11-8C2B-E73FFA623B0F}" name="1992" dataDxfId="4135" dataCellStyle="Comma"/>
    <tableColumn id="5" xr3:uid="{88D0D8B0-1BE1-4F48-BF5E-EF084DBAB680}" name="1993" dataDxfId="4134" dataCellStyle="Comma"/>
    <tableColumn id="6" xr3:uid="{80830EA5-161A-4897-A36C-0DFD61E3224B}" name="1994" dataDxfId="4133" dataCellStyle="Comma"/>
    <tableColumn id="7" xr3:uid="{45C277C8-D954-4FFD-BBFE-1CFA10D421D1}" name="1995" dataDxfId="4132" dataCellStyle="Comma"/>
    <tableColumn id="8" xr3:uid="{FF5A8C34-5EC4-4CA9-8B03-FF4103DFCC04}" name="1996" dataDxfId="4131" dataCellStyle="Comma"/>
    <tableColumn id="9" xr3:uid="{3B84EEC4-4238-4447-A745-AE124664C7AE}" name="1997" dataDxfId="4130" dataCellStyle="Comma"/>
    <tableColumn id="10" xr3:uid="{A6A7219D-0EC6-43C9-BF61-F780A12396B6}" name="1998" dataDxfId="4129" dataCellStyle="Comma"/>
    <tableColumn id="11" xr3:uid="{8B9CFE10-DF65-4D88-B141-71AEEFEF192A}" name="1999" dataDxfId="4128" dataCellStyle="Comma"/>
    <tableColumn id="12" xr3:uid="{689D14D3-ABEC-40AC-B5C0-14E58C7FEA35}" name="2000" dataDxfId="4127" dataCellStyle="Comma"/>
    <tableColumn id="13" xr3:uid="{4C0FE31F-7F4F-458B-A749-7CFCC2482EF5}" name="2001" dataDxfId="4126" dataCellStyle="Comma"/>
    <tableColumn id="14" xr3:uid="{1E023F75-1226-49C3-999C-3B5BCE1EDB75}" name="2002" dataDxfId="4125" dataCellStyle="Comma"/>
    <tableColumn id="15" xr3:uid="{B3800650-5AC3-43FE-BC19-96A84516E6BE}" name="2003" dataDxfId="4124" dataCellStyle="Comma"/>
    <tableColumn id="16" xr3:uid="{1150E7B6-F336-4286-A83F-C4C44764AE37}" name="2004" dataDxfId="4123" dataCellStyle="Comma"/>
    <tableColumn id="17" xr3:uid="{E5E37BD6-348B-4B9D-AB17-7ED42EF94EA0}" name="2005" dataDxfId="4122" dataCellStyle="Comma"/>
    <tableColumn id="18" xr3:uid="{BBAC16FA-5C54-4DA3-9B37-5449E1A18AB4}" name="2006" dataDxfId="4121" dataCellStyle="Comma"/>
    <tableColumn id="19" xr3:uid="{FC716E7C-1986-4EA8-8A28-34676AAB33B6}" name="2007" dataDxfId="4120" dataCellStyle="Comma"/>
    <tableColumn id="20" xr3:uid="{28B0FF22-56B5-40C9-817A-817FFBC26FE4}" name="2008" dataDxfId="4119" dataCellStyle="Comma"/>
    <tableColumn id="21" xr3:uid="{00975831-9DC1-427E-86F2-9F2CB4039313}" name="2009" dataDxfId="4118" dataCellStyle="Comma"/>
    <tableColumn id="22" xr3:uid="{DFEAAB64-2AD4-4B79-A8C4-AC697B6EBE59}" name="2010" dataDxfId="4117" dataCellStyle="Comma"/>
    <tableColumn id="23" xr3:uid="{99EF1DD8-44D5-4CA5-AAEC-F5B0CC27610C}" name="2011" dataDxfId="4116" dataCellStyle="Comma"/>
    <tableColumn id="24" xr3:uid="{70E65EB8-618C-42F0-AC66-5E12E5FFF09E}" name="2012" dataDxfId="4115" dataCellStyle="Comma"/>
    <tableColumn id="25" xr3:uid="{B412D3F1-FB02-40B1-8B50-343B628C1590}" name="2013" dataDxfId="4114" dataCellStyle="Comma"/>
    <tableColumn id="26" xr3:uid="{28B18133-B722-445F-A436-8643ADE269FE}" name="2014" dataDxfId="4113" dataCellStyle="Comma"/>
    <tableColumn id="27" xr3:uid="{69300A42-877F-4F9E-BEB4-3FA2DCFC8F84}" name="2015" dataDxfId="4112" dataCellStyle="Comma"/>
    <tableColumn id="28" xr3:uid="{E191B35F-D48F-43EF-A71A-68E01D1EF149}" name="2016" dataDxfId="4111" dataCellStyle="Comma"/>
    <tableColumn id="29" xr3:uid="{640209C4-FC9B-4FB8-B62B-06C93C908DFD}" name="2017" dataDxfId="4110" dataCellStyle="Comma"/>
    <tableColumn id="30" xr3:uid="{93C51789-EE40-4060-8AC1-7518A2C1A9B4}" name="2018" dataDxfId="4109" dataCellStyle="Comma"/>
    <tableColumn id="31" xr3:uid="{702E6696-4FD8-439C-9983-3950BD7D3E3E}" name="2019" dataDxfId="4108" dataCellStyle="Comma"/>
    <tableColumn id="32" xr3:uid="{E0F52B10-C0A0-42D8-B6C2-75BA592B5E1F}" name="2020" dataDxfId="4107" dataCellStyle="Comma"/>
    <tableColumn id="33" xr3:uid="{9B6FE15F-9555-4CD8-BB26-BB824151707E}" name="2021" dataDxfId="4106" dataCellStyle="Comma"/>
    <tableColumn id="34" xr3:uid="{3CAD5927-F3C0-4FD8-9C3C-DB73AFCD33D3}" name="2022" dataDxfId="4105" dataCellStyle="Comma"/>
    <tableColumn id="35" xr3:uid="{D5BE76E5-28EE-4978-A29B-F2B762B1F26C}" name="2023" dataDxfId="4104" dataCellStyle="Comma"/>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99C2C794-C385-4A11-898A-223A51BDB13A}" name="MAAlternateEmissionsSummary" displayName="MAAlternateEmissionsSummary" ref="A67:AP84" totalsRowShown="0" headerRowDxfId="5262" headerRowBorderDxfId="5261">
  <autoFilter ref="A67:AP84" xr:uid="{99C2C794-C385-4A11-898A-223A51BDB13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autoFilter>
  <tableColumns count="42">
    <tableColumn id="1" xr3:uid="{1FB3EB8F-AC77-4EB3-9248-87BD23303CAA}" name="Sector"/>
    <tableColumn id="2" xr3:uid="{112B227B-3FB9-484C-97CE-6978290CF6E6}" name="1990" dataDxfId="5260"/>
    <tableColumn id="3" xr3:uid="{486A4B88-F547-48A3-89F1-5B6F1B105D88}" name="1991" dataDxfId="5259"/>
    <tableColumn id="4" xr3:uid="{E0F979A7-1E32-462D-8338-9204B624A043}" name="1992" dataDxfId="5258"/>
    <tableColumn id="5" xr3:uid="{58E7630E-8146-48F2-8B5C-D61F51E9D9D4}" name="1993" dataDxfId="5257"/>
    <tableColumn id="6" xr3:uid="{0D63C7BF-4A4D-4AEC-9B13-9E82D54413A7}" name="1994" dataDxfId="5256"/>
    <tableColumn id="7" xr3:uid="{C8FE1F6E-530C-4926-AE26-454672495DD7}" name="1995" dataDxfId="5255"/>
    <tableColumn id="8" xr3:uid="{4A975BB7-19D8-4A92-B4F7-FAB71F26B658}" name="1996" dataDxfId="5254"/>
    <tableColumn id="9" xr3:uid="{37C22C98-FEA4-446D-85CC-DC7AECAA674F}" name="1997" dataDxfId="5253"/>
    <tableColumn id="10" xr3:uid="{5B1C5114-24F1-4CFB-9B13-3CD0D65723AC}" name="1998" dataDxfId="5252"/>
    <tableColumn id="11" xr3:uid="{2741F4D6-89B3-41B3-B580-9DD0143B2A36}" name="1999" dataDxfId="5251"/>
    <tableColumn id="12" xr3:uid="{E3AF03B0-1BE5-4FC5-82FE-60982315B52E}" name="2000" dataDxfId="5250"/>
    <tableColumn id="13" xr3:uid="{AE4CC69B-CDCE-4511-841A-DEB14ECF3271}" name="2001" dataDxfId="5249"/>
    <tableColumn id="14" xr3:uid="{08FAAA8F-58DD-4201-840C-0FA16777A48E}" name="2002" dataDxfId="5248"/>
    <tableColumn id="15" xr3:uid="{243A19D1-165B-48D9-82FB-572DD1615BFB}" name="2003" dataDxfId="5247"/>
    <tableColumn id="16" xr3:uid="{09730AA7-2B6D-4691-B0DF-26A7284ED6C0}" name="2004" dataDxfId="5246"/>
    <tableColumn id="17" xr3:uid="{763EFB4E-3455-4132-B691-CE88F6B64F63}" name="2005" dataDxfId="5245"/>
    <tableColumn id="18" xr3:uid="{61277369-73E0-4DD2-B27C-83EDD4D27813}" name="2006" dataDxfId="5244"/>
    <tableColumn id="19" xr3:uid="{3E5B4B94-9423-41AA-8615-26E0E94A17B0}" name="2007" dataDxfId="5243"/>
    <tableColumn id="20" xr3:uid="{75D8EF9A-B85B-47F7-8892-4B1DD9031943}" name="2008" dataDxfId="5242"/>
    <tableColumn id="21" xr3:uid="{0BF50D4B-C27E-4B83-AE5F-E92485CC6BAB}" name="2009" dataDxfId="5241"/>
    <tableColumn id="22" xr3:uid="{F62AD33E-0AF9-4025-A3DE-286CED63E5ED}" name="2010" dataDxfId="5240"/>
    <tableColumn id="23" xr3:uid="{AB65C95F-6614-4A6C-A74F-6E5202DDD588}" name="2011" dataDxfId="5239"/>
    <tableColumn id="24" xr3:uid="{8BF7C814-59E1-49ED-91A6-D8B0739B5A02}" name="2012" dataDxfId="5238"/>
    <tableColumn id="25" xr3:uid="{1783A50E-33B5-48C8-B8B6-FF6C8C0D71D5}" name="2013" dataDxfId="5237"/>
    <tableColumn id="26" xr3:uid="{76B1F6A5-1928-47EF-B5F6-CBB406244724}" name="2014" dataDxfId="5236"/>
    <tableColumn id="27" xr3:uid="{FC4345BA-1332-4205-B9BF-20352642958D}" name="2015" dataDxfId="5235"/>
    <tableColumn id="28" xr3:uid="{726CFF62-9330-452D-98DC-9A4FB60F1E33}" name="2016" dataDxfId="5234"/>
    <tableColumn id="29" xr3:uid="{D57B1F2B-86A8-4965-A6EB-65AB61A2D41C}" name="2017" dataDxfId="5233"/>
    <tableColumn id="30" xr3:uid="{D4968DD1-5C10-442D-B399-032148F21D82}" name="2018" dataDxfId="5232"/>
    <tableColumn id="31" xr3:uid="{3F811939-82B3-4267-B3B6-30E4CDE6BE72}" name="2019" dataDxfId="5231"/>
    <tableColumn id="32" xr3:uid="{0C4E2D28-B5DC-49F9-90C0-E5BAA53BAD73}" name="2020" dataDxfId="5230"/>
    <tableColumn id="33" xr3:uid="{059ABF21-182D-4F05-B63D-62CBC131ECEE}" name="2021" dataDxfId="5229"/>
    <tableColumn id="34" xr3:uid="{C8EA76CA-1E79-485A-A47F-6C196E544B31}" name="2022" dataDxfId="5228"/>
    <tableColumn id="35" xr3:uid="{0631CDB7-0CB6-4567-B68C-6A94A1115CAA}" name="2023" dataDxfId="5227"/>
    <tableColumn id="36" xr3:uid="{30C1CA52-4FF1-42D2-A752-9D11C3CF38CA}" name="2024" dataDxfId="5226"/>
    <tableColumn id="37" xr3:uid="{AAF7ED9C-6EB1-42DF-ABA1-17411D511B1A}" name="2025" dataDxfId="5225"/>
    <tableColumn id="38" xr3:uid="{D5EF373F-1F6C-41DC-B1FC-24603DA8DB50}" name="2026"/>
    <tableColumn id="39" xr3:uid="{7F50D62E-E6B4-4C36-B6EC-C72EE26271AB}" name="2027"/>
    <tableColumn id="40" xr3:uid="{5E536967-88DC-4295-A270-4296A4B684E0}" name="2028"/>
    <tableColumn id="41" xr3:uid="{6CC12394-CBF4-4A6C-9F37-1A872AD0B94A}" name="2029"/>
    <tableColumn id="42" xr3:uid="{550E81B5-5060-466B-84E6-EE9BF2190E1A}" name="2030"/>
  </tableColumns>
  <tableStyleInfo name="TableStyleLight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362930F-27A3-4E5C-8600-B27734B419EE}" name="CH4EmissionsfromMobileSourcesMTCO2e" displayName="CH4EmissionsfromMobileSourcesMTCO2e" ref="A51:AI74" totalsRowShown="0" headerRowDxfId="4103" dataDxfId="4101" headerRowBorderDxfId="4102" tableBorderDxfId="4100" headerRowCellStyle="Comma" dataCellStyle="Comma">
  <autoFilter ref="A51:AI74" xr:uid="{0362930F-27A3-4E5C-8600-B27734B419E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8AE159A3-1B27-4178-BE72-CD340FD6374F}" name="Fuel Type/Vehicle Type" dataDxfId="4099"/>
    <tableColumn id="2" xr3:uid="{CB771909-FAF9-41C4-A886-FBB7E302927D}" name="1990" dataDxfId="4098" dataCellStyle="Comma"/>
    <tableColumn id="3" xr3:uid="{A5656D7C-FD7A-4D1B-92CC-1F016A2FEE25}" name="1991" dataDxfId="4097" dataCellStyle="Comma"/>
    <tableColumn id="4" xr3:uid="{7A857C5E-2CBA-4263-83C8-FC95AE221643}" name="1992" dataDxfId="4096" dataCellStyle="Comma"/>
    <tableColumn id="5" xr3:uid="{767119E1-4687-4768-9D9D-CFC992A527A6}" name="1993" dataDxfId="4095" dataCellStyle="Comma"/>
    <tableColumn id="6" xr3:uid="{39946233-2B89-4EA7-8836-DF213D6CC353}" name="1994" dataDxfId="4094" dataCellStyle="Comma"/>
    <tableColumn id="7" xr3:uid="{B2005A8B-A79A-4635-B26F-A0CE9B2B1108}" name="1995" dataDxfId="4093" dataCellStyle="Comma"/>
    <tableColumn id="8" xr3:uid="{32AA01B6-866F-4760-A0EC-D97ECB5A6261}" name="1996" dataDxfId="4092" dataCellStyle="Comma"/>
    <tableColumn id="9" xr3:uid="{63089C2E-8A33-4A5E-AA90-B2F5A1449338}" name="1997" dataDxfId="4091" dataCellStyle="Comma"/>
    <tableColumn id="10" xr3:uid="{02CE68D8-9DA1-4D03-A3B1-E5661828D31A}" name="1998" dataDxfId="4090" dataCellStyle="Comma"/>
    <tableColumn id="11" xr3:uid="{C8D94347-5820-44C6-B3C4-6FEB3A78FDCC}" name="1999" dataDxfId="4089" dataCellStyle="Comma"/>
    <tableColumn id="12" xr3:uid="{AC0AE95F-45CA-42E8-8D5F-575297D92526}" name="2000" dataDxfId="4088" dataCellStyle="Comma"/>
    <tableColumn id="13" xr3:uid="{7E7337F9-DB07-40B4-800F-96815E8F9788}" name="2001" dataDxfId="4087" dataCellStyle="Comma"/>
    <tableColumn id="14" xr3:uid="{515131A2-C43F-4CF7-91A5-9FC1504E42E1}" name="2002" dataDxfId="4086" dataCellStyle="Comma"/>
    <tableColumn id="15" xr3:uid="{97C74A6C-B310-47D1-B950-E48218A3AC81}" name="2003" dataDxfId="4085" dataCellStyle="Comma"/>
    <tableColumn id="16" xr3:uid="{F96A4CBB-87CF-4D4A-BA60-758B1BF9780C}" name="2004" dataDxfId="4084" dataCellStyle="Comma"/>
    <tableColumn id="17" xr3:uid="{89F31B6A-A255-4C91-8B55-FA0FF9EBC429}" name="2005" dataDxfId="4083" dataCellStyle="Comma"/>
    <tableColumn id="18" xr3:uid="{1AB03240-DF9F-47E3-8AB5-D99B1B54E88C}" name="2006" dataDxfId="4082" dataCellStyle="Comma"/>
    <tableColumn id="19" xr3:uid="{89365975-E950-4808-957A-7C0B60F40CC8}" name="2007" dataDxfId="4081" dataCellStyle="Comma"/>
    <tableColumn id="20" xr3:uid="{92B83310-77CA-493F-9CD6-D5D53F06AD67}" name="2008" dataDxfId="4080" dataCellStyle="Comma"/>
    <tableColumn id="21" xr3:uid="{18086168-88D2-4BAF-95B8-63D10E3FC17D}" name="2009" dataDxfId="4079" dataCellStyle="Comma"/>
    <tableColumn id="22" xr3:uid="{B2B11A54-F00F-4FCA-B773-CCFE4DA20F1A}" name="2010" dataDxfId="4078" dataCellStyle="Comma"/>
    <tableColumn id="23" xr3:uid="{906AD462-2AB9-4BA2-B318-F3B087B4A7A2}" name="2011" dataDxfId="4077" dataCellStyle="Comma"/>
    <tableColumn id="24" xr3:uid="{798D7886-A846-45B7-A786-7CAEC61489F6}" name="2012" dataDxfId="4076" dataCellStyle="Comma"/>
    <tableColumn id="25" xr3:uid="{EE213650-D9C7-491A-922D-ABF1EB633343}" name="2013" dataDxfId="4075" dataCellStyle="Comma"/>
    <tableColumn id="26" xr3:uid="{014FE656-D499-4A6E-A155-D2EA5C46A811}" name="2014" dataDxfId="4074" dataCellStyle="Comma"/>
    <tableColumn id="27" xr3:uid="{E2C8FFA9-374E-41E1-852E-B576CC7C2083}" name="2015" dataDxfId="4073" dataCellStyle="Comma"/>
    <tableColumn id="28" xr3:uid="{40ED181A-666B-46E2-AE35-9BAE16C8E593}" name="2016" dataDxfId="4072" dataCellStyle="Comma"/>
    <tableColumn id="29" xr3:uid="{A477AD13-6BC3-49F1-8C1A-9E01059D5C2B}" name="2017" dataDxfId="4071" dataCellStyle="Comma"/>
    <tableColumn id="30" xr3:uid="{0080A62C-248A-46D9-BE14-FAFC359093F8}" name="2018" dataDxfId="4070" dataCellStyle="Comma"/>
    <tableColumn id="31" xr3:uid="{FCE6271B-7E3C-42E7-A239-15E52DE5C009}" name="2019" dataDxfId="4069" dataCellStyle="Comma"/>
    <tableColumn id="32" xr3:uid="{847807AA-44F3-41EC-B6E1-D2246ACCBAB0}" name="2020" dataDxfId="4068" dataCellStyle="Comma"/>
    <tableColumn id="33" xr3:uid="{4894DEC3-EF9E-41B3-B9C5-0DBA7A8AC526}" name="2021" dataDxfId="4067" dataCellStyle="Comma"/>
    <tableColumn id="34" xr3:uid="{DA2D841B-3D37-4243-871A-DBF018308CA9}" name="2022" dataDxfId="4066" dataCellStyle="Comma"/>
    <tableColumn id="35" xr3:uid="{D148923A-95E7-41A8-A91E-CDBBB6A23311}" name="2023" dataDxfId="4065" dataCellStyle="Comma"/>
  </tableColumns>
  <tableStyleInfo name="TableStyleLight1"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5D73C06-B057-4323-A92A-B01812855888}" name="N2OEmissionsfromMobileSourcesMTCO2e" displayName="N2OEmissionsfromMobileSourcesMTCO2e" ref="A80:AI103" totalsRowShown="0" headerRowDxfId="4064" headerRowBorderDxfId="4063" tableBorderDxfId="4062" headerRowCellStyle="Comma">
  <autoFilter ref="A80:AI103" xr:uid="{65D73C06-B057-4323-A92A-B0181285588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F3DD4C74-06E4-4953-AD78-22C9585E8900}" name="Fuel Type/Vehicle Type" dataDxfId="4061"/>
    <tableColumn id="2" xr3:uid="{C25E1B7C-8052-458C-B726-3A94D36B11CA}" name="1990" dataDxfId="4060" dataCellStyle="Comma"/>
    <tableColumn id="3" xr3:uid="{C873D7F7-8D60-493E-BF3E-12E6D4A2C9D8}" name="1991" dataDxfId="4059" dataCellStyle="Comma"/>
    <tableColumn id="4" xr3:uid="{1C6D0FC5-5815-4B11-AEF2-212D6E82E0D0}" name="1992" dataDxfId="4058" dataCellStyle="Comma"/>
    <tableColumn id="5" xr3:uid="{111303E3-693C-4385-AB36-A912F4B5713A}" name="1993" dataDxfId="4057" dataCellStyle="Comma"/>
    <tableColumn id="6" xr3:uid="{AD4A12B7-F64E-4B9B-95AA-6F7DDD16DE80}" name="1994" dataDxfId="4056" dataCellStyle="Comma"/>
    <tableColumn id="7" xr3:uid="{EB2B9A91-169D-4CF5-963A-601F55C7E477}" name="1995" dataDxfId="4055" dataCellStyle="Comma"/>
    <tableColumn id="8" xr3:uid="{BD851F07-4CE9-4DEA-ACC7-43FEFC20D182}" name="1996" dataDxfId="4054" dataCellStyle="Comma"/>
    <tableColumn id="9" xr3:uid="{59D520CA-0D0D-4F16-841C-F6C4A3089120}" name="1997" dataDxfId="4053" dataCellStyle="Comma"/>
    <tableColumn id="10" xr3:uid="{8FC9CE62-83A8-4E10-AF6B-DFEC087E44C8}" name="1998" dataDxfId="4052" dataCellStyle="Comma"/>
    <tableColumn id="11" xr3:uid="{3F3B0FF6-7D76-4959-92A0-B18DD4E4DD47}" name="1999" dataDxfId="4051" dataCellStyle="Comma"/>
    <tableColumn id="12" xr3:uid="{5A639CC8-1B49-403E-BC07-9E1CE0D6630F}" name="2000" dataDxfId="4050" dataCellStyle="Comma"/>
    <tableColumn id="13" xr3:uid="{5F61FE69-2A21-408A-B798-BBDEE50006D5}" name="2001" dataDxfId="4049" dataCellStyle="Comma"/>
    <tableColumn id="14" xr3:uid="{F83046F8-AEA1-4E1D-B923-7872F2C74FD9}" name="2002" dataDxfId="4048" dataCellStyle="Comma"/>
    <tableColumn id="15" xr3:uid="{F102D232-67E5-4E69-816A-C500B03971C1}" name="2003" dataDxfId="4047" dataCellStyle="Comma"/>
    <tableColumn id="16" xr3:uid="{E66F95C7-6019-478A-BB24-4AF7B59508EB}" name="2004" dataDxfId="4046" dataCellStyle="Comma"/>
    <tableColumn id="17" xr3:uid="{7A30266E-D228-437C-9AFC-316F02CBC6C2}" name="2005" dataDxfId="4045" dataCellStyle="Comma"/>
    <tableColumn id="18" xr3:uid="{13451AD4-5966-44E6-87D6-2ECF20464E6A}" name="2006" dataDxfId="4044" dataCellStyle="Comma"/>
    <tableColumn id="19" xr3:uid="{A8755880-0B9F-41F3-815C-27EA920A4ECC}" name="2007" dataDxfId="4043" dataCellStyle="Comma"/>
    <tableColumn id="20" xr3:uid="{BF32AAD1-5ABD-477C-8425-55FB2BCB6C01}" name="2008" dataDxfId="4042" dataCellStyle="Comma"/>
    <tableColumn id="21" xr3:uid="{7349F712-293C-4710-8B27-B94F3C64DE26}" name="2009" dataDxfId="4041" dataCellStyle="Comma"/>
    <tableColumn id="22" xr3:uid="{85E9E495-29BD-48A4-A744-AA2C8E463C10}" name="2010" dataDxfId="4040" dataCellStyle="Comma"/>
    <tableColumn id="23" xr3:uid="{6210BB4F-9548-4116-971F-CC9F23F8ACD1}" name="2011" dataDxfId="4039" dataCellStyle="Comma"/>
    <tableColumn id="24" xr3:uid="{3C666019-961F-4A72-95DF-D1110C983BC4}" name="2012" dataDxfId="4038" dataCellStyle="Comma"/>
    <tableColumn id="25" xr3:uid="{EEC0B0BB-6ECE-48F1-97F0-398B91917208}" name="2013" dataDxfId="4037" dataCellStyle="Comma"/>
    <tableColumn id="26" xr3:uid="{82496C63-3925-4DE8-AF41-5480C95B3255}" name="2014" dataDxfId="4036" dataCellStyle="Comma"/>
    <tableColumn id="27" xr3:uid="{944A0603-319A-4BD9-9F99-B1EC7CFE6B72}" name="2015" dataDxfId="4035" dataCellStyle="Comma"/>
    <tableColumn id="28" xr3:uid="{505E880B-2071-4054-841E-686C56CAFB49}" name="2016" dataDxfId="4034" dataCellStyle="Comma"/>
    <tableColumn id="29" xr3:uid="{EE737F69-D857-4B17-B3B7-4238EABE616C}" name="2017" dataDxfId="4033" dataCellStyle="Comma"/>
    <tableColumn id="30" xr3:uid="{55F91514-D486-4641-8B85-865A07304A5B}" name="2018" dataDxfId="4032" dataCellStyle="Comma"/>
    <tableColumn id="31" xr3:uid="{EBCFC24C-0DC9-4007-A17A-6A0BDD82A52C}" name="2019" dataDxfId="4031" dataCellStyle="Comma"/>
    <tableColumn id="32" xr3:uid="{85B5A610-685B-41E9-9F7A-6E0A9FACD8AE}" name="2020" dataDxfId="4030" dataCellStyle="Comma"/>
    <tableColumn id="33" xr3:uid="{FFCDA67F-76BE-4757-A97C-D4D86529C30E}" name="2021" dataDxfId="4029" dataCellStyle="Comma"/>
    <tableColumn id="34" xr3:uid="{8F32FFA5-C022-428C-8925-4AF4F6309E9C}" name="2022" dataDxfId="4028" dataCellStyle="Comma"/>
    <tableColumn id="35" xr3:uid="{D0DBD5F7-93FD-4F3E-9BAA-2C51F7E55586}" name="2023"/>
  </tableColumns>
  <tableStyleInfo name="TableStyleLight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38830E72-AD9E-4264-A08C-4EEFE958AC3F}" name="DATAforMobileCH4andN2O" displayName="DATAforMobileCH4andN2O" ref="A6:D10" totalsRowShown="0" headerRowDxfId="4027" headerRowBorderDxfId="4026" tableBorderDxfId="4025">
  <autoFilter ref="A6:D10" xr:uid="{38830E72-AD9E-4264-A08C-4EEFE958AC3F}">
    <filterColumn colId="0" hiddenButton="1"/>
    <filterColumn colId="1" hiddenButton="1"/>
    <filterColumn colId="2" hiddenButton="1"/>
    <filterColumn colId="3" hiddenButton="1"/>
  </autoFilter>
  <tableColumns count="4">
    <tableColumn id="1" xr3:uid="{DE2F0A6F-98B1-4F26-93F8-314CBBCE704F}" name="Year(s)"/>
    <tableColumn id="2" xr3:uid="{0635AC3B-1BE5-41CA-8B1E-515E7E455E03}" name="Data Source"/>
    <tableColumn id="3" xr3:uid="{53C5BCFA-F56D-425C-B534-67DD66B9D88C}" name="Version"/>
    <tableColumn id="4" xr3:uid="{D53DE156-98E4-4527-A4C9-61460D7C3985}" name="Update Date"/>
  </tableColumns>
  <tableStyleInfo name="TableStyleLight1"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0" xr:uid="{F7D531BF-F6BB-4158-A189-BCEE03C5497A}" name="AviationCH4EmissionsByFuelTypeMTCO2e" displayName="AviationCH4EmissionsByFuelTypeMTCO2e" ref="A110:AI115" headerRowDxfId="4024" dataDxfId="4022" totalsRowDxfId="4020" headerRowBorderDxfId="4023" tableBorderDxfId="4021" headerRowCellStyle="Normal_State Transportation Module 02.13.02" dataCellStyle="Comma">
  <autoFilter ref="A110:AI115" xr:uid="{F7D531BF-F6BB-4158-A189-BCEE03C5497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98A0C9D9-6F1D-48F1-BD04-5F194ACE8AAC}" name="Fuel Type" totalsRowLabel="Total" dataDxfId="4019" totalsRowDxfId="4018" dataCellStyle="Normal_Non-highway"/>
    <tableColumn id="2" xr3:uid="{389E81BE-759D-47EF-A9DE-5ADEA673E47C}" name="1990 " dataDxfId="4017" totalsRowDxfId="4016" dataCellStyle="Comma"/>
    <tableColumn id="3" xr3:uid="{99698208-2105-44F9-A808-5A45C7C977D2}" name="1991 " dataDxfId="4015" totalsRowDxfId="4014" dataCellStyle="Comma"/>
    <tableColumn id="4" xr3:uid="{09B6148C-7395-40C5-8274-182FDE2A8B6D}" name="1992 " dataDxfId="4013" totalsRowDxfId="4012" dataCellStyle="Comma"/>
    <tableColumn id="5" xr3:uid="{6201D451-208C-4F47-913A-10F9C06474C0}" name="1993 " dataDxfId="4011" totalsRowDxfId="4010" dataCellStyle="Comma"/>
    <tableColumn id="6" xr3:uid="{78B4E1A3-4720-47B3-80E8-4F6CCFC02DF9}" name="1994 " dataDxfId="4009" totalsRowDxfId="4008" dataCellStyle="Comma"/>
    <tableColumn id="7" xr3:uid="{3A993E26-1E0B-40FB-B135-5543A87C5418}" name="1995 " dataDxfId="4007" totalsRowDxfId="4006" dataCellStyle="Comma"/>
    <tableColumn id="8" xr3:uid="{DE59FE14-ECBA-432C-A55D-003102CF6AC4}" name="1996 " dataDxfId="4005" totalsRowDxfId="4004" dataCellStyle="Comma"/>
    <tableColumn id="9" xr3:uid="{075589D7-2078-402E-B8B9-D0A451D59896}" name="1997 " dataDxfId="4003" totalsRowDxfId="4002" dataCellStyle="Comma"/>
    <tableColumn id="10" xr3:uid="{5545B825-8B30-442C-90BB-558801004595}" name="1998 " dataDxfId="4001" totalsRowDxfId="4000" dataCellStyle="Comma"/>
    <tableColumn id="11" xr3:uid="{78CA5778-AA3F-4517-871A-11B47EB272BA}" name="1999 " dataDxfId="3999" totalsRowDxfId="3998" dataCellStyle="Comma"/>
    <tableColumn id="12" xr3:uid="{4395BF3A-7D22-4393-B9C0-29627F969F6F}" name="2000 " dataDxfId="3997" totalsRowDxfId="3996" dataCellStyle="Comma"/>
    <tableColumn id="13" xr3:uid="{7D42BB99-FDB1-4F9F-88FD-F9D989266BE5}" name="2001 " dataDxfId="3995" totalsRowDxfId="3994" dataCellStyle="Comma"/>
    <tableColumn id="14" xr3:uid="{4CD31ADA-1DBB-45F9-B001-8F70C31644B1}" name="2002 " dataDxfId="3993" totalsRowDxfId="3992" dataCellStyle="Comma"/>
    <tableColumn id="15" xr3:uid="{94F61F8D-0708-4A46-AC86-50E9B0984BD1}" name="2003 " dataDxfId="3991" totalsRowDxfId="3990" dataCellStyle="Comma"/>
    <tableColumn id="16" xr3:uid="{31935E7A-F22D-4EA4-BC44-4E9AC9968217}" name="2004 " dataDxfId="3989" totalsRowDxfId="3988" dataCellStyle="Comma"/>
    <tableColumn id="17" xr3:uid="{3DBA88E9-3F5E-4CFC-96CC-21C38FA18671}" name="2005 " dataDxfId="3987" totalsRowDxfId="3986" dataCellStyle="Comma"/>
    <tableColumn id="18" xr3:uid="{11E12C26-45AA-438A-907D-087C1C616472}" name="2006 " dataDxfId="3985" totalsRowDxfId="3984" dataCellStyle="Comma"/>
    <tableColumn id="19" xr3:uid="{CFE48F49-963B-4B75-BCAA-DA4BFD55CD82}" name="2007 " dataDxfId="3983" totalsRowDxfId="3982" dataCellStyle="Comma"/>
    <tableColumn id="20" xr3:uid="{BA236E3E-C372-4B88-916C-D2DE5D95E8FC}" name="2008 " dataDxfId="3981" totalsRowDxfId="3980" dataCellStyle="Comma"/>
    <tableColumn id="21" xr3:uid="{ADBEEAB4-B842-489F-9F07-28AAC174C703}" name="2009 " dataDxfId="3979" totalsRowDxfId="3978" dataCellStyle="Comma"/>
    <tableColumn id="22" xr3:uid="{E2594C65-F9C0-45BA-B0B2-2108531313FA}" name="2010 " dataDxfId="3977" totalsRowDxfId="3976" dataCellStyle="Comma"/>
    <tableColumn id="23" xr3:uid="{DF1B234E-8D9A-4CB4-B802-A84476B0BD7F}" name="2011 " dataDxfId="3975" totalsRowDxfId="3974" dataCellStyle="Comma"/>
    <tableColumn id="24" xr3:uid="{D0136828-83D5-41B8-9E8D-8501708E69F2}" name="2012 " dataDxfId="3973" totalsRowDxfId="3972" dataCellStyle="Comma"/>
    <tableColumn id="25" xr3:uid="{A22C1876-2056-49DF-9637-3E0F5931C856}" name="2013 " dataDxfId="3971" totalsRowDxfId="3970" dataCellStyle="Comma"/>
    <tableColumn id="26" xr3:uid="{8434DB2E-F196-4F4A-9CED-95EF4C51B3C0}" name="2014 " dataDxfId="3969" totalsRowDxfId="3968" dataCellStyle="Comma"/>
    <tableColumn id="27" xr3:uid="{499454DF-EDF2-47C7-815C-2E0340CAEBA9}" name="2015 " dataDxfId="3967" totalsRowDxfId="3966" dataCellStyle="Comma"/>
    <tableColumn id="28" xr3:uid="{0FAB317B-6A3A-4D6C-A063-62F0F474E5FE}" name="2016 " dataDxfId="3965" totalsRowDxfId="3964" dataCellStyle="Comma"/>
    <tableColumn id="29" xr3:uid="{B579DBE2-A255-4840-905D-FCA614B35001}" name="2017 " dataDxfId="3963" totalsRowDxfId="3962" dataCellStyle="Comma"/>
    <tableColumn id="30" xr3:uid="{87CF4D6B-6024-421F-9A02-1495F3F8F666}" name="2018 " dataDxfId="3961" totalsRowDxfId="3960" dataCellStyle="Comma"/>
    <tableColumn id="31" xr3:uid="{9545C3FC-124A-4207-926B-69AC68A828CB}" name="2019 " dataDxfId="3959" totalsRowDxfId="3958" dataCellStyle="Comma"/>
    <tableColumn id="32" xr3:uid="{1AA9AE89-FCF4-48FB-A55D-7E531A96EB09}" name="2020 " dataDxfId="3957" totalsRowDxfId="3956" dataCellStyle="Comma"/>
    <tableColumn id="33" xr3:uid="{C2338E18-C853-40E6-9583-F4EB3E3DCCB9}" name="2021 " dataDxfId="3955" totalsRowDxfId="3954" dataCellStyle="Comma"/>
    <tableColumn id="34" xr3:uid="{F0D9B412-896C-466C-BBF8-7ABDF846C013}" name="2022 " dataDxfId="3953" totalsRowDxfId="3952" dataCellStyle="Comma"/>
    <tableColumn id="35" xr3:uid="{49D5CE49-3CCD-465E-A40E-B0879FEF4BD4}" name="2023 " dataDxfId="3951" totalsRowDxfId="3950" dataCellStyle="Comma"/>
  </tableColumns>
  <tableStyleInfo name="TableStyleLight1"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1" xr:uid="{C1E298D4-A68E-49F5-BED3-FE2051D70BC7}" name="BoatCH4EmissionsByFuelTypeMTCO2e" displayName="BoatCH4EmissionsByFuelTypeMTCO2e" ref="A118:AH123" totalsRowShown="0" headerRowDxfId="3949" dataDxfId="3948" tableBorderDxfId="3947" headerRowCellStyle="Normal_Non-highway" dataCellStyle="Comma">
  <autoFilter ref="A118:AH123" xr:uid="{C1E298D4-A68E-49F5-BED3-FE2051D70BC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EC5CEE78-42BC-4B1F-A740-74EA930F8070}" name="Fuel Type" dataDxfId="3946" dataCellStyle="Normal_Non-highway"/>
    <tableColumn id="2" xr3:uid="{355E123C-03F9-48BE-A1B4-5E80BE022D86}" name="1990 " dataDxfId="3945" dataCellStyle="Comma"/>
    <tableColumn id="3" xr3:uid="{B0CAA72E-84D0-49CD-B8FC-0A5C9885A5D1}" name="1991 " dataDxfId="3944" dataCellStyle="Comma"/>
    <tableColumn id="4" xr3:uid="{653CD018-3D93-4653-9A4C-DB3D17454404}" name="1992 " dataDxfId="3943" dataCellStyle="Comma"/>
    <tableColumn id="5" xr3:uid="{FD1A774B-26F8-4668-8B63-1D94C794289E}" name="1993 " dataDxfId="3942" dataCellStyle="Comma"/>
    <tableColumn id="6" xr3:uid="{77F0DD18-BC03-4AA5-B582-7740667D7702}" name="1994 " dataDxfId="3941" dataCellStyle="Comma"/>
    <tableColumn id="7" xr3:uid="{5DD20C6F-E280-401C-A05E-DDAB080A4763}" name="1995 " dataDxfId="3940" dataCellStyle="Comma"/>
    <tableColumn id="8" xr3:uid="{35E50F78-1F72-4147-8E50-3DB5DE4350D7}" name="1996 " dataDxfId="3939" dataCellStyle="Comma"/>
    <tableColumn id="9" xr3:uid="{F84434F9-4913-4EBE-84DA-86AEFCFE24FB}" name="1997 " dataDxfId="3938" dataCellStyle="Comma"/>
    <tableColumn id="10" xr3:uid="{8865E9E7-E328-4872-AE41-BC487C02A7C9}" name="1998 " dataDxfId="3937" dataCellStyle="Comma"/>
    <tableColumn id="11" xr3:uid="{AFEE3588-05E8-4F4B-ACC2-E179319CB683}" name="1999 " dataDxfId="3936" dataCellStyle="Comma"/>
    <tableColumn id="12" xr3:uid="{21A1967B-9F1A-4F55-9418-6F8B09D4C5D1}" name="2000 " dataDxfId="3935" dataCellStyle="Comma"/>
    <tableColumn id="13" xr3:uid="{5DF56722-F099-44BE-B6A4-D28A92AB6B29}" name="2001 " dataDxfId="3934" dataCellStyle="Comma"/>
    <tableColumn id="14" xr3:uid="{46B1920B-5481-4010-A5D8-7D354016C7B5}" name="2002 " dataDxfId="3933" dataCellStyle="Comma"/>
    <tableColumn id="15" xr3:uid="{57FE1954-DF57-4986-9A64-976C51F8906B}" name="2003 " dataDxfId="3932" dataCellStyle="Comma"/>
    <tableColumn id="16" xr3:uid="{D659E049-A9AC-4158-8600-C2420D5B3EFA}" name="2004 " dataDxfId="3931" dataCellStyle="Comma"/>
    <tableColumn id="17" xr3:uid="{63FFAFDF-2614-478B-960D-4D69160938F3}" name="2005 " dataDxfId="3930" dataCellStyle="Comma"/>
    <tableColumn id="18" xr3:uid="{F276CDDF-A415-4FFE-B0FD-7215A9EDF2DB}" name="2006 " dataDxfId="3929" dataCellStyle="Comma"/>
    <tableColumn id="19" xr3:uid="{B81EBE3C-B263-43B1-AC61-3703CF09D421}" name="2007 " dataDxfId="3928" dataCellStyle="Comma"/>
    <tableColumn id="20" xr3:uid="{30A33068-E4C5-4876-A78F-62082B85900A}" name="2008 " dataDxfId="3927" dataCellStyle="Comma"/>
    <tableColumn id="21" xr3:uid="{19D4678C-C812-4162-B58B-0B634EFD8FAF}" name="2009 " dataDxfId="3926" dataCellStyle="Comma"/>
    <tableColumn id="22" xr3:uid="{498C2814-1243-4E89-B131-504572DDE838}" name="2010 " dataDxfId="3925" dataCellStyle="Comma"/>
    <tableColumn id="23" xr3:uid="{860A489E-FF1E-4DDE-9ACC-B093D8942D12}" name="2011 " dataDxfId="3924" dataCellStyle="Comma"/>
    <tableColumn id="24" xr3:uid="{97AACD2F-D947-466D-9B20-495DA72AF975}" name="2012 " dataDxfId="3923" dataCellStyle="Comma"/>
    <tableColumn id="25" xr3:uid="{2C767255-21B3-4E6C-A05C-43A3B083981C}" name="2013 " dataDxfId="3922" dataCellStyle="Comma"/>
    <tableColumn id="26" xr3:uid="{11F85908-CED3-4B72-BFA2-93A8CC403E94}" name="2014 " dataDxfId="3921" dataCellStyle="Comma"/>
    <tableColumn id="27" xr3:uid="{4B374052-F465-4077-BD8C-6F14AEE474A3}" name="2015 " dataDxfId="3920" dataCellStyle="Comma"/>
    <tableColumn id="28" xr3:uid="{B96EF239-7118-44F1-A761-E5D924433D74}" name="2016 " dataDxfId="3919" dataCellStyle="Comma"/>
    <tableColumn id="29" xr3:uid="{D0E776D4-D49D-465C-877D-90D76A0C1CDD}" name="2017 " dataDxfId="3918" dataCellStyle="Comma"/>
    <tableColumn id="30" xr3:uid="{85990E92-9019-474E-B7A5-76167A753F04}" name="2018 " dataDxfId="3917" dataCellStyle="Comma"/>
    <tableColumn id="31" xr3:uid="{F54D3085-4E9F-4DA9-9668-99A44390A814}" name="2019 " dataDxfId="3916" dataCellStyle="Comma"/>
    <tableColumn id="32" xr3:uid="{F77FB791-EA07-463F-A906-00CE54BAACFD}" name="2020 " dataDxfId="3915" dataCellStyle="Comma"/>
    <tableColumn id="33" xr3:uid="{8DB9C320-9351-4799-A967-A96D3FF23A7C}" name="2021 " dataDxfId="3914" dataCellStyle="Comma"/>
    <tableColumn id="34" xr3:uid="{5B447C6A-C606-4C7E-A107-EFC3EFBD90A5}" name="2022 " dataDxfId="3913" dataCellStyle="Comma"/>
  </tableColumns>
  <tableStyleInfo name="TableStyleLight1"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2" xr:uid="{9EC7921E-FCF7-4C03-99B4-CD735DE4FE71}" name="LocomotiveCH4EmissionsByFuelTypeMTCO2e" displayName="LocomotiveCH4EmissionsByFuelTypeMTCO2e" ref="A126:AH131" totalsRowShown="0" headerRowDxfId="3912" dataDxfId="3911" tableBorderDxfId="3910" headerRowCellStyle="Normal_Non-highway" dataCellStyle="Comma">
  <autoFilter ref="A126:AH131" xr:uid="{9EC7921E-FCF7-4C03-99B4-CD735DE4FE7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4ADFFE08-663C-4FA2-9322-507ADA87D842}" name="Fuel Type" dataDxfId="3909" dataCellStyle="Normal_Non-highway"/>
    <tableColumn id="2" xr3:uid="{D5E0E582-1C23-4A79-9872-24FF55A93EFC}" name="1990 " dataDxfId="3908" dataCellStyle="Comma"/>
    <tableColumn id="3" xr3:uid="{AE679EED-EAFF-4351-A395-D44D7BCD8E80}" name="1991 " dataDxfId="3907" dataCellStyle="Comma"/>
    <tableColumn id="4" xr3:uid="{BA57DC44-D9D3-4488-8900-EC98F644576B}" name="1992 " dataDxfId="3906" dataCellStyle="Comma"/>
    <tableColumn id="5" xr3:uid="{1EB38AA3-B602-4ECB-967A-2EE5B636153C}" name="1993 " dataDxfId="3905" dataCellStyle="Comma"/>
    <tableColumn id="6" xr3:uid="{4001F619-6653-4B48-BC87-167D386A910C}" name="1994 " dataDxfId="3904" dataCellStyle="Comma"/>
    <tableColumn id="7" xr3:uid="{8F7ED8D3-8CCE-43CE-AA3E-2DF89ACED1F8}" name="1995 " dataDxfId="3903" dataCellStyle="Comma"/>
    <tableColumn id="8" xr3:uid="{7954BA75-3074-4F80-A6FB-C6E84FBBE695}" name="1996 " dataDxfId="3902" dataCellStyle="Comma"/>
    <tableColumn id="9" xr3:uid="{9EB62504-9D05-4A2B-8C16-CD23473450BF}" name="1997 " dataDxfId="3901" dataCellStyle="Comma"/>
    <tableColumn id="10" xr3:uid="{49362A08-4647-43E1-8343-8A9E842119E0}" name="1998 " dataDxfId="3900" dataCellStyle="Comma"/>
    <tableColumn id="11" xr3:uid="{86402A25-BD4C-4AC1-A242-1F6433F7B9DA}" name="1999 " dataDxfId="3899" dataCellStyle="Comma"/>
    <tableColumn id="12" xr3:uid="{9B7D86E4-1C68-413F-982A-86FED9125EFE}" name="2000 " dataDxfId="3898" dataCellStyle="Comma"/>
    <tableColumn id="13" xr3:uid="{0A4A7439-4060-496F-BF57-BDFE3423D3B8}" name="2001 " dataDxfId="3897" dataCellStyle="Comma"/>
    <tableColumn id="14" xr3:uid="{AB7693AA-7AEA-41F0-BB98-BE26F7566B22}" name="2002 " dataDxfId="3896" dataCellStyle="Comma"/>
    <tableColumn id="15" xr3:uid="{936898AF-57E2-43BF-A488-2D4935B70A20}" name="2003 " dataDxfId="3895" dataCellStyle="Comma"/>
    <tableColumn id="16" xr3:uid="{86931314-D399-4DD1-84CA-7B23803A4420}" name="2004 " dataDxfId="3894" dataCellStyle="Comma"/>
    <tableColumn id="17" xr3:uid="{FA5C98B1-A0DE-482D-AED5-1272FCCFF872}" name="2005 " dataDxfId="3893" dataCellStyle="Comma"/>
    <tableColumn id="18" xr3:uid="{D609A93C-F2F6-4568-966B-8DF2B57AF5C6}" name="2006 " dataDxfId="3892" dataCellStyle="Comma"/>
    <tableColumn id="19" xr3:uid="{414A5951-F998-44B7-9A67-5BFC872A2708}" name="2007 " dataDxfId="3891" dataCellStyle="Comma"/>
    <tableColumn id="20" xr3:uid="{74DDE1F2-FB01-4BDE-A238-5698A1AC3633}" name="2008 " dataDxfId="3890" dataCellStyle="Comma"/>
    <tableColumn id="21" xr3:uid="{BEEF305B-F4BC-40A4-AF54-353FECB942F1}" name="2009 " dataDxfId="3889" dataCellStyle="Comma"/>
    <tableColumn id="22" xr3:uid="{F0315751-ABEA-42F0-A173-120C2B3DB4C6}" name="2010 " dataDxfId="3888" dataCellStyle="Comma"/>
    <tableColumn id="23" xr3:uid="{43A2AF9E-68D8-47FC-A50A-36343CD4259A}" name="2011 " dataDxfId="3887" dataCellStyle="Comma"/>
    <tableColumn id="24" xr3:uid="{C9B74934-5347-492C-9257-96F17B80C990}" name="2012 " dataDxfId="3886" dataCellStyle="Comma"/>
    <tableColumn id="25" xr3:uid="{5B5246F3-602E-4F32-B384-88BBCCB33C9D}" name="2013 " dataDxfId="3885" dataCellStyle="Comma"/>
    <tableColumn id="26" xr3:uid="{C197C23C-1E4E-4D8C-A6F6-495981A63CAA}" name="2014 " dataDxfId="3884" dataCellStyle="Comma"/>
    <tableColumn id="27" xr3:uid="{92A16ABD-E4F6-45C8-9E63-D5DCD3559730}" name="2015 " dataDxfId="3883" dataCellStyle="Comma"/>
    <tableColumn id="28" xr3:uid="{7DFE2193-19D4-4E89-8E0A-CBFCCF389188}" name="2016 " dataDxfId="3882" dataCellStyle="Comma"/>
    <tableColumn id="29" xr3:uid="{D8F04C32-26A0-4489-AFE9-7CDF7BF76CAA}" name="2017 " dataDxfId="3881" dataCellStyle="Comma"/>
    <tableColumn id="30" xr3:uid="{DAE03CF8-753A-4431-AD52-55ECDDC0E747}" name="2018 " dataDxfId="3880" dataCellStyle="Comma"/>
    <tableColumn id="31" xr3:uid="{1104E92A-E7E9-4809-B379-E2FBE5330E9B}" name="2019 " dataDxfId="3879" dataCellStyle="Comma"/>
    <tableColumn id="32" xr3:uid="{A8688D66-0854-4A28-A6BE-FBD2C46009E9}" name="2020 " dataDxfId="3878" dataCellStyle="Comma"/>
    <tableColumn id="33" xr3:uid="{49F50A04-0D54-407B-9D89-10755F215CAC}" name="2021 " dataDxfId="3877" dataCellStyle="Comma"/>
    <tableColumn id="34" xr3:uid="{451394F1-953A-46FD-8346-38DD9EFBE471}" name="2022 " dataDxfId="3876" dataCellStyle="Comma"/>
  </tableColumns>
  <tableStyleInfo name="TableStyleLight1"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3" xr:uid="{1EF7AB7D-DAB2-48F9-BE8D-1C61F3DD901E}" name="OtherNonHighwayCH4EmissionByVehicleAndFuelTypeMTCO2e" displayName="OtherNonHighwayCH4EmissionByVehicleAndFuelTypeMTCO2e" ref="A134:AH143" totalsRowShown="0" headerRowDxfId="3875" dataDxfId="3874" headerRowCellStyle="Normal_Non-highway">
  <autoFilter ref="A134:AH143" xr:uid="{1EF7AB7D-DAB2-48F9-BE8D-1C61F3DD901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4F03316A-8668-4D52-9D03-1E29E99B46E8}" name="Fuel Type/Vehicle Type" dataDxfId="3873"/>
    <tableColumn id="2" xr3:uid="{F652E87C-E503-40C3-AB66-3CAF5FBF140F}" name="1990 " dataDxfId="3872"/>
    <tableColumn id="3" xr3:uid="{0EA423D1-69A6-4CE9-B6D7-44B99984B46C}" name="1991 " dataDxfId="3871"/>
    <tableColumn id="4" xr3:uid="{774188A1-4EAD-43EE-875E-F887A503B382}" name="1992 " dataDxfId="3870"/>
    <tableColumn id="5" xr3:uid="{E7EDE016-9FE7-4441-BCC9-9DDD34CF578C}" name="1993 " dataDxfId="3869"/>
    <tableColumn id="6" xr3:uid="{ECC198B6-62E8-4D15-A2EA-12899419A4AB}" name="1994 " dataDxfId="3868"/>
    <tableColumn id="7" xr3:uid="{6FD81E45-B0AC-4D22-A187-078079521F26}" name="1995 " dataDxfId="3867"/>
    <tableColumn id="8" xr3:uid="{B6CA5323-F867-4C71-8747-99FE8BD54B06}" name="1996 " dataDxfId="3866"/>
    <tableColumn id="9" xr3:uid="{718BE669-5AE6-468E-9F5E-1B9E40CF72CB}" name="1997 " dataDxfId="3865"/>
    <tableColumn id="10" xr3:uid="{C3186AFE-65EB-4FAB-9D50-3FC24BF81C5D}" name="1998 " dataDxfId="3864"/>
    <tableColumn id="11" xr3:uid="{CE441A62-C7FE-4E65-B159-B36754FB0D0B}" name="1999 " dataDxfId="3863"/>
    <tableColumn id="12" xr3:uid="{2E16F68B-83C7-4C87-8693-8C94EFC5D4F3}" name="2000 " dataDxfId="3862"/>
    <tableColumn id="13" xr3:uid="{B3E09B30-C93B-42FA-8015-B983BF1D7315}" name="2001 " dataDxfId="3861"/>
    <tableColumn id="14" xr3:uid="{F24F860A-2051-49F8-BFD7-88545B187E18}" name="2002 " dataDxfId="3860"/>
    <tableColumn id="15" xr3:uid="{E50AE0E1-7D63-444F-A1F3-1125EEEDB95E}" name="2003 " dataDxfId="3859"/>
    <tableColumn id="16" xr3:uid="{640A7108-9D4B-484E-9AF5-E7ACA41BA1FC}" name="2004 " dataDxfId="3858"/>
    <tableColumn id="17" xr3:uid="{48E0E61C-E074-4C09-9B21-9D8581AAF9AB}" name="2005 " dataDxfId="3857"/>
    <tableColumn id="18" xr3:uid="{289A16CD-19FD-462D-A238-51771F3B4073}" name="2006 " dataDxfId="3856"/>
    <tableColumn id="19" xr3:uid="{D7D8B62A-7102-4662-B0AB-6B863ACA28FC}" name="2007 " dataDxfId="3855"/>
    <tableColumn id="20" xr3:uid="{2C89332C-38AE-4C95-BD6F-BF1D12CDB927}" name="2008 " dataDxfId="3854"/>
    <tableColumn id="21" xr3:uid="{A6356845-A008-4827-B710-DC2F1ACA6EE6}" name="2009 " dataDxfId="3853"/>
    <tableColumn id="22" xr3:uid="{66037DD9-E9B0-487F-9CEB-C5CE46734E7B}" name="2010 " dataDxfId="3852"/>
    <tableColumn id="23" xr3:uid="{BB4B0E41-2901-42FA-94CF-13886574EC59}" name="2011 " dataDxfId="3851"/>
    <tableColumn id="24" xr3:uid="{2AB07F81-4737-4CAF-84FB-6DAF26787775}" name="2012 " dataDxfId="3850"/>
    <tableColumn id="25" xr3:uid="{5C0E389E-FFFD-4818-8AE6-8DD6CD64886B}" name="2013 " dataDxfId="3849"/>
    <tableColumn id="26" xr3:uid="{F6DDEAF1-6C43-4AAF-B1DF-C8E957EE0C23}" name="2014 " dataDxfId="3848"/>
    <tableColumn id="27" xr3:uid="{E69BEDE2-452A-442F-B90F-935CBE1731AF}" name="2015 " dataDxfId="3847"/>
    <tableColumn id="28" xr3:uid="{73B274CE-2C0A-456E-B1CD-EBC605DE4FA7}" name="2016 " dataDxfId="3846"/>
    <tableColumn id="29" xr3:uid="{B1CB3E52-07B9-43A5-9965-49C986153EF3}" name="2017 " dataDxfId="3845"/>
    <tableColumn id="30" xr3:uid="{EFE0AAE0-D01E-4ED9-8B2B-0EB4E84ED71D}" name="2018 " dataDxfId="3844"/>
    <tableColumn id="31" xr3:uid="{6AC7FE0B-6D8A-47C9-BDE9-4D3AB22935CF}" name="2019 " dataDxfId="3843"/>
    <tableColumn id="32" xr3:uid="{A5BE87B6-9698-4E6F-8157-208FC0626237}" name="2020 " dataDxfId="3842"/>
    <tableColumn id="33" xr3:uid="{B4237D9D-8D94-4429-AECB-8AB38966CF4C}" name="2021 " dataDxfId="3841"/>
    <tableColumn id="34" xr3:uid="{CD6A3F37-3A58-444D-A8FC-1E6B621366B3}" name="2022 " dataDxfId="3840"/>
  </tableColumns>
  <tableStyleInfo name="TableStyleLight1"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4" xr:uid="{FE905F33-1DED-42E0-BF13-A389C7297C8F}" name="AviationN2OEmissionsByFuelTypeMCTO2e" displayName="AviationN2OEmissionsByFuelTypeMCTO2e" ref="A147:AI152" headerRowDxfId="3839" dataDxfId="3837" totalsRowDxfId="3835" headerRowBorderDxfId="3838" tableBorderDxfId="3836" headerRowCellStyle="Normal_State Transportation Module 02.13.02" dataCellStyle="Comma">
  <autoFilter ref="A147:AI152" xr:uid="{FE905F33-1DED-42E0-BF13-A389C7297C8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autoFilter>
  <tableColumns count="35">
    <tableColumn id="1" xr3:uid="{6526531F-816B-45B2-B7BC-8A9A9AE64A4C}" name="Fuel Type" totalsRowLabel="Total" dataDxfId="3834" totalsRowDxfId="3833" dataCellStyle="Normal_Non-highway"/>
    <tableColumn id="2" xr3:uid="{F48A61CB-B019-439A-A1BB-DD76697ED071}" name="1990 " dataDxfId="3832" totalsRowDxfId="3831" dataCellStyle="Comma"/>
    <tableColumn id="3" xr3:uid="{8E074258-21C7-40DF-8B87-D27E33688CBB}" name="1991 " dataDxfId="3830" totalsRowDxfId="3829" dataCellStyle="Comma"/>
    <tableColumn id="4" xr3:uid="{86258FF9-2527-4373-B3D7-88393B6D3B22}" name="1992 " dataDxfId="3828" totalsRowDxfId="3827" dataCellStyle="Comma"/>
    <tableColumn id="5" xr3:uid="{021CD224-85FC-4A9A-8EA4-D6FF7F334B41}" name="1993 " dataDxfId="3826" totalsRowDxfId="3825" dataCellStyle="Comma"/>
    <tableColumn id="6" xr3:uid="{150A0359-3307-433E-BD4F-66BF771E9741}" name="1994 " dataDxfId="3824" totalsRowDxfId="3823" dataCellStyle="Comma"/>
    <tableColumn id="7" xr3:uid="{C76AE118-E855-42AC-B076-9D6676BECC09}" name="1995 " dataDxfId="3822" totalsRowDxfId="3821" dataCellStyle="Comma"/>
    <tableColumn id="8" xr3:uid="{4DCC8180-0FCB-4232-9BD8-219C98B7C4AC}" name="1996 " dataDxfId="3820" totalsRowDxfId="3819" dataCellStyle="Comma"/>
    <tableColumn id="9" xr3:uid="{15DD9C0F-4606-41ED-AAB6-7865CAD10DC7}" name="1997 " dataDxfId="3818" totalsRowDxfId="3817" dataCellStyle="Comma"/>
    <tableColumn id="10" xr3:uid="{45FDDFAF-1157-4391-8283-39F1279F64E1}" name="1998 " dataDxfId="3816" totalsRowDxfId="3815" dataCellStyle="Comma"/>
    <tableColumn id="11" xr3:uid="{063AD481-3FDF-4D75-89A7-FFF0B077CD44}" name="1999 " dataDxfId="3814" totalsRowDxfId="3813" dataCellStyle="Comma"/>
    <tableColumn id="12" xr3:uid="{EDDF2A43-45AD-497B-95E4-8D19476EAECA}" name="2000 " dataDxfId="3812" totalsRowDxfId="3811" dataCellStyle="Comma"/>
    <tableColumn id="13" xr3:uid="{7EA3BA2E-4DC5-4657-8DBB-D1150157B6A8}" name="2001 " dataDxfId="3810" totalsRowDxfId="3809" dataCellStyle="Comma"/>
    <tableColumn id="14" xr3:uid="{A1F4645D-8173-44AA-BB7E-4D8128DE5877}" name="2002 " dataDxfId="3808" totalsRowDxfId="3807" dataCellStyle="Comma"/>
    <tableColumn id="15" xr3:uid="{CF782DC9-36EE-4599-B05C-74EA5CE09338}" name="2003 " dataDxfId="3806" totalsRowDxfId="3805" dataCellStyle="Comma"/>
    <tableColumn id="16" xr3:uid="{F4C422B8-E56F-4BEC-8343-1123ADD7193D}" name="2004 " dataDxfId="3804" totalsRowDxfId="3803" dataCellStyle="Comma"/>
    <tableColumn id="17" xr3:uid="{5CBC26FB-7024-4C35-B5B6-99FEF9851641}" name="2005 " dataDxfId="3802" totalsRowDxfId="3801" dataCellStyle="Comma"/>
    <tableColumn id="18" xr3:uid="{3323164A-F395-4D09-8B1A-2F3F42E18085}" name="2006 " dataDxfId="3800" totalsRowDxfId="3799" dataCellStyle="Comma"/>
    <tableColumn id="19" xr3:uid="{A50113E5-E0C0-44E8-85EE-D6D8C70073FB}" name="2007 " dataDxfId="3798" totalsRowDxfId="3797" dataCellStyle="Comma"/>
    <tableColumn id="20" xr3:uid="{84875BEE-1F14-413D-8977-7ACE175913EB}" name="2008 " dataDxfId="3796" totalsRowDxfId="3795" dataCellStyle="Comma"/>
    <tableColumn id="21" xr3:uid="{C28352BC-132D-4C34-B479-9A7299691F25}" name="2009 " dataDxfId="3794" totalsRowDxfId="3793" dataCellStyle="Comma"/>
    <tableColumn id="22" xr3:uid="{E597B545-6B36-485F-8031-B714E2311F10}" name="2010 " dataDxfId="3792" totalsRowDxfId="3791" dataCellStyle="Comma"/>
    <tableColumn id="23" xr3:uid="{09C066E6-7D2D-426D-8F54-DA536E7B7EFF}" name="2011 " dataDxfId="3790" totalsRowDxfId="3789" dataCellStyle="Comma"/>
    <tableColumn id="24" xr3:uid="{87974F13-5D31-431A-B50A-BCB78F0A8E1C}" name="2012 " dataDxfId="3788" totalsRowDxfId="3787" dataCellStyle="Comma"/>
    <tableColumn id="25" xr3:uid="{958F2A7E-E390-40AB-8273-529E8A85BEA6}" name="2013 " dataDxfId="3786" totalsRowDxfId="3785" dataCellStyle="Comma"/>
    <tableColumn id="26" xr3:uid="{4E52661C-BB30-4356-8E85-FBE21E8F546C}" name="2014 " dataDxfId="3784" totalsRowDxfId="3783" dataCellStyle="Comma"/>
    <tableColumn id="27" xr3:uid="{F1944DCD-BA42-48E4-A10E-DA7A6F285FCC}" name="2015 " dataDxfId="3782" totalsRowDxfId="3781" dataCellStyle="Comma"/>
    <tableColumn id="28" xr3:uid="{885621E6-24EE-47BC-93D2-1016324D5DBD}" name="2016 " dataDxfId="3780" totalsRowDxfId="3779" dataCellStyle="Comma"/>
    <tableColumn id="29" xr3:uid="{EE097BD8-C772-46F9-99B9-FDBB4D707952}" name="2017 " dataDxfId="3778" totalsRowDxfId="3777" dataCellStyle="Comma"/>
    <tableColumn id="30" xr3:uid="{78FC5849-73F9-4C6F-B631-99B2AE10CF1C}" name="2018 " dataDxfId="3776" totalsRowDxfId="3775" dataCellStyle="Comma"/>
    <tableColumn id="31" xr3:uid="{B3874DAD-29D5-4738-B416-AE08E0E76DB6}" name="2019 " dataDxfId="3774" totalsRowDxfId="3773" dataCellStyle="Comma"/>
    <tableColumn id="32" xr3:uid="{5BFB1905-60AE-4EC1-9D33-B1FD51D6B1B1}" name="2020 " dataDxfId="3772" totalsRowDxfId="3771" dataCellStyle="Comma"/>
    <tableColumn id="33" xr3:uid="{A6700BBA-8F8D-4BCF-AC65-92E4D8DFF532}" name="2021 " dataDxfId="3770" totalsRowDxfId="3769" dataCellStyle="Comma"/>
    <tableColumn id="34" xr3:uid="{228C4373-E6AD-4F34-B2FA-A4AC267BE9EA}" name="2022 " dataDxfId="3768" totalsRowDxfId="3767" dataCellStyle="Comma"/>
    <tableColumn id="35" xr3:uid="{620A51B0-6E46-46A2-A7D9-30F22511A9F9}" name="2023 " dataDxfId="3766" totalsRowDxfId="3765" dataCellStyle="Comma"/>
  </tableColumns>
  <tableStyleInfo name="TableStyleLight1"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5" xr:uid="{6DE97E95-4229-4B4E-8497-A1D9D9748D01}" name="BoatN2OEmissionsByFuelTypeMTCO2e" displayName="BoatN2OEmissionsByFuelTypeMTCO2e" ref="A155:AH160" totalsRowShown="0" headerRowDxfId="3764" dataDxfId="3763" tableBorderDxfId="3762" headerRowCellStyle="Normal_Non-highway" dataCellStyle="Comma">
  <autoFilter ref="A155:AH160" xr:uid="{6DE97E95-4229-4B4E-8497-A1D9D9748D0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C8FCCAE8-D364-482F-95D6-675BFE3BC26C}" name="Fuel Type" dataDxfId="3761" dataCellStyle="Normal_Non-highway"/>
    <tableColumn id="2" xr3:uid="{C342E69D-765D-47ED-BE9B-227B7AF39D64}" name="1990 " dataDxfId="3760" dataCellStyle="Comma"/>
    <tableColumn id="3" xr3:uid="{BF629DA9-DD52-4A4C-9ECD-FBCB9FF75D1B}" name="1991 " dataDxfId="3759" dataCellStyle="Comma"/>
    <tableColumn id="4" xr3:uid="{2BEE5A8D-E7C4-4B9D-8C5D-FFE081297553}" name="1992 " dataDxfId="3758" dataCellStyle="Comma"/>
    <tableColumn id="5" xr3:uid="{7F949A60-EC6D-4AB4-BC73-91E35789050F}" name="1993 " dataDxfId="3757" dataCellStyle="Comma"/>
    <tableColumn id="6" xr3:uid="{CAFECAE2-9FE3-4694-84AA-42C3E8A16533}" name="1994 " dataDxfId="3756" dataCellStyle="Comma"/>
    <tableColumn id="7" xr3:uid="{CDCC72B9-8D32-4407-ADDC-2DA539D4224C}" name="1995 " dataDxfId="3755" dataCellStyle="Comma"/>
    <tableColumn id="8" xr3:uid="{AEBAB524-9ED9-4672-9A76-52C8F454260C}" name="1996 " dataDxfId="3754" dataCellStyle="Comma"/>
    <tableColumn id="9" xr3:uid="{417A6482-DB8E-4AE2-9CAA-4FD115F0D6E5}" name="1997 " dataDxfId="3753" dataCellStyle="Comma"/>
    <tableColumn id="10" xr3:uid="{762FA0BF-C41B-4EDC-B95C-AE4AEE38E8FB}" name="1998 " dataDxfId="3752" dataCellStyle="Comma"/>
    <tableColumn id="11" xr3:uid="{B6D21DCE-6CAD-4168-B07B-163775456376}" name="1999 " dataDxfId="3751" dataCellStyle="Comma"/>
    <tableColumn id="12" xr3:uid="{04F2B15C-B83C-44B9-A7BC-461C6CBA1143}" name="2000 " dataDxfId="3750" dataCellStyle="Comma"/>
    <tableColumn id="13" xr3:uid="{42F326C4-F90D-4C92-B879-FCD8473EE788}" name="2001 " dataDxfId="3749" dataCellStyle="Comma"/>
    <tableColumn id="14" xr3:uid="{B2AB0EF6-8CFB-4A71-9044-AB93CED7FB88}" name="2002 " dataDxfId="3748" dataCellStyle="Comma"/>
    <tableColumn id="15" xr3:uid="{21F62B9B-005B-4110-A4C4-8D4C5B1D7FB0}" name="2003 " dataDxfId="3747" dataCellStyle="Comma"/>
    <tableColumn id="16" xr3:uid="{1BE79CC2-092C-4836-B2D3-969A97158CEC}" name="2004 " dataDxfId="3746" dataCellStyle="Comma"/>
    <tableColumn id="17" xr3:uid="{DF94631C-D158-4A34-9694-5BFC124B1FF9}" name="2005 " dataDxfId="3745" dataCellStyle="Comma"/>
    <tableColumn id="18" xr3:uid="{CBC43336-EEB9-44B0-BCA4-50C16A3DB0B0}" name="2006 " dataDxfId="3744" dataCellStyle="Comma"/>
    <tableColumn id="19" xr3:uid="{F0A9F930-9747-4BF2-9202-6212D0CBD92C}" name="2007 " dataDxfId="3743" dataCellStyle="Comma"/>
    <tableColumn id="20" xr3:uid="{3B2EC244-3D75-4AC5-9617-D277FB7CDA06}" name="2008 " dataDxfId="3742" dataCellStyle="Comma"/>
    <tableColumn id="21" xr3:uid="{A14D3728-5F9C-4919-B696-5B4BBDCF4EF2}" name="2009 " dataDxfId="3741" dataCellStyle="Comma"/>
    <tableColumn id="22" xr3:uid="{AA260CC4-125B-4177-8457-16E6702F5191}" name="2010 " dataDxfId="3740" dataCellStyle="Comma"/>
    <tableColumn id="23" xr3:uid="{80F1C0B1-3813-4AB0-B2DF-127E2AD6F8DE}" name="2011 " dataDxfId="3739" dataCellStyle="Comma"/>
    <tableColumn id="24" xr3:uid="{6733F283-4D2F-4967-8358-D3A23A8470C7}" name="2012 " dataDxfId="3738" dataCellStyle="Comma"/>
    <tableColumn id="25" xr3:uid="{6E5E45E9-1FF2-4540-A752-2B3D5EA6BCBC}" name="2013 " dataDxfId="3737" dataCellStyle="Comma"/>
    <tableColumn id="26" xr3:uid="{025CC2D1-91E1-482A-BE0E-11302DB2856C}" name="2014 " dataDxfId="3736" dataCellStyle="Comma"/>
    <tableColumn id="27" xr3:uid="{EB95A3C2-8E92-4C19-AF2E-1C0AD2E72EBB}" name="2015 " dataDxfId="3735" dataCellStyle="Comma"/>
    <tableColumn id="28" xr3:uid="{A222E73A-8429-4F7A-8656-F12386ECA089}" name="2016 " dataDxfId="3734" dataCellStyle="Comma"/>
    <tableColumn id="29" xr3:uid="{4ECE8578-9BB0-4A54-92BF-4417F63CB2BF}" name="2017 " dataDxfId="3733" dataCellStyle="Comma"/>
    <tableColumn id="30" xr3:uid="{698C1D34-B059-421B-BD1E-BD5BB88A959B}" name="2018 " dataDxfId="3732" dataCellStyle="Comma"/>
    <tableColumn id="31" xr3:uid="{A905DD29-A7D3-4C7F-8EA6-9B851C2B8B15}" name="2019 " dataDxfId="3731" dataCellStyle="Comma"/>
    <tableColumn id="32" xr3:uid="{62CA337B-1389-458A-A5CF-457E2E88311C}" name="2020 " dataDxfId="3730" dataCellStyle="Comma"/>
    <tableColumn id="33" xr3:uid="{5BE95360-3561-4CE6-A795-75A5A097069A}" name="2021 " dataDxfId="3729" dataCellStyle="Comma"/>
    <tableColumn id="34" xr3:uid="{24F42BE8-B3A2-40B6-9CEC-454E62C3CA79}" name="2022 " dataDxfId="3728" dataCellStyle="Comma"/>
  </tableColumns>
  <tableStyleInfo name="TableStyleLight1"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6" xr:uid="{BFB0C32F-A0A2-4A47-B003-96253846515F}" name="LocomotiveN2OEmissionsByFuelTypeMTCO2e" displayName="LocomotiveN2OEmissionsByFuelTypeMTCO2e" ref="A163:AH168" totalsRowShown="0" headerRowDxfId="3727" dataDxfId="3726" tableBorderDxfId="3725" headerRowCellStyle="Normal_Non-highway" dataCellStyle="Comma">
  <autoFilter ref="A163:AH168" xr:uid="{BFB0C32F-A0A2-4A47-B003-96253846515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0A197575-B75A-4934-B417-E4487077881F}" name="Fuel Type" dataDxfId="3724" dataCellStyle="Normal_Non-highway"/>
    <tableColumn id="2" xr3:uid="{623CC22B-BF1F-4F75-876B-71F5139E4819}" name="1990 " dataDxfId="3723" dataCellStyle="Comma"/>
    <tableColumn id="3" xr3:uid="{CB3757D0-096C-4AAF-B026-C9EB3E41891B}" name="1991 " dataDxfId="3722" dataCellStyle="Comma"/>
    <tableColumn id="4" xr3:uid="{9AE64240-00E6-4A1F-968A-CA554229C074}" name="1992 " dataDxfId="3721" dataCellStyle="Comma"/>
    <tableColumn id="5" xr3:uid="{5492C65D-55FB-4326-886C-ABA3F314757A}" name="1993 " dataDxfId="3720" dataCellStyle="Comma"/>
    <tableColumn id="6" xr3:uid="{917461E6-8A8B-4463-850D-EEB68CB740C7}" name="1994 " dataDxfId="3719" dataCellStyle="Comma"/>
    <tableColumn id="7" xr3:uid="{CE97218D-5AFD-4504-933D-F0F67C0DE298}" name="1995 " dataDxfId="3718" dataCellStyle="Comma"/>
    <tableColumn id="8" xr3:uid="{80E9ED2C-F386-42CB-9B19-55F2FD0E9365}" name="1996 " dataDxfId="3717" dataCellStyle="Comma"/>
    <tableColumn id="9" xr3:uid="{C529BC8D-33BA-4147-AFA1-8CF0A41047A1}" name="1997 " dataDxfId="3716" dataCellStyle="Comma"/>
    <tableColumn id="10" xr3:uid="{831A4E23-1D2E-4164-9320-4B42978DC672}" name="1998 " dataDxfId="3715" dataCellStyle="Comma"/>
    <tableColumn id="11" xr3:uid="{FFE8DD11-CD3E-41AF-8542-5A0765AAD8C8}" name="1999 " dataDxfId="3714" dataCellStyle="Comma"/>
    <tableColumn id="12" xr3:uid="{37BA4640-5DB0-4D82-9120-83E803B4138A}" name="2000 " dataDxfId="3713" dataCellStyle="Comma"/>
    <tableColumn id="13" xr3:uid="{9C8BF64C-B059-48D7-B1E8-CB8062ECA776}" name="2001 " dataDxfId="3712" dataCellStyle="Comma"/>
    <tableColumn id="14" xr3:uid="{5BE293F1-5892-4DDF-BF5F-3AF2E15FBB08}" name="2002 " dataDxfId="3711" dataCellStyle="Comma"/>
    <tableColumn id="15" xr3:uid="{B0D8F59B-EC7B-4AC8-93F7-E1E0483768C1}" name="2003 " dataDxfId="3710" dataCellStyle="Comma"/>
    <tableColumn id="16" xr3:uid="{CE94C299-CAF8-4C29-91BA-D9D66910F9E4}" name="2004 " dataDxfId="3709" dataCellStyle="Comma"/>
    <tableColumn id="17" xr3:uid="{9B634A46-9D56-4FB4-8B5A-D8C848797126}" name="2005 " dataDxfId="3708" dataCellStyle="Comma"/>
    <tableColumn id="18" xr3:uid="{728FE22A-91E9-4569-85C0-D04694847468}" name="2006 " dataDxfId="3707" dataCellStyle="Comma"/>
    <tableColumn id="19" xr3:uid="{055881E5-CE64-4AB1-8557-8419820681AD}" name="2007 " dataDxfId="3706" dataCellStyle="Comma"/>
    <tableColumn id="20" xr3:uid="{DCEBCB7B-DC96-4EF6-B456-F1FB8B04393C}" name="2008 " dataDxfId="3705" dataCellStyle="Comma"/>
    <tableColumn id="21" xr3:uid="{601C3AF1-39C1-47B0-ACA6-9FE048F70F85}" name="2009 " dataDxfId="3704" dataCellStyle="Comma"/>
    <tableColumn id="22" xr3:uid="{DE963A8D-8936-41B0-96C8-769394214B85}" name="2010 " dataDxfId="3703" dataCellStyle="Comma"/>
    <tableColumn id="23" xr3:uid="{5D37B826-B060-41B6-BC9D-5488991109F7}" name="2011 " dataDxfId="3702" dataCellStyle="Comma"/>
    <tableColumn id="24" xr3:uid="{B567EFFA-3485-45A2-8D31-7BE39E509936}" name="2012 " dataDxfId="3701" dataCellStyle="Comma"/>
    <tableColumn id="25" xr3:uid="{B9F9D87E-A294-4DAD-BF9F-058A0E88BF02}" name="2013 " dataDxfId="3700" dataCellStyle="Comma"/>
    <tableColumn id="26" xr3:uid="{6D8E0DBA-E5BC-4F65-AAFA-A2D809976CC4}" name="2014 " dataDxfId="3699" dataCellStyle="Comma"/>
    <tableColumn id="27" xr3:uid="{BDAFCAB1-A6BD-486B-B091-ED4618D6CB6F}" name="2015 " dataDxfId="3698" dataCellStyle="Comma"/>
    <tableColumn id="28" xr3:uid="{5C202ED6-BDAC-4641-9D3C-910EC4C52712}" name="2016 " dataDxfId="3697" dataCellStyle="Comma"/>
    <tableColumn id="29" xr3:uid="{80CECD22-DD50-4097-880B-DC55821EE8A8}" name="2017 " dataDxfId="3696" dataCellStyle="Comma"/>
    <tableColumn id="30" xr3:uid="{F2657DBB-6215-416B-BFAF-CF57EF3AD922}" name="2018 " dataDxfId="3695" dataCellStyle="Comma"/>
    <tableColumn id="31" xr3:uid="{0FFA80E4-BC5C-46E8-BC33-C43414FCE122}" name="2019 " dataDxfId="3694" dataCellStyle="Comma"/>
    <tableColumn id="32" xr3:uid="{46139D95-7C72-4DAD-B04E-A92AEB05B477}" name="2020 " dataDxfId="3693" dataCellStyle="Comma"/>
    <tableColumn id="33" xr3:uid="{A36DE375-4393-4143-9AD3-D5AC9C587744}" name="2021 " dataDxfId="3692" dataCellStyle="Comma"/>
    <tableColumn id="34" xr3:uid="{F2418632-82BB-4565-82BA-3C9F1ABCDA70}" name="2022 " dataDxfId="3691" dataCellStyle="Comma"/>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9" xr:uid="{F5ED3880-47BE-4DE4-8241-F5BC4DD97EE7}" name="SummaryChartDataPercentofTotalGHGEmissionsbySector2023" displayName="SummaryChartDataPercentofTotalGHGEmissionsbySector2023" ref="AN21:AP30" totalsRowShown="0" headerRowDxfId="5224">
  <autoFilter ref="AN21:AP30" xr:uid="{F5ED3880-47BE-4DE4-8241-F5BC4DD97EE7}">
    <filterColumn colId="0" hiddenButton="1"/>
    <filterColumn colId="1" hiddenButton="1"/>
    <filterColumn colId="2" hiddenButton="1"/>
  </autoFilter>
  <tableColumns count="3">
    <tableColumn id="1" xr3:uid="{5E27C2E2-6CAA-42F9-9713-A4C0710DE50E}" name="MMTCO2e" dataDxfId="5223"/>
    <tableColumn id="2" xr3:uid="{8F31A6E7-2F82-4E99-AFA9-A04C07C60161}" name="Percent" dataDxfId="5222"/>
    <tableColumn id="3" xr3:uid="{159BED78-9071-484F-85DF-A4699218A4BB}" name="Sector" dataDxfId="5221"/>
  </tableColumns>
  <tableStyleInfo name="TableStyleLight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7" xr:uid="{8272B75B-17E2-4687-A38B-355A818BCB65}" name="OtherNonHighwayN2OEmissionByVehicleAndFuelTypeMTCO2e" displayName="OtherNonHighwayN2OEmissionByVehicleAndFuelTypeMTCO2e" ref="A171:AH180" totalsRowShown="0" headerRowDxfId="3690" dataDxfId="3689" headerRowCellStyle="Normal_Non-highway">
  <autoFilter ref="A171:AH180" xr:uid="{8272B75B-17E2-4687-A38B-355A818BCB6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autoFilter>
  <tableColumns count="34">
    <tableColumn id="1" xr3:uid="{9331D576-3319-4141-A045-EEAFC0B4397D}" name="Fuel Type/Vehicle Type" dataDxfId="3688"/>
    <tableColumn id="2" xr3:uid="{823846C1-E1ED-4813-AD42-5581543C32F3}" name="1990 " dataDxfId="3687"/>
    <tableColumn id="3" xr3:uid="{5F72FA05-6652-4DAB-B9B4-55B689AC4D3D}" name="1991 " dataDxfId="3686"/>
    <tableColumn id="4" xr3:uid="{52303EC8-CA62-45D4-B8B1-2BA5E2E048B2}" name="1992 " dataDxfId="3685"/>
    <tableColumn id="5" xr3:uid="{41FB8D6E-C367-4224-99A8-EB2B9FE5CFE4}" name="1993 " dataDxfId="3684"/>
    <tableColumn id="6" xr3:uid="{3A3D4F6C-6A46-4040-B4F2-2830CD3AFE30}" name="1994 " dataDxfId="3683"/>
    <tableColumn id="7" xr3:uid="{C0FDDF55-37DF-4A00-B7CC-EF96F92FAC8A}" name="1995 " dataDxfId="3682"/>
    <tableColumn id="8" xr3:uid="{891E5F16-9AD0-4E32-AF47-90763632A450}" name="1996 " dataDxfId="3681"/>
    <tableColumn id="9" xr3:uid="{98111301-3288-47FF-A4DE-DEC77025CA40}" name="1997 " dataDxfId="3680"/>
    <tableColumn id="10" xr3:uid="{4E6DB89A-F4A7-4A7B-B677-6322812CAEB3}" name="1998 " dataDxfId="3679"/>
    <tableColumn id="11" xr3:uid="{A7643FC7-FCEE-4477-A8DB-38748422F114}" name="1999 " dataDxfId="3678"/>
    <tableColumn id="12" xr3:uid="{A9B14194-1C42-44EE-883A-D78D9AA1BD77}" name="2000 " dataDxfId="3677"/>
    <tableColumn id="13" xr3:uid="{4292C2BD-85C8-4B6B-A052-4F272B54BF9F}" name="2001 " dataDxfId="3676"/>
    <tableColumn id="14" xr3:uid="{3A7D56B7-426A-457D-A0AA-FB29111E3F0F}" name="2002 " dataDxfId="3675"/>
    <tableColumn id="15" xr3:uid="{99D3F406-763F-4DE5-8B53-47B18142C2D2}" name="2003 " dataDxfId="3674"/>
    <tableColumn id="16" xr3:uid="{4C7D36D6-D524-4F43-BEEC-7F3AD0DAB6F0}" name="2004 " dataDxfId="3673"/>
    <tableColumn id="17" xr3:uid="{37D35899-93ED-4353-801D-0813FFB03EFA}" name="2005 " dataDxfId="3672"/>
    <tableColumn id="18" xr3:uid="{22481602-F8EC-4CFE-B063-D83B5BD6A717}" name="2006 " dataDxfId="3671"/>
    <tableColumn id="19" xr3:uid="{2DE44FCB-8118-44F4-9A84-4A297C7E8876}" name="2007 " dataDxfId="3670"/>
    <tableColumn id="20" xr3:uid="{E98C8D49-2059-46CC-96F2-E0DC12B8F4F1}" name="2008 " dataDxfId="3669"/>
    <tableColumn id="21" xr3:uid="{E0015435-810D-45CF-A742-237131DA12FD}" name="2009 " dataDxfId="3668"/>
    <tableColumn id="22" xr3:uid="{DFDFA4DF-0C36-45E2-9DC6-35A4FD43246A}" name="2010 " dataDxfId="3667"/>
    <tableColumn id="23" xr3:uid="{902B3E55-56A1-4661-963F-9DD2937394C6}" name="2011 " dataDxfId="3666"/>
    <tableColumn id="24" xr3:uid="{72F71725-6EC0-434C-B3E5-65068F36768D}" name="2012 " dataDxfId="3665"/>
    <tableColumn id="25" xr3:uid="{98F8C13A-DD14-4A8E-A0A1-4BC5515D5C8E}" name="2013 " dataDxfId="3664"/>
    <tableColumn id="26" xr3:uid="{35D84A2C-EFDF-4394-8359-79D07114D77E}" name="2014 " dataDxfId="3663"/>
    <tableColumn id="27" xr3:uid="{F277C341-F82E-401E-A9D1-E7093D961479}" name="2015 " dataDxfId="3662"/>
    <tableColumn id="28" xr3:uid="{3B1ABDEB-45CB-4D02-900A-314136C4C789}" name="2016 " dataDxfId="3661"/>
    <tableColumn id="29" xr3:uid="{6BAE7FAD-6BC3-4583-9279-2DD906361739}" name="2017 " dataDxfId="3660"/>
    <tableColumn id="30" xr3:uid="{1B0FB02A-FAC0-455E-83AA-FD51EBA9B20F}" name="2018 " dataDxfId="3659"/>
    <tableColumn id="31" xr3:uid="{771672E3-8389-43CE-BA2C-31767C07898D}" name="2019 " dataDxfId="3658"/>
    <tableColumn id="32" xr3:uid="{901A7569-79D2-41E9-8870-A53E65384465}" name="2020 " dataDxfId="3657"/>
    <tableColumn id="33" xr3:uid="{D6BF8EE8-3738-480F-9F94-30F4F7458445}" name="2021 " dataDxfId="3656"/>
    <tableColumn id="34" xr3:uid="{33685A70-FC90-4B5B-A35C-69785CEEFEF5}" name="2022 " dataDxfId="3655"/>
  </tableColumns>
  <tableStyleInfo name="TableStyleLight1"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4F38CE38-AFE2-4DE5-A1B0-0B5CCE1A6CE5}" name="NGDistributionNumberofCustomers" displayName="NGDistributionNumberofCustomers" ref="A168:AJ172" totalsRowShown="0" headerRowDxfId="3654" dataDxfId="3653" tableBorderDxfId="3652">
  <autoFilter ref="A168:AJ172" xr:uid="{4F38CE38-AFE2-4DE5-A1B0-0B5CCE1A6CE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43D92B84-E91C-4EA5-BF11-E54AC86D5099}" name="Segment" dataDxfId="3651"/>
    <tableColumn id="2" xr3:uid="{A728CE07-B650-48F0-BF98-9D41AC069186}" name="Units" dataDxfId="3650"/>
    <tableColumn id="3" xr3:uid="{CFD47D09-02EB-4653-9869-354BB233F8BD}" name="1990" dataDxfId="3649"/>
    <tableColumn id="4" xr3:uid="{076145A0-F52A-4B4A-996D-D3E2DC9FCC45}" name="1991" dataDxfId="3648"/>
    <tableColumn id="5" xr3:uid="{1A2BA3A7-7442-4112-83A3-C851523BB8E9}" name="1992" dataDxfId="3647"/>
    <tableColumn id="6" xr3:uid="{A90E69DD-1FC9-4AD5-BFD9-B65509D0374A}" name="1993" dataDxfId="3646"/>
    <tableColumn id="7" xr3:uid="{26E86B81-D246-4605-9B40-94B7019F3D4B}" name="1994" dataDxfId="3645"/>
    <tableColumn id="8" xr3:uid="{7D141365-C3BC-4ECF-809D-7285DAA59D79}" name="1995" dataDxfId="3644"/>
    <tableColumn id="9" xr3:uid="{416085A6-DE40-47A7-8F8E-65B224021CEB}" name="1996" dataDxfId="3643"/>
    <tableColumn id="10" xr3:uid="{0C0BFE3E-A1EB-44EA-AD28-110B6A1ECEA7}" name="1997" dataDxfId="3642"/>
    <tableColumn id="11" xr3:uid="{14F1089C-BD08-483C-A195-6E8B167546D3}" name="1998" dataDxfId="3641"/>
    <tableColumn id="12" xr3:uid="{38A2CD19-A4B2-484E-8FEE-386AF60EAE4A}" name="1999" dataDxfId="3640"/>
    <tableColumn id="13" xr3:uid="{E5117513-FB59-42D0-AA81-CC54034BC122}" name="2000" dataDxfId="3639"/>
    <tableColumn id="14" xr3:uid="{1D0D9320-1A77-4307-A888-6B6B96198617}" name="2001" dataDxfId="3638"/>
    <tableColumn id="15" xr3:uid="{C3850E7C-2F2E-4D73-B6B7-5D05001330D8}" name="2002" dataDxfId="3637"/>
    <tableColumn id="16" xr3:uid="{03609886-492E-4E8D-8E37-3AB049878BB2}" name="2003" dataDxfId="3636"/>
    <tableColumn id="17" xr3:uid="{C5378B0A-5DBA-46BC-8EAF-2E9345CCD5A1}" name="2004" dataDxfId="3635"/>
    <tableColumn id="18" xr3:uid="{E9DA2F43-6CF7-4F57-B3E9-00CDB0B57AA4}" name="2005" dataDxfId="3634"/>
    <tableColumn id="19" xr3:uid="{41F83278-9F44-451C-95E4-F0F9E8DA3584}" name="2006" dataDxfId="3633"/>
    <tableColumn id="20" xr3:uid="{3EF0A4BB-DDEF-4024-8B45-B4468E62ECA0}" name="2007" dataDxfId="3632"/>
    <tableColumn id="21" xr3:uid="{994A2392-7EC3-4BEA-A7BF-077CBFDE9A21}" name="2008" dataDxfId="3631">
      <calculatedColumnFormula>T169+(W169-T169)/3</calculatedColumnFormula>
    </tableColumn>
    <tableColumn id="22" xr3:uid="{A70CFD2C-2B20-494B-8BD8-E046F6B3A54C}" name="2009" dataDxfId="3630">
      <calculatedColumnFormula>T169+(W169-T169)*2/3</calculatedColumnFormula>
    </tableColumn>
    <tableColumn id="23" xr3:uid="{A9C4F26C-7099-491D-80D8-18A0A95A35A9}" name="2010" dataDxfId="3629"/>
    <tableColumn id="24" xr3:uid="{689D8B24-B6FB-4600-855E-32EF94034F13}" name="2011" dataDxfId="3628"/>
    <tableColumn id="25" xr3:uid="{C8DD5B96-F7EE-4302-A23B-BAC285A17975}" name="2012" dataDxfId="3627"/>
    <tableColumn id="26" xr3:uid="{5EEFDE93-6C6D-4AC6-8A41-62083A609DB8}" name="2013" dataDxfId="3626"/>
    <tableColumn id="27" xr3:uid="{36FA91DD-E0DF-4B94-BC4A-092D2C1260A8}" name="2014" dataDxfId="3625"/>
    <tableColumn id="28" xr3:uid="{41326F7E-1802-4E68-A70F-86C23DE30FB3}" name="2015" dataDxfId="3624"/>
    <tableColumn id="29" xr3:uid="{A38B6EA6-07A2-4EF7-8874-5EE1D7FEF822}" name="2016" dataDxfId="3623"/>
    <tableColumn id="30" xr3:uid="{3FE5D41F-6969-44C4-BA5A-DD0EAD286681}" name="2017" dataDxfId="3622"/>
    <tableColumn id="31" xr3:uid="{19865E0D-D92C-4378-AE8B-31F261071116}" name="2018" dataDxfId="3621"/>
    <tableColumn id="32" xr3:uid="{A2827263-C721-42BC-9BF2-F6D3245934B5}" name="2019" dataDxfId="3620"/>
    <tableColumn id="33" xr3:uid="{0B2FD223-C3CA-428C-925E-6E600EB53EF8}" name="2020" dataDxfId="3619"/>
    <tableColumn id="34" xr3:uid="{A55EAC8C-7A7A-49F1-BA49-F5D81B5ADCC3}" name="2021" dataDxfId="3618"/>
    <tableColumn id="35" xr3:uid="{20EB13C1-8385-405B-AA9D-48FADA0DAA1C}" name="2022" dataDxfId="3617"/>
    <tableColumn id="36" xr3:uid="{0B9CD166-4BDA-4639-9039-5968D9E4ADC1}" name="2023" dataDxfId="3616"/>
  </tableColumns>
  <tableStyleInfo name="TableStyleLight1"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846975B9-EB65-4D94-9466-265B81934ECC}" name="NGDistributionMeterandRegulatorStations" displayName="NGDistributionMeterandRegulatorStations" ref="A151:AJ163" totalsRowShown="0" headerRowDxfId="3615" dataDxfId="3614" tableBorderDxfId="3613">
  <autoFilter ref="A151:AJ163" xr:uid="{846975B9-EB65-4D94-9466-265B81934EC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8D740900-55E6-47BB-800C-FE4148C49875}" name="Size and Type" dataDxfId="3612"/>
    <tableColumn id="2" xr3:uid="{3A55086A-EF47-4C32-A7FE-F77B5A2470D5}" name="Units" dataDxfId="3611"/>
    <tableColumn id="3" xr3:uid="{CACCBFB0-39B7-444D-A280-47FC1B1E0F3E}" name="1990" dataDxfId="3610"/>
    <tableColumn id="4" xr3:uid="{9167C795-C667-4C39-9636-EF947CCB0203}" name="1991" dataDxfId="3609"/>
    <tableColumn id="5" xr3:uid="{8F255099-9F4F-4017-9EA7-89F14E6F8476}" name="1992" dataDxfId="3608"/>
    <tableColumn id="6" xr3:uid="{CCDC7243-29E7-47D7-9C61-D6E9525C1C05}" name="1993" dataDxfId="3607"/>
    <tableColumn id="7" xr3:uid="{E2846619-A66E-4623-8975-0D05E3131274}" name="1994" dataDxfId="3606"/>
    <tableColumn id="8" xr3:uid="{957CAE3D-D4B1-436C-841D-07A964BCEC15}" name="1995" dataDxfId="3605"/>
    <tableColumn id="9" xr3:uid="{ABD1CE5C-407F-4837-B888-A71BCFA62FD8}" name="1996" dataDxfId="3604"/>
    <tableColumn id="10" xr3:uid="{95BB3480-0392-4746-9A5F-826805C00DCA}" name="1997" dataDxfId="3603"/>
    <tableColumn id="11" xr3:uid="{377B7FD8-0411-4D70-AE6B-9D39D9B12D6E}" name="1998" dataDxfId="3602"/>
    <tableColumn id="12" xr3:uid="{FBDF0246-00F5-48AE-B8F7-A8CE7AA8BA31}" name="1999" dataDxfId="3601"/>
    <tableColumn id="13" xr3:uid="{AEB927B2-BC69-4B2E-959D-2077A28E7A01}" name="2000" dataDxfId="3600"/>
    <tableColumn id="14" xr3:uid="{511D6C29-BC92-4B00-8679-B43EFC67676D}" name="2001" dataDxfId="3599"/>
    <tableColumn id="15" xr3:uid="{F8ECDBF0-94D1-4F58-BB8B-5F897999D1CF}" name="2002" dataDxfId="3598"/>
    <tableColumn id="16" xr3:uid="{36623FA6-D180-4360-AAA6-A3990A680AB2}" name="2003" dataDxfId="3597"/>
    <tableColumn id="17" xr3:uid="{8B11823C-B8FB-46D6-864A-96550B1B461F}" name="2004" dataDxfId="3596"/>
    <tableColumn id="18" xr3:uid="{C47D6BD6-CDF9-4E9F-BD2F-EF8A7A31E879}" name="2005" dataDxfId="3595"/>
    <tableColumn id="19" xr3:uid="{688BA6D6-7900-49D8-81DD-1D0CC78D0CA8}" name="2006" dataDxfId="3594"/>
    <tableColumn id="20" xr3:uid="{C04A0FF7-D5A4-4D64-8066-B11252254E3F}" name="2007" dataDxfId="3593"/>
    <tableColumn id="21" xr3:uid="{A8F82F48-92A8-42A3-8E7D-522E8B0A6A31}" name="2008" dataDxfId="3592"/>
    <tableColumn id="22" xr3:uid="{BAA60490-3F9C-4759-9C7C-FDDC55331B2A}" name="2009" dataDxfId="3591"/>
    <tableColumn id="23" xr3:uid="{17881E66-1734-4FA8-B818-7CE2774D9610}" name="2010" dataDxfId="3590"/>
    <tableColumn id="24" xr3:uid="{8BDA3EA4-D01A-4569-8E61-D83EDD885E26}" name="2011" dataDxfId="3589"/>
    <tableColumn id="25" xr3:uid="{8F98C784-3262-4D16-A4F8-B64A5B11EF12}" name="2012" dataDxfId="3588"/>
    <tableColumn id="26" xr3:uid="{A812FA8B-B74E-455B-933D-DF552596210C}" name="2013" dataDxfId="3587"/>
    <tableColumn id="27" xr3:uid="{515198CD-045E-443E-A8C1-87EBE2218CB7}" name="2014" dataDxfId="3586"/>
    <tableColumn id="28" xr3:uid="{2A1C5542-CE42-4255-8BD4-0883C1413663}" name="2015" dataDxfId="3585"/>
    <tableColumn id="29" xr3:uid="{F7A46260-BB33-4A60-ACD2-C1B12B1E12B0}" name="2016" dataDxfId="3584"/>
    <tableColumn id="30" xr3:uid="{0C1846BA-CCFC-4827-A4C7-BDE243134D2F}" name="2017" dataDxfId="3583"/>
    <tableColumn id="31" xr3:uid="{56E78578-09F9-46E7-A526-6B0AA94FE265}" name="2018" dataDxfId="3582"/>
    <tableColumn id="32" xr3:uid="{179FF3E1-3BC5-43D7-8D10-84FED2BB27A1}" name="2019" dataDxfId="3581"/>
    <tableColumn id="33" xr3:uid="{8C5771C7-21D6-4556-B7EC-DCDFEC683DFC}" name="2020" dataDxfId="3580"/>
    <tableColumn id="34" xr3:uid="{3DC3948D-A9C5-4C65-A38E-A4FE49D4EA9F}" name="2021" dataDxfId="3579"/>
    <tableColumn id="35" xr3:uid="{AC65739E-4DE2-4A3F-98C2-32EDCB467139}" name="2022" dataDxfId="3578"/>
    <tableColumn id="36" xr3:uid="{6D31FA22-1437-4436-94C2-3BE403DEF371}" name="2023" dataDxfId="3577"/>
  </tableColumns>
  <tableStyleInfo name="TableStyleLight1"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EB1C8EF0-8CDF-41A0-999D-FA3CE4D04765}" name="NGDistributionMilesforBlowdownsandMishaps" displayName="NGDistributionMilesforBlowdownsandMishaps" ref="A142:AJ145" totalsRowShown="0" headerRowDxfId="3576" dataDxfId="3575" dataCellStyle="Comma">
  <autoFilter ref="A142:AJ145" xr:uid="{EB1C8EF0-8CDF-41A0-999D-FA3CE4D0476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FBAA9908-1076-40AA-8DA5-2A951767D244}" name="Miles"/>
    <tableColumn id="2" xr3:uid="{8394495A-C6F5-4463-8005-24B80A28E864}" name="Units"/>
    <tableColumn id="3" xr3:uid="{772A1F00-1BEC-4A66-B658-38DDB7356D01}" name="1990">
      <calculatedColumnFormula>C118+C142</calculatedColumnFormula>
    </tableColumn>
    <tableColumn id="4" xr3:uid="{807D5592-E3B5-4AFF-874D-632C2C0768D9}" name="1991">
      <calculatedColumnFormula>D118+D142</calculatedColumnFormula>
    </tableColumn>
    <tableColumn id="5" xr3:uid="{7C66EE6B-C8A5-44A5-833D-277138E2F0A5}" name="1992">
      <calculatedColumnFormula>E118+E142</calculatedColumnFormula>
    </tableColumn>
    <tableColumn id="6" xr3:uid="{B25987F3-8F7C-4491-92F8-E74D2A9A18FF}" name="1993">
      <calculatedColumnFormula>F118+F142</calculatedColumnFormula>
    </tableColumn>
    <tableColumn id="7" xr3:uid="{51B75EC0-7A3E-4B81-A29F-77C98AA442CA}" name="1994">
      <calculatedColumnFormula>G118+G142</calculatedColumnFormula>
    </tableColumn>
    <tableColumn id="8" xr3:uid="{6AF053BA-7E78-47C6-BC96-7FFACBDECA25}" name="1995">
      <calculatedColumnFormula>H118+H142</calculatedColumnFormula>
    </tableColumn>
    <tableColumn id="9" xr3:uid="{5628CB8F-ED88-470D-99D8-4B0DDB8A1128}" name="1996">
      <calculatedColumnFormula>I118+I142</calculatedColumnFormula>
    </tableColumn>
    <tableColumn id="10" xr3:uid="{BE312441-5D34-4C45-8866-B74377EFF767}" name="1997">
      <calculatedColumnFormula>J118+J142</calculatedColumnFormula>
    </tableColumn>
    <tableColumn id="11" xr3:uid="{A4D0CF5F-7174-467E-84F0-ED2FFF6FD46E}" name="1998">
      <calculatedColumnFormula>K118+K142</calculatedColumnFormula>
    </tableColumn>
    <tableColumn id="12" xr3:uid="{567B6D25-0F1C-4473-9487-69251C8F22CE}" name="1999">
      <calculatedColumnFormula>L118+L142</calculatedColumnFormula>
    </tableColumn>
    <tableColumn id="13" xr3:uid="{7C282B87-2FE5-4C56-8BA4-4A3BDEA40FB8}" name="2000">
      <calculatedColumnFormula>M118+M142</calculatedColumnFormula>
    </tableColumn>
    <tableColumn id="14" xr3:uid="{E8AEA7F9-F465-4284-8E9C-3958B548B6B0}" name="2001">
      <calculatedColumnFormula>N118+N142</calculatedColumnFormula>
    </tableColumn>
    <tableColumn id="15" xr3:uid="{3AC61EE9-3E2D-43C1-8460-676478D673DE}" name="2002">
      <calculatedColumnFormula>O118+O142</calculatedColumnFormula>
    </tableColumn>
    <tableColumn id="16" xr3:uid="{00BB755A-BF93-4024-B68A-571A7D47BD75}" name="2003">
      <calculatedColumnFormula>P118+P142</calculatedColumnFormula>
    </tableColumn>
    <tableColumn id="17" xr3:uid="{5FAE840D-69F5-4094-B602-854B5F3FCCC1}" name="2004">
      <calculatedColumnFormula>Q118+Q142</calculatedColumnFormula>
    </tableColumn>
    <tableColumn id="18" xr3:uid="{FE75D01B-85EB-41F9-B245-C6FC8AFC357B}" name="2005">
      <calculatedColumnFormula>R118+R142</calculatedColumnFormula>
    </tableColumn>
    <tableColumn id="19" xr3:uid="{C0BD58FE-DE3B-4538-9301-987C3A83D1C4}" name="2006">
      <calculatedColumnFormula>S118+S142</calculatedColumnFormula>
    </tableColumn>
    <tableColumn id="20" xr3:uid="{AD17A353-222F-487A-B0A2-CFE9A97969A7}" name="2007">
      <calculatedColumnFormula>T118+T142</calculatedColumnFormula>
    </tableColumn>
    <tableColumn id="21" xr3:uid="{C74D726D-EDE9-453C-9B18-D6C98A056817}" name="2008">
      <calculatedColumnFormula>U118+U142</calculatedColumnFormula>
    </tableColumn>
    <tableColumn id="22" xr3:uid="{EB33A8E3-8CE5-47D1-A58A-042462A1A5B8}" name="2009">
      <calculatedColumnFormula>V118+V142</calculatedColumnFormula>
    </tableColumn>
    <tableColumn id="23" xr3:uid="{FBF593E9-0DDB-4D87-9317-3670AB738C12}" name="2010"/>
    <tableColumn id="24" xr3:uid="{4C7F57F6-DF96-4A98-96AA-6AE0A917206A}" name="2011"/>
    <tableColumn id="25" xr3:uid="{42B987C0-11B7-4CC5-B0EA-897087E8A3A2}" name="2012"/>
    <tableColumn id="26" xr3:uid="{49CCFA29-3D71-45BE-9AA6-FAED2192C201}" name="2013"/>
    <tableColumn id="27" xr3:uid="{47586EF2-9E39-47F0-9785-46A3CA24FAE0}" name="2014"/>
    <tableColumn id="28" xr3:uid="{4F37FED6-7146-4D61-9F11-19D238C1B1A4}" name="2015"/>
    <tableColumn id="29" xr3:uid="{0F35464E-BB51-460D-852B-2777673AEA08}" name="2016"/>
    <tableColumn id="30" xr3:uid="{82C0D1BA-9509-429B-B122-02CA38860219}" name="2017"/>
    <tableColumn id="31" xr3:uid="{A23A15D0-14BD-4B20-995D-411A442E8FCE}" name="2018"/>
    <tableColumn id="32" xr3:uid="{4C5FD014-540C-4D9C-879B-FA4FD29F8ACC}" name="2019"/>
    <tableColumn id="33" xr3:uid="{A074D75F-FA7C-402B-A149-B8CA3D97D621}" name="2020"/>
    <tableColumn id="34" xr3:uid="{7257A5FF-0E18-4D72-9D4F-4852DB947E90}" name="2021" dataDxfId="3574" dataCellStyle="Comma"/>
    <tableColumn id="35" xr3:uid="{FB6876F3-3D47-47DE-9944-B2F041B11D52}" name="2022" dataDxfId="3573" dataCellStyle="Comma"/>
    <tableColumn id="36" xr3:uid="{CF73781B-15D1-4EAC-AFEF-B534EE63ECF2}" name="2023" dataDxfId="3572" dataCellStyle="Comma"/>
  </tableColumns>
  <tableStyleInfo name="TableStyleLight1"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C7AA701-4B6F-4BA0-96DB-8DF544CDFF2A}" name="NGDistributionMilesofPipeline" displayName="NGDistributionMilesofPipeline" ref="A109:AJ120" totalsRowShown="0" headerRowDxfId="3571" dataDxfId="3570">
  <autoFilter ref="A109:AJ120" xr:uid="{0C7AA701-4B6F-4BA0-96DB-8DF544CDFF2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F0592BCB-9B2B-459C-94F2-F613FD78BA94}" name="Material Type" dataDxfId="3569"/>
    <tableColumn id="2" xr3:uid="{5F083E81-6930-4CC5-A810-CBBBCE77821C}" name="Units" dataDxfId="3568"/>
    <tableColumn id="3" xr3:uid="{B885D9E8-BAE6-4D13-A0EB-A0472FDCBE34}" name="1990" dataDxfId="3567"/>
    <tableColumn id="4" xr3:uid="{593CD467-1FF1-431E-BA6A-E01391DD2F65}" name="1991" dataDxfId="3566"/>
    <tableColumn id="5" xr3:uid="{E6AC0FCA-D025-4819-B64F-446F5463E2B0}" name="1992" dataDxfId="3565"/>
    <tableColumn id="6" xr3:uid="{90A3A9B3-03AD-45DE-8900-1D1E69F68693}" name="1993" dataDxfId="3564"/>
    <tableColumn id="7" xr3:uid="{EA17C196-F6E6-4881-BA73-C2DE845146A3}" name="1994" dataDxfId="3563"/>
    <tableColumn id="8" xr3:uid="{84E0B475-D013-406E-9141-279D5982E2CC}" name="1995" dataDxfId="3562"/>
    <tableColumn id="9" xr3:uid="{398C9A2E-7D81-44A8-8870-448048A743FF}" name="1996" dataDxfId="3561"/>
    <tableColumn id="10" xr3:uid="{BE55405B-D161-4C96-8FF9-274641A0BFEA}" name="1997" dataDxfId="3560"/>
    <tableColumn id="11" xr3:uid="{C89F9DF1-4691-4EB3-B5D5-6A50F9A8CB49}" name="1998" dataDxfId="3559"/>
    <tableColumn id="12" xr3:uid="{DFA9465D-868F-42AE-AA56-BABB62767274}" name="1999" dataDxfId="3558"/>
    <tableColumn id="13" xr3:uid="{B2402D07-AA81-469D-9D8B-6D47285FA71F}" name="2000" dataDxfId="3557"/>
    <tableColumn id="14" xr3:uid="{A2836C4B-BB56-448C-B6C9-600EC67E754A}" name="2001" dataDxfId="3556"/>
    <tableColumn id="15" xr3:uid="{BCAFF8A6-6932-4E1B-A1B6-C6BFA8AD2878}" name="2002" dataDxfId="3555"/>
    <tableColumn id="16" xr3:uid="{21B4DCAB-3F10-47DF-9BF7-22A1DAC79672}" name="2003" dataDxfId="3554"/>
    <tableColumn id="17" xr3:uid="{49413865-98C0-41D5-8A19-A4F16F6B3854}" name="2004" dataDxfId="3553"/>
    <tableColumn id="18" xr3:uid="{A4089B03-8857-43EC-8600-94972A72BEC0}" name="2005" dataDxfId="3552"/>
    <tableColumn id="19" xr3:uid="{FCF76275-44DC-450E-B5C3-21CB9E3DFAB0}" name="2006" dataDxfId="3551"/>
    <tableColumn id="20" xr3:uid="{43476036-0B91-47D6-992B-C2D6C4F5C49A}" name="2007" dataDxfId="3550"/>
    <tableColumn id="21" xr3:uid="{78DDB306-810A-4119-A434-9A2F443ACF7A}" name="2008" dataDxfId="3549"/>
    <tableColumn id="22" xr3:uid="{4A660D0E-C4EC-4CA7-92CD-ED797464C6AF}" name="2009" dataDxfId="3548"/>
    <tableColumn id="23" xr3:uid="{D4DA1E09-3B4D-4230-8661-CF4ED3E43DE3}" name="2010" dataDxfId="3547"/>
    <tableColumn id="24" xr3:uid="{6A1EE8EE-053F-425B-9956-A62B8C0EB1ED}" name="2011" dataDxfId="3546"/>
    <tableColumn id="25" xr3:uid="{D162B7EB-5A5A-4B1F-AB7F-EF6D87290408}" name="2012" dataDxfId="3545"/>
    <tableColumn id="26" xr3:uid="{07D75168-4AF7-452F-97E1-A897CBCD105F}" name="2013" dataDxfId="3544"/>
    <tableColumn id="27" xr3:uid="{025DEFB1-5260-4A1B-BA19-C3D3DF7C41E2}" name="2014" dataDxfId="3543"/>
    <tableColumn id="28" xr3:uid="{5F6A3FAE-23EB-4FF2-91DB-212F04433D89}" name="2015" dataDxfId="3542"/>
    <tableColumn id="29" xr3:uid="{4746C896-3420-42AE-8832-62E4BA35AC2E}" name="2016" dataDxfId="3541"/>
    <tableColumn id="30" xr3:uid="{EFFB4A0E-F0EA-41CB-B1E6-99F3A47E9E7E}" name="2017" dataDxfId="3540"/>
    <tableColumn id="31" xr3:uid="{F2C85C8A-5693-45C8-A534-45203FE793F0}" name="2018" dataDxfId="3539"/>
    <tableColumn id="32" xr3:uid="{A02548F2-885D-4D27-A690-2C843E524F1B}" name="2019" dataDxfId="3538"/>
    <tableColumn id="33" xr3:uid="{585F3208-0BBB-4CB0-8AD3-6CAAF89A6678}" name="2020" dataDxfId="3537"/>
    <tableColumn id="34" xr3:uid="{451C9032-8459-4941-9641-36589D375E42}" name="2021" dataDxfId="3536"/>
    <tableColumn id="35" xr3:uid="{6D372B43-2629-451E-A8C2-453B670FACE6}" name="2022" dataDxfId="3535"/>
    <tableColumn id="36" xr3:uid="{F22FEFDD-C912-4324-AA69-55B1A79D1448}" name="2023" dataDxfId="3534"/>
  </tableColumns>
  <tableStyleInfo name="TableStyleLight1"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4806A1D5-E358-4A56-872A-B56DC9FD9AA3}" name="NGDistributionNumberofServices" displayName="NGDistributionNumberofServices" ref="A126:AJ137" totalsRowShown="0" headerRowDxfId="3533" dataDxfId="3532">
  <autoFilter ref="A126:AJ137" xr:uid="{4806A1D5-E358-4A56-872A-B56DC9FD9AA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4A499E17-4353-437F-931A-CBD8B076591F}" name="Material Type" dataDxfId="3531"/>
    <tableColumn id="2" xr3:uid="{388DC17B-2024-4106-B917-E984986672E0}" name="Units" dataDxfId="3530"/>
    <tableColumn id="3" xr3:uid="{B8A001E5-EB07-4273-843A-BC24B8BFEBE3}" name="1990" dataDxfId="3529"/>
    <tableColumn id="4" xr3:uid="{9536510B-A1AD-432F-9001-0CA7409F71D2}" name="1991" dataDxfId="3528"/>
    <tableColumn id="5" xr3:uid="{B7A974A9-C41B-4FF8-9355-D00A24FD36D7}" name="1992" dataDxfId="3527"/>
    <tableColumn id="6" xr3:uid="{ED043083-A546-4B21-9FF6-C9974E8BE281}" name="1993" dataDxfId="3526"/>
    <tableColumn id="7" xr3:uid="{35D68B93-176C-4367-A454-8E5564FF2343}" name="1994" dataDxfId="3525"/>
    <tableColumn id="8" xr3:uid="{44E6F32B-D532-4019-86F3-DDFEB059F7FB}" name="1995" dataDxfId="3524"/>
    <tableColumn id="9" xr3:uid="{2A95721A-B7FF-4FC1-BA75-B126CFAF32A3}" name="1996" dataDxfId="3523"/>
    <tableColumn id="10" xr3:uid="{7CB1CF07-A2DB-400D-82FC-A8744E26DF52}" name="1997" dataDxfId="3522"/>
    <tableColumn id="11" xr3:uid="{5AF14369-C277-45AD-90DC-F5374E8538AA}" name="1998" dataDxfId="3521"/>
    <tableColumn id="12" xr3:uid="{A7E7DD51-9432-4463-B003-73050BFE05E2}" name="1999" dataDxfId="3520"/>
    <tableColumn id="13" xr3:uid="{E3F03E35-1EEA-4135-BAE4-57B902D464EE}" name="2000" dataDxfId="3519"/>
    <tableColumn id="14" xr3:uid="{D3419A00-7567-4D4C-B097-2F3EB70CF739}" name="2001" dataDxfId="3518"/>
    <tableColumn id="15" xr3:uid="{A33B322B-1415-4095-9D27-4A948B75CD33}" name="2002" dataDxfId="3517"/>
    <tableColumn id="16" xr3:uid="{593CA546-3179-4E00-86F5-DC290501A46D}" name="2003" dataDxfId="3516"/>
    <tableColumn id="17" xr3:uid="{B9B7C67D-6B88-4191-B391-923972E0CDA3}" name="2004" dataDxfId="3515"/>
    <tableColumn id="18" xr3:uid="{F0FDC95C-064D-4F0F-BAC9-C4E3971292EF}" name="2005" dataDxfId="3514"/>
    <tableColumn id="19" xr3:uid="{C73145E0-2E96-4305-B776-E4CC0530F1AD}" name="2006" dataDxfId="3513"/>
    <tableColumn id="20" xr3:uid="{1CF6386E-B6D5-4415-BFE4-672BCD33258B}" name="2007" dataDxfId="3512"/>
    <tableColumn id="21" xr3:uid="{8631CCCD-DD78-46FC-8D31-888046E108E1}" name="2008" dataDxfId="3511"/>
    <tableColumn id="22" xr3:uid="{F67054B2-5D6A-41F6-8FC0-7E335FB473BB}" name="2009" dataDxfId="3510"/>
    <tableColumn id="23" xr3:uid="{4F8BA141-479A-47EE-B4E9-C074453284A4}" name="2010" dataDxfId="3509"/>
    <tableColumn id="24" xr3:uid="{83768EFB-680A-499E-B072-F4084932DCBF}" name="2011" dataDxfId="3508"/>
    <tableColumn id="25" xr3:uid="{9065867F-7857-4BEB-B418-96ACDA63F0E6}" name="2012" dataDxfId="3507"/>
    <tableColumn id="26" xr3:uid="{E729BC1A-445D-494E-B8EC-5D51E6B2B5E3}" name="2013" dataDxfId="3506"/>
    <tableColumn id="27" xr3:uid="{D7E87D84-D192-4FE8-A8DB-0A2A03639FEC}" name="2014" dataDxfId="3505"/>
    <tableColumn id="28" xr3:uid="{EE5B47B4-E2A4-4695-97E3-B1FFF829A543}" name="2015" dataDxfId="3504"/>
    <tableColumn id="29" xr3:uid="{B45B24EE-1F58-4402-BCD2-FBE50DEA4F44}" name="2016" dataDxfId="3503"/>
    <tableColumn id="30" xr3:uid="{C2603094-B0F0-4B9F-BC40-C76DEEDF56EE}" name="2017" dataDxfId="3502"/>
    <tableColumn id="31" xr3:uid="{A2FBB02D-343A-4A54-884D-340DD3B466EE}" name="2018" dataDxfId="3501"/>
    <tableColumn id="32" xr3:uid="{932055DF-3DF9-4D65-8779-B241483D6324}" name="2019" dataDxfId="3500"/>
    <tableColumn id="33" xr3:uid="{76DCDCC6-AF0F-43E2-9CD0-EEDC753A10FC}" name="2020" dataDxfId="3499"/>
    <tableColumn id="34" xr3:uid="{EBA6AA49-EF41-4DB2-BFA5-74DF6D3DF772}" name="2021" dataDxfId="3498"/>
    <tableColumn id="35" xr3:uid="{EBC21FEF-669D-41D0-A33B-DCF22B7A2D82}" name="2022" dataDxfId="3497"/>
    <tableColumn id="36" xr3:uid="{86252C16-62F1-4216-BD1B-7412F6036E20}" name="2023" dataDxfId="3496"/>
  </tableColumns>
  <tableStyleInfo name="TableStyleLight1"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59E7088-D625-4657-A34F-E239E61EDE56}" name="NGDistributionCH4kgEFsPipelineandServices" displayName="NGDistributionCH4kgEFsPipelineandServices" ref="A179:AJ188" totalsRowShown="0" headerRowDxfId="3495" dataDxfId="3494" tableBorderDxfId="3493">
  <autoFilter ref="A179:AJ188" xr:uid="{059E7088-D625-4657-A34F-E239E61EDE5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8128CFA6-50F0-4E99-99C4-D6AA9CFAA1B2}" name="Material Type" dataDxfId="3492"/>
    <tableColumn id="2" xr3:uid="{5A4EEA3C-BE6D-4677-A9A8-226524C73F1D}" name="Units" dataDxfId="3491"/>
    <tableColumn id="3" xr3:uid="{B8453224-5A55-4755-AE37-F152D697B590}" name="1990" dataDxfId="3490"/>
    <tableColumn id="4" xr3:uid="{7FCC54DD-91E4-43A8-A708-0D067F4863D4}" name="1991" dataDxfId="3489"/>
    <tableColumn id="5" xr3:uid="{E354B8B2-D4F7-47FC-9E0D-1C22100720D7}" name="1992" dataDxfId="3488"/>
    <tableColumn id="6" xr3:uid="{8FC32380-0BDD-4FF1-ACA4-78D010DBB73C}" name="1993" dataDxfId="3487"/>
    <tableColumn id="7" xr3:uid="{A36425AE-22B6-416F-AE53-6DA7D125A82F}" name="1994" dataDxfId="3486"/>
    <tableColumn id="8" xr3:uid="{CF577C43-EFBF-4FAB-BC2A-73664454D1C2}" name="1995" dataDxfId="3485"/>
    <tableColumn id="9" xr3:uid="{8EA858A3-030B-4517-AEBB-89ADDE1ED252}" name="1996" dataDxfId="3484"/>
    <tableColumn id="10" xr3:uid="{B94923D8-C9B7-4C42-A912-FA3B3E6FC4B7}" name="1997" dataDxfId="3483"/>
    <tableColumn id="11" xr3:uid="{1E1E60D5-CC4E-4844-B494-BE80CFEF58EB}" name="1998" dataDxfId="3482"/>
    <tableColumn id="12" xr3:uid="{F5B3D6D9-4067-42F3-9AC1-C78BB5A6125D}" name="1999" dataDxfId="3481"/>
    <tableColumn id="13" xr3:uid="{95789214-AE9C-4CA2-A300-A8D97ED4DDBD}" name="2000" dataDxfId="3480"/>
    <tableColumn id="14" xr3:uid="{2BD2619D-F676-4650-9E56-E1A6CD44E615}" name="2001" dataDxfId="3479"/>
    <tableColumn id="15" xr3:uid="{12AFBE04-0E84-41B3-9E62-1B05C35492C5}" name="2002" dataDxfId="3478"/>
    <tableColumn id="16" xr3:uid="{6CCE7356-DE81-45C3-B7FC-27A1DC791E15}" name="2003" dataDxfId="3477"/>
    <tableColumn id="17" xr3:uid="{04A273C5-345C-4E9F-A70C-D28A3648569C}" name="2004" dataDxfId="3476"/>
    <tableColumn id="18" xr3:uid="{C7EC535F-8453-419E-A7F9-1271E4168C31}" name="2005" dataDxfId="3475"/>
    <tableColumn id="19" xr3:uid="{E71F26CA-AB52-43B5-9728-809BB86DC84C}" name="2006" dataDxfId="3474"/>
    <tableColumn id="20" xr3:uid="{01B66A1F-2DDE-4AD8-8078-A5D25C16930F}" name="2007" dataDxfId="3473"/>
    <tableColumn id="21" xr3:uid="{ACDCDDA1-47C1-491A-A60E-B714122B397B}" name="2008" dataDxfId="3472"/>
    <tableColumn id="22" xr3:uid="{A5A7924D-7CE4-4E35-BCD3-2C2D3ECEDCB9}" name="2009" dataDxfId="3471"/>
    <tableColumn id="23" xr3:uid="{C8195977-D122-4DA9-BFDF-F4651F4DD278}" name="2010" dataDxfId="3470"/>
    <tableColumn id="24" xr3:uid="{32D9E526-DC07-4D5C-9AF4-0FD8B6F655B9}" name="2011" dataDxfId="3469"/>
    <tableColumn id="25" xr3:uid="{FBC0048E-76C5-4E34-B294-91C6F777FA89}" name="2012" dataDxfId="3468"/>
    <tableColumn id="26" xr3:uid="{4B27FF6C-3CE2-4102-95B7-D5850EF60229}" name="2013" dataDxfId="3467"/>
    <tableColumn id="27" xr3:uid="{5B72053A-F3D9-4C47-B6FA-37FFA0C0E9B5}" name="2014" dataDxfId="3466"/>
    <tableColumn id="28" xr3:uid="{E8F7B49A-888D-49D6-8A8A-70A5A98600E2}" name="2015" dataDxfId="3465"/>
    <tableColumn id="29" xr3:uid="{63EC5285-5614-4452-B9CE-FAC857DDEF4E}" name="2016" dataDxfId="3464"/>
    <tableColumn id="30" xr3:uid="{862D095A-14EF-42D7-8FD2-025F97583C07}" name="2017" dataDxfId="3463"/>
    <tableColumn id="31" xr3:uid="{0DEE913D-8531-4794-94D8-483CC67A963E}" name="2018" dataDxfId="3462"/>
    <tableColumn id="32" xr3:uid="{77409127-E34C-454A-9889-E299957E62B3}" name="2019" dataDxfId="3461"/>
    <tableColumn id="33" xr3:uid="{9F8A7410-F706-4702-9D35-F9D0F631711B}" name="2020" dataDxfId="3460"/>
    <tableColumn id="34" xr3:uid="{8B670924-797C-4632-A72E-190ACADD4B25}" name="2021" dataDxfId="3459"/>
    <tableColumn id="35" xr3:uid="{BC8B1BE8-961E-4558-A42F-E150DA6707D8}" name="2022" dataDxfId="3458"/>
    <tableColumn id="36" xr3:uid="{D81DE63C-B4AA-42D4-92DC-E9FEEFE33538}" name="2023" dataDxfId="3457"/>
  </tableColumns>
  <tableStyleInfo name="TableStyleLight1"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7CD67B0E-59A5-4673-A5AB-E0B0939E3839}" name="NGDistributionCH4kgEFsMeterandRegulatorStations" displayName="NGDistributionCH4kgEFsMeterandRegulatorStations" ref="A191:AJ202" totalsRowShown="0" headerRowDxfId="3456" dataDxfId="3455" tableBorderDxfId="3454">
  <autoFilter ref="A191:AJ202" xr:uid="{7CD67B0E-59A5-4673-A5AB-E0B0939E38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2D41268C-69F4-4DED-B7B8-3EA6FB72F539}" name="Type/Size" dataDxfId="3453"/>
    <tableColumn id="2" xr3:uid="{DE8ED42B-7C62-4B20-BDEF-7C9E19B6B4B2}" name="Units" dataDxfId="3452"/>
    <tableColumn id="3" xr3:uid="{3E13FB92-13CF-4C4B-AF42-12D788C95D72}" name="1990" dataDxfId="3451"/>
    <tableColumn id="4" xr3:uid="{A1D1EA5E-7E0F-43F2-90B0-73B48F54C00A}" name="1991" dataDxfId="3450"/>
    <tableColumn id="5" xr3:uid="{2EF87839-75DC-4565-8154-ACC0AAD301ED}" name="1992" dataDxfId="3449"/>
    <tableColumn id="6" xr3:uid="{269C4AAC-F2A8-4174-B709-AC4DCE99DF2F}" name="1993" dataDxfId="3448"/>
    <tableColumn id="7" xr3:uid="{D0772590-4CF6-4754-AFE1-231CE25A349F}" name="1994" dataDxfId="3447"/>
    <tableColumn id="8" xr3:uid="{AF20EA0F-7972-4CBF-9490-F724681D576E}" name="1995" dataDxfId="3446"/>
    <tableColumn id="9" xr3:uid="{5F196ADF-B6AC-4459-A070-98C0A9DA8470}" name="1996" dataDxfId="3445"/>
    <tableColumn id="10" xr3:uid="{00FF1F15-4521-43E8-BB40-D37FE452B0F8}" name="1997" dataDxfId="3444"/>
    <tableColumn id="11" xr3:uid="{69231361-0CB3-44EA-8A32-549D4DE1DEDD}" name="1998" dataDxfId="3443"/>
    <tableColumn id="12" xr3:uid="{E0EC4D98-33AE-43CC-B32E-C8262E172D6A}" name="1999" dataDxfId="3442"/>
    <tableColumn id="13" xr3:uid="{9308CBF1-2016-4978-8DE8-484F1614730D}" name="2000" dataDxfId="3441"/>
    <tableColumn id="14" xr3:uid="{A45891B3-29FF-47E0-BC11-FFD15FA3FDB5}" name="2001" dataDxfId="3440"/>
    <tableColumn id="15" xr3:uid="{5E35011D-2CB8-44E0-9351-90880EFC3A95}" name="2002" dataDxfId="3439"/>
    <tableColumn id="16" xr3:uid="{E13CD982-A4F1-413D-89BD-4EBC1DBEC40F}" name="2003" dataDxfId="3438"/>
    <tableColumn id="17" xr3:uid="{443386B2-751B-4B85-8BC1-174B37609D6A}" name="2004" dataDxfId="3437"/>
    <tableColumn id="18" xr3:uid="{24B5480B-2BCD-4759-A471-808C2DE8121E}" name="2005" dataDxfId="3436"/>
    <tableColumn id="19" xr3:uid="{CA971C29-6156-40B8-AC03-A01C3567F3E5}" name="2006" dataDxfId="3435"/>
    <tableColumn id="20" xr3:uid="{CA4FF1B8-5F6A-4840-B3BB-CBC347A0456B}" name="2007" dataDxfId="3434"/>
    <tableColumn id="21" xr3:uid="{7CF69448-6144-4A91-9094-2DCCF2AAACA9}" name="2008" dataDxfId="3433"/>
    <tableColumn id="22" xr3:uid="{FE8264DC-4208-489C-A756-2A316444B6F4}" name="2009" dataDxfId="3432"/>
    <tableColumn id="23" xr3:uid="{DF7DA746-765B-43F1-9EB2-7E20D8D1E8EE}" name="2010" dataDxfId="3431"/>
    <tableColumn id="24" xr3:uid="{9196AEB5-9819-4EDC-9CE3-F271B0C75D43}" name="2011" dataDxfId="3430"/>
    <tableColumn id="25" xr3:uid="{45DA57B1-D02C-4921-AE85-2B77108C14CF}" name="2012" dataDxfId="3429"/>
    <tableColumn id="26" xr3:uid="{7E9EA3FD-2F7B-4CA6-833C-8636EF703175}" name="2013" dataDxfId="3428"/>
    <tableColumn id="27" xr3:uid="{ECCB6CBD-77DA-43BE-ACDE-77981D1FE4CE}" name="2014" dataDxfId="3427"/>
    <tableColumn id="28" xr3:uid="{BF1A60D3-3B6A-45C5-83F8-DDB75368FDAF}" name="2015" dataDxfId="3426"/>
    <tableColumn id="29" xr3:uid="{D9F78A2D-7424-444D-AD9F-2C429444C1FA}" name="2016" dataDxfId="3425"/>
    <tableColumn id="30" xr3:uid="{EB15543C-DBC7-4723-B7D3-45B89D5C05B8}" name="2017" dataDxfId="3424"/>
    <tableColumn id="31" xr3:uid="{350426C2-B265-45C7-8271-41D151CCD20B}" name="2018" dataDxfId="3423"/>
    <tableColumn id="32" xr3:uid="{90B14BBD-AE40-4C29-B500-49A0065324C7}" name="2019" dataDxfId="3422"/>
    <tableColumn id="33" xr3:uid="{1EDE7159-FF93-4DFC-91DF-E9EDCDE717C7}" name="2020" dataDxfId="3421"/>
    <tableColumn id="34" xr3:uid="{4A7A2C76-344E-410E-A1F0-8BC4FF8BF6D3}" name="2021" dataDxfId="3420"/>
    <tableColumn id="35" xr3:uid="{9DBC2052-D412-4D4E-A6D3-6E65D60BDBC3}" name="2022" dataDxfId="3419"/>
    <tableColumn id="36" xr3:uid="{74ED27DE-25BE-4DEB-9C32-13004BA5CA8C}" name="2023" dataDxfId="3418"/>
  </tableColumns>
  <tableStyleInfo name="TableStyleLight1"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F1BF6D79-8CF2-43EC-AEAB-F8FE6238A954}" name="NGDistributionCH4kgEFsCustomerMeters" displayName="NGDistributionCH4kgEFsCustomerMeters" ref="A205:AJ209" totalsRowShown="0" headerRowDxfId="3417" dataDxfId="3416" tableBorderDxfId="3415">
  <autoFilter ref="A205:AJ209" xr:uid="{F1BF6D79-8CF2-43EC-AEAB-F8FE6238A95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B900FC40-0194-43C3-B44E-A4C8BEA87248}" name="Segment"/>
    <tableColumn id="2" xr3:uid="{399E74EA-9781-4529-9DD8-2C3FA610858A}" name="Units" dataDxfId="3414"/>
    <tableColumn id="3" xr3:uid="{10950D55-1B9D-4C8C-8C7C-2B248F735353}" name="1990" dataDxfId="3413"/>
    <tableColumn id="4" xr3:uid="{13DDE55C-B33B-49BD-96F9-794E92ACD0D1}" name="1991" dataDxfId="3412"/>
    <tableColumn id="5" xr3:uid="{B1A65AA2-8E97-45D0-8904-10D8B3D28E3B}" name="1992" dataDxfId="3411"/>
    <tableColumn id="6" xr3:uid="{2E000A1E-7BAB-4F26-BF78-5C9CE7FE9638}" name="1993" dataDxfId="3410"/>
    <tableColumn id="7" xr3:uid="{91B11C35-C737-4C3E-90F6-87905FA8D585}" name="1994" dataDxfId="3409"/>
    <tableColumn id="8" xr3:uid="{DE3388D3-53A3-49B9-9AB4-3F8B090CB4A2}" name="1995" dataDxfId="3408"/>
    <tableColumn id="9" xr3:uid="{BE5AF596-E514-4278-907C-F393103A9AE7}" name="1996" dataDxfId="3407"/>
    <tableColumn id="10" xr3:uid="{FD1DD3B8-D319-4893-AA6D-3667A4B89D93}" name="1997" dataDxfId="3406"/>
    <tableColumn id="11" xr3:uid="{30DBE23B-1C02-48E4-832A-E7F994FB3AFD}" name="1998" dataDxfId="3405"/>
    <tableColumn id="12" xr3:uid="{0669E72D-0F91-4FB2-A5D0-41F551D8BCAE}" name="1999" dataDxfId="3404"/>
    <tableColumn id="13" xr3:uid="{CE34D7EC-4DF5-4415-97AA-69F5DC3AF1A5}" name="2000" dataDxfId="3403"/>
    <tableColumn id="14" xr3:uid="{D7B802D8-76E9-4FD5-A1F7-B7E43A7FEA10}" name="2001" dataDxfId="3402"/>
    <tableColumn id="15" xr3:uid="{691B0B3C-8CB9-4259-9434-D7539A648990}" name="2002" dataDxfId="3401"/>
    <tableColumn id="16" xr3:uid="{D2109B68-A1B7-4E82-8AB7-370417D99B47}" name="2003" dataDxfId="3400"/>
    <tableColumn id="17" xr3:uid="{F143DFA2-527F-4EF0-8561-917CD52917EC}" name="2004" dataDxfId="3399"/>
    <tableColumn id="18" xr3:uid="{DF4C9044-D88B-4BF0-BE9D-21D143CA686C}" name="2005" dataDxfId="3398"/>
    <tableColumn id="19" xr3:uid="{6DF1A790-ECE5-44EF-9F8A-CBD5746B327A}" name="2006" dataDxfId="3397"/>
    <tableColumn id="20" xr3:uid="{71911F9F-27BC-45EF-80F5-69221F6510BD}" name="2007" dataDxfId="3396"/>
    <tableColumn id="21" xr3:uid="{2771FC8C-7CA8-4B42-8B08-B925A3B62217}" name="2008" dataDxfId="3395"/>
    <tableColumn id="22" xr3:uid="{E9AC779E-6C8B-46C3-9F8F-8432D35D03B2}" name="2009" dataDxfId="3394"/>
    <tableColumn id="23" xr3:uid="{4C86D064-5C29-402C-97E8-54ACBCE43EC4}" name="2010" dataDxfId="3393"/>
    <tableColumn id="24" xr3:uid="{EBBB0A6A-E72B-4067-8D07-D3A721D95492}" name="2011" dataDxfId="3392"/>
    <tableColumn id="25" xr3:uid="{537BAC5C-B80E-45A5-99EC-3F5246B0E80F}" name="2012" dataDxfId="3391"/>
    <tableColumn id="26" xr3:uid="{14BF959D-D538-4CC0-B3FB-1F130107162A}" name="2013" dataDxfId="3390"/>
    <tableColumn id="27" xr3:uid="{DC29DE11-D25F-49D3-B767-0D9AC5A469EF}" name="2014" dataDxfId="3389"/>
    <tableColumn id="28" xr3:uid="{193B6F72-84A2-43B9-91F2-0EE81E27ECBB}" name="2015" dataDxfId="3388"/>
    <tableColumn id="29" xr3:uid="{1282F896-FFCF-4A07-B810-CDC942E49257}" name="2016" dataDxfId="3387"/>
    <tableColumn id="30" xr3:uid="{CD392092-C4AA-4628-ABC9-C1307047E8F3}" name="2017" dataDxfId="3386"/>
    <tableColumn id="31" xr3:uid="{EB6818A4-78B4-4526-98AA-710265943782}" name="2018" dataDxfId="3385"/>
    <tableColumn id="32" xr3:uid="{63F5AC9C-BE66-421E-ACCF-3B571B536430}" name="2019" dataDxfId="3384"/>
    <tableColumn id="33" xr3:uid="{44B87C4C-3ADC-4486-AE0C-E334207F9DF5}" name="2020" dataDxfId="3383"/>
    <tableColumn id="34" xr3:uid="{E622EBD8-8124-480C-96F6-ABAEB76D870A}" name="2021" dataDxfId="3382"/>
    <tableColumn id="35" xr3:uid="{9EDD852A-EA30-4BFF-9E0B-BC5945A7CB15}" name="2022" dataDxfId="3381"/>
    <tableColumn id="36" xr3:uid="{3C3D0200-0707-4F8D-93C1-84E562685645}" name="2023" dataDxfId="3380"/>
  </tableColumns>
  <tableStyleInfo name="TableStyleLight1"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23967884-C742-4D07-8C2F-2EAFF74E6002}" name="NGDistributionCH4kgEFsRoutineMaintenanceandUpsets" displayName="NGDistributionCH4kgEFsRoutineMaintenanceandUpsets" ref="A212:AJ216" totalsRowShown="0" headerRowDxfId="3379" tableBorderDxfId="3378">
  <autoFilter ref="A212:AJ216" xr:uid="{23967884-C742-4D07-8C2F-2EAFF74E60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CA44D69B-328C-49DE-ACDE-E42325195668}" name="Type" dataDxfId="3377"/>
    <tableColumn id="2" xr3:uid="{09AFEF68-2BD7-473C-AB3C-07F2A6827AD7}" name="Units" dataDxfId="3376"/>
    <tableColumn id="3" xr3:uid="{BD59FF06-8ACE-4F39-B5AD-1DABC013644B}" name="1990" dataDxfId="3375"/>
    <tableColumn id="4" xr3:uid="{A4BDF592-D87B-4689-A0CA-AA931B8CB848}" name="1991" dataDxfId="3374"/>
    <tableColumn id="5" xr3:uid="{FC150C26-1728-411A-B706-DF7570EF93A5}" name="1992" dataDxfId="3373"/>
    <tableColumn id="6" xr3:uid="{C2FBCEC1-9659-4AD1-975D-0F28E10ACA79}" name="1993" dataDxfId="3372"/>
    <tableColumn id="7" xr3:uid="{3B809C9F-A563-4630-8DFE-787E32D7BF51}" name="1994" dataDxfId="3371"/>
    <tableColumn id="8" xr3:uid="{57BD3E44-9097-4D3C-B7F7-78062FD6A24D}" name="1995" dataDxfId="3370"/>
    <tableColumn id="9" xr3:uid="{6DBA1854-42F1-4D62-98AE-EE5F4CFF21FF}" name="1996" dataDxfId="3369"/>
    <tableColumn id="10" xr3:uid="{848A8AD3-A2BB-4017-8245-58F26046BF1F}" name="1997" dataDxfId="3368"/>
    <tableColumn id="11" xr3:uid="{35A6D8D9-3827-4376-9EBC-FD163537FA1E}" name="1998" dataDxfId="3367"/>
    <tableColumn id="12" xr3:uid="{96BF4864-9F62-4746-8E32-3C5204422B90}" name="1999" dataDxfId="3366"/>
    <tableColumn id="13" xr3:uid="{2F0BD807-ED80-453D-82FC-BCF2252E0E9C}" name="2000" dataDxfId="3365"/>
    <tableColumn id="14" xr3:uid="{7EE6F72E-E802-4DAB-AD5D-507C3F76EE67}" name="2001" dataDxfId="3364"/>
    <tableColumn id="15" xr3:uid="{D12DE176-5186-4452-8115-E6B260C3FA3E}" name="2002" dataDxfId="3363"/>
    <tableColumn id="16" xr3:uid="{96535C69-9336-43E2-BB32-11B1AB2587FB}" name="2003" dataDxfId="3362"/>
    <tableColumn id="17" xr3:uid="{89958A0C-4F1E-4D3F-BE5F-4B576C3B5A33}" name="2004" dataDxfId="3361"/>
    <tableColumn id="18" xr3:uid="{6863C44A-4671-46FF-89BD-494BEB14ECE2}" name="2005" dataDxfId="3360"/>
    <tableColumn id="19" xr3:uid="{0BF83EBB-F6F0-40C0-B184-F41BF10CB088}" name="2006" dataDxfId="3359"/>
    <tableColumn id="20" xr3:uid="{50BACFEB-A680-4653-9A33-00C348BC1A2A}" name="2007" dataDxfId="3358"/>
    <tableColumn id="21" xr3:uid="{632423E6-296B-47B5-B349-6EB61EC47A30}" name="2008" dataDxfId="3357"/>
    <tableColumn id="22" xr3:uid="{71B4E1DA-DEE5-4DD9-ADA9-D2E91ACC7D93}" name="2009" dataDxfId="3356"/>
    <tableColumn id="23" xr3:uid="{6538CA03-5734-4953-9635-8B8CAD685598}" name="2010" dataDxfId="3355"/>
    <tableColumn id="24" xr3:uid="{3FE6665D-C5E6-40E0-BD14-E826F8B2B33E}" name="2011" dataDxfId="3354"/>
    <tableColumn id="25" xr3:uid="{7096AC59-DCC5-4470-8A62-0E6D5F9A0F61}" name="2012" dataDxfId="3353"/>
    <tableColumn id="26" xr3:uid="{EF055540-0997-45C2-B585-F4AECD01296A}" name="2013" dataDxfId="3352"/>
    <tableColumn id="27" xr3:uid="{5239A51B-EFE4-49B9-8363-A5AD1D33846E}" name="2014" dataDxfId="3351"/>
    <tableColumn id="28" xr3:uid="{B0A76CD1-ED15-4D69-BAFB-AA7017EA4DCD}" name="2015"/>
    <tableColumn id="29" xr3:uid="{BC9DB414-C9B4-4B82-951D-9CDB8620ED49}" name="2016"/>
    <tableColumn id="30" xr3:uid="{8D36AF93-F157-4A91-AA90-1D4EC445AD90}" name="2017"/>
    <tableColumn id="31" xr3:uid="{8DE9F0E0-FD7A-4662-A95A-1CD07608879D}" name="2018"/>
    <tableColumn id="32" xr3:uid="{5D44FEF7-022D-431C-B5CD-AE0F96183B93}" name="2019"/>
    <tableColumn id="33" xr3:uid="{3C51AC41-388A-42AB-B7BB-1434B195203B}" name="2020"/>
    <tableColumn id="34" xr3:uid="{D5EE9970-F868-4FAD-816B-0CD94B7D36FE}" name="2021"/>
    <tableColumn id="35" xr3:uid="{31BF73B1-6D77-4BAD-B309-82391D29B7E0}" name="2022"/>
    <tableColumn id="36" xr3:uid="{318F787E-AAE6-4BB0-8CF6-DCAFEF483ED1}" name="2023"/>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0" xr:uid="{FDB88A52-0B01-4582-92B9-0EE73A87646F}" name="TSummaryChartDataPercentofTotalGHGEmissionsbyAlternateSector2023" displayName="TSummaryChartDataPercentofTotalGHGEmissionsbyAlternateSector2023" ref="AR21:AT32" totalsRowShown="0" headerRowDxfId="5220">
  <autoFilter ref="AR21:AT32" xr:uid="{FDB88A52-0B01-4582-92B9-0EE73A87646F}">
    <filterColumn colId="0" hiddenButton="1"/>
    <filterColumn colId="1" hiddenButton="1"/>
    <filterColumn colId="2" hiddenButton="1"/>
  </autoFilter>
  <tableColumns count="3">
    <tableColumn id="1" xr3:uid="{5345BFA8-979C-4181-A7AA-A81540837F7D}" name="MMTCO2e" dataDxfId="5219"/>
    <tableColumn id="2" xr3:uid="{399CCAA6-9331-4600-80C5-8EE7EF54A0D9}" name="Percent" dataDxfId="5218"/>
    <tableColumn id="3" xr3:uid="{993FC56D-6262-4016-9C2B-D88AB264E6BC}" name="Sector" dataDxfId="5217"/>
  </tableColumns>
  <tableStyleInfo name="TableStyleLight1"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9349AF46-9E28-4353-9CB5-1C9A6F634F87}" name="NGDistributionCH4mtEFsPipelineandServices" displayName="NGDistributionCH4mtEFsPipelineandServices" ref="A219:AJ228" totalsRowShown="0" headerRowDxfId="3350" dataDxfId="3349" tableBorderDxfId="3348">
  <autoFilter ref="A219:AJ228" xr:uid="{9349AF46-9E28-4353-9CB5-1C9A6F634F8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318DBE63-7F70-4F34-B629-E1E80640150C}" name="Type/Material Type" dataDxfId="3347"/>
    <tableColumn id="2" xr3:uid="{BA4E9EF0-33DE-4FEA-95D1-81C0E6F706D5}" name="Units" dataDxfId="3346"/>
    <tableColumn id="3" xr3:uid="{74248CD3-0CA6-4F91-86F1-761D0B453D60}" name="1990" dataDxfId="3345">
      <calculatedColumnFormula>C180*#REF!</calculatedColumnFormula>
    </tableColumn>
    <tableColumn id="4" xr3:uid="{383784CB-4675-4FED-B057-2E7BFDF73049}" name="1991" dataDxfId="3344">
      <calculatedColumnFormula>D180*#REF!</calculatedColumnFormula>
    </tableColumn>
    <tableColumn id="5" xr3:uid="{E010C079-3A47-41E0-957D-4A4F36DE5FA2}" name="1992" dataDxfId="3343">
      <calculatedColumnFormula>E180*#REF!</calculatedColumnFormula>
    </tableColumn>
    <tableColumn id="6" xr3:uid="{CEF327C3-B92A-4E1B-81E3-1E024D606787}" name="1993" dataDxfId="3342">
      <calculatedColumnFormula>F180*#REF!</calculatedColumnFormula>
    </tableColumn>
    <tableColumn id="7" xr3:uid="{0F6B6F31-FCE9-4266-A78A-FE607748DC6A}" name="1994" dataDxfId="3341">
      <calculatedColumnFormula>G180*#REF!</calculatedColumnFormula>
    </tableColumn>
    <tableColumn id="8" xr3:uid="{D31B4F40-16C2-455C-8D2B-3CC4B7070132}" name="1995" dataDxfId="3340">
      <calculatedColumnFormula>H180*#REF!</calculatedColumnFormula>
    </tableColumn>
    <tableColumn id="9" xr3:uid="{D7E5E774-EF09-4C81-8DB3-F9D87FD7511B}" name="1996" dataDxfId="3339">
      <calculatedColumnFormula>I180*#REF!</calculatedColumnFormula>
    </tableColumn>
    <tableColumn id="10" xr3:uid="{0638FADB-A0E7-46AD-B56A-2EB90CFC11DE}" name="1997" dataDxfId="3338">
      <calculatedColumnFormula>J180*#REF!</calculatedColumnFormula>
    </tableColumn>
    <tableColumn id="11" xr3:uid="{007585D1-4375-410C-BEFC-C9160F421E72}" name="1998" dataDxfId="3337">
      <calculatedColumnFormula>K180*#REF!</calculatedColumnFormula>
    </tableColumn>
    <tableColumn id="12" xr3:uid="{3F275316-BDC6-44F1-819A-6754132BC068}" name="1999" dataDxfId="3336">
      <calculatedColumnFormula>L180*#REF!</calculatedColumnFormula>
    </tableColumn>
    <tableColumn id="13" xr3:uid="{992C0918-2EBB-4655-ADF5-DE8BBAC941A7}" name="2000" dataDxfId="3335">
      <calculatedColumnFormula>M180*#REF!</calculatedColumnFormula>
    </tableColumn>
    <tableColumn id="14" xr3:uid="{40D7CC7F-31DC-4525-80A7-7AC914886DCF}" name="2001" dataDxfId="3334">
      <calculatedColumnFormula>N180*#REF!</calculatedColumnFormula>
    </tableColumn>
    <tableColumn id="15" xr3:uid="{E31E2179-6D71-46A0-B1EA-2614FCF79661}" name="2002" dataDxfId="3333">
      <calculatedColumnFormula>O180*#REF!</calculatedColumnFormula>
    </tableColumn>
    <tableColumn id="16" xr3:uid="{A53EEA1B-FE80-4223-9DA2-0C202B2E1AEF}" name="2003" dataDxfId="3332">
      <calculatedColumnFormula>P180*#REF!</calculatedColumnFormula>
    </tableColumn>
    <tableColumn id="17" xr3:uid="{8FA7C271-BD9D-4A9D-9E6C-B960F9BEC83D}" name="2004" dataDxfId="3331">
      <calculatedColumnFormula>Q180*#REF!</calculatedColumnFormula>
    </tableColumn>
    <tableColumn id="18" xr3:uid="{EA7CCD3F-2670-4076-B257-6E1E4F2AA63D}" name="2005" dataDxfId="3330">
      <calculatedColumnFormula>R180*#REF!</calculatedColumnFormula>
    </tableColumn>
    <tableColumn id="19" xr3:uid="{0AD6D10D-5CDB-4F31-8BDE-D9A58887EB61}" name="2006" dataDxfId="3329">
      <calculatedColumnFormula>S180*#REF!</calculatedColumnFormula>
    </tableColumn>
    <tableColumn id="20" xr3:uid="{C810E786-CA1F-442B-8D4B-0C1802D143FB}" name="2007" dataDxfId="3328">
      <calculatedColumnFormula>T180*#REF!</calculatedColumnFormula>
    </tableColumn>
    <tableColumn id="21" xr3:uid="{B5943614-9215-4497-AFDF-60A4E513236E}" name="2008" dataDxfId="3327">
      <calculatedColumnFormula>U180*#REF!</calculatedColumnFormula>
    </tableColumn>
    <tableColumn id="22" xr3:uid="{CA6DE507-A821-4AA6-897A-C3814250995F}" name="2009" dataDxfId="3326">
      <calculatedColumnFormula>V180*#REF!</calculatedColumnFormula>
    </tableColumn>
    <tableColumn id="23" xr3:uid="{FBC7372F-6281-4F28-8694-6B0AADEE2435}" name="2010" dataDxfId="3325">
      <calculatedColumnFormula>W180*#REF!</calculatedColumnFormula>
    </tableColumn>
    <tableColumn id="24" xr3:uid="{E1372322-F73E-4BA9-A97D-C6C2F727EF7F}" name="2011" dataDxfId="3324">
      <calculatedColumnFormula>X180*#REF!</calculatedColumnFormula>
    </tableColumn>
    <tableColumn id="25" xr3:uid="{2D85CCF4-8950-4E8D-A1A2-C37EF9B5AF43}" name="2012" dataDxfId="3323">
      <calculatedColumnFormula>Y180*#REF!</calculatedColumnFormula>
    </tableColumn>
    <tableColumn id="26" xr3:uid="{51C2CE2A-AE33-4874-BA58-8FEA4189847E}" name="2013" dataDxfId="3322">
      <calculatedColumnFormula>Z180*#REF!</calculatedColumnFormula>
    </tableColumn>
    <tableColumn id="27" xr3:uid="{B11F56D0-4D05-417E-9E51-AA170D49C80D}" name="2014" dataDxfId="3321">
      <calculatedColumnFormula>AA180*#REF!</calculatedColumnFormula>
    </tableColumn>
    <tableColumn id="28" xr3:uid="{5F001B1B-9F89-458A-8C09-10E5A7B434A4}" name="2015" dataDxfId="3320">
      <calculatedColumnFormula>AB180*#REF!</calculatedColumnFormula>
    </tableColumn>
    <tableColumn id="29" xr3:uid="{98D1CAE1-2121-4F23-8E5D-9AEC41138465}" name="2016" dataDxfId="3319">
      <calculatedColumnFormula>AC180*#REF!</calculatedColumnFormula>
    </tableColumn>
    <tableColumn id="30" xr3:uid="{EA2ADE58-99DC-4853-B108-55C76A5D0746}" name="2017" dataDxfId="3318">
      <calculatedColumnFormula>AD180*#REF!</calculatedColumnFormula>
    </tableColumn>
    <tableColumn id="31" xr3:uid="{997E397E-2D70-4585-BAC0-8461EEBD5DEC}" name="2018" dataDxfId="3317">
      <calculatedColumnFormula>AE180*#REF!</calculatedColumnFormula>
    </tableColumn>
    <tableColumn id="32" xr3:uid="{4D259E34-E11E-4206-B879-86044A682FC8}" name="2019" dataDxfId="3316">
      <calculatedColumnFormula>AF180*#REF!</calculatedColumnFormula>
    </tableColumn>
    <tableColumn id="33" xr3:uid="{810E5F0F-5449-4934-809F-E7BFB07F3C1A}" name="2020" dataDxfId="3315">
      <calculatedColumnFormula>AG180*#REF!</calculatedColumnFormula>
    </tableColumn>
    <tableColumn id="34" xr3:uid="{6EF38F8A-42E8-4E7B-BA23-6703FD491F2D}" name="2021" dataDxfId="3314">
      <calculatedColumnFormula>AH180*#REF!</calculatedColumnFormula>
    </tableColumn>
    <tableColumn id="35" xr3:uid="{348C8997-49C8-4718-827B-A336FE67FF3F}" name="2022" dataDxfId="3313">
      <calculatedColumnFormula>AI180*#REF!</calculatedColumnFormula>
    </tableColumn>
    <tableColumn id="36" xr3:uid="{90FECCBE-5B23-446E-BAE7-AE74C3617C96}" name="2023" dataDxfId="3312">
      <calculatedColumnFormula>AJ180*#REF!</calculatedColumnFormula>
    </tableColumn>
  </tableColumns>
  <tableStyleInfo name="TableStyleLight1"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B9324FD3-9497-42DC-9B08-2F5B516C4806}" name="NGDistributionCH4mtEFsMeterandRegulatorStations" displayName="NGDistributionCH4mtEFsMeterandRegulatorStations" ref="A231:AJ242" totalsRowShown="0" headerRowDxfId="3311" dataDxfId="3310" tableBorderDxfId="3309">
  <autoFilter ref="A231:AJ242" xr:uid="{B9324FD3-9497-42DC-9B08-2F5B516C480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78D33B33-DDD8-4476-A964-16215891564D}" name="Type/Size" dataDxfId="3308"/>
    <tableColumn id="2" xr3:uid="{19930B54-894F-4E80-858E-035FADF17E4F}" name="Units" dataDxfId="3307"/>
    <tableColumn id="3" xr3:uid="{3D768EBD-80DB-41F9-9713-C9C2D7257E70}" name="1990" dataDxfId="3306">
      <calculatedColumnFormula>C192*#REF!</calculatedColumnFormula>
    </tableColumn>
    <tableColumn id="4" xr3:uid="{F4F2AA07-E1DA-4B98-B39C-9622F15AA547}" name="1991" dataDxfId="3305">
      <calculatedColumnFormula>D192*#REF!</calculatedColumnFormula>
    </tableColumn>
    <tableColumn id="5" xr3:uid="{3575781C-188F-4AB2-B35C-5D86F2A52E63}" name="1992" dataDxfId="3304">
      <calculatedColumnFormula>E192*#REF!</calculatedColumnFormula>
    </tableColumn>
    <tableColumn id="6" xr3:uid="{44171EB0-1A14-42CD-9FE9-942B871E9A3E}" name="1993" dataDxfId="3303">
      <calculatedColumnFormula>F192*#REF!</calculatedColumnFormula>
    </tableColumn>
    <tableColumn id="7" xr3:uid="{B2B7442E-40BF-44BE-AF75-13FD0E1EB8AF}" name="1994" dataDxfId="3302">
      <calculatedColumnFormula>G192*#REF!</calculatedColumnFormula>
    </tableColumn>
    <tableColumn id="8" xr3:uid="{B577D4AB-D716-4796-9718-C81529E5F3E7}" name="1995" dataDxfId="3301">
      <calculatedColumnFormula>H192*#REF!</calculatedColumnFormula>
    </tableColumn>
    <tableColumn id="9" xr3:uid="{AACF7E82-A780-49E8-A2F4-90756D6BEA53}" name="1996" dataDxfId="3300">
      <calculatedColumnFormula>I192*#REF!</calculatedColumnFormula>
    </tableColumn>
    <tableColumn id="10" xr3:uid="{7B1C1752-24D2-494B-B7C9-46494768956E}" name="1997" dataDxfId="3299">
      <calculatedColumnFormula>J192*#REF!</calculatedColumnFormula>
    </tableColumn>
    <tableColumn id="11" xr3:uid="{1070BABC-FFD9-48C4-A271-F11D80A18C5A}" name="1998" dataDxfId="3298">
      <calculatedColumnFormula>K192*#REF!</calculatedColumnFormula>
    </tableColumn>
    <tableColumn id="12" xr3:uid="{8B651DCB-AAA3-463A-995B-C13AD75039BC}" name="1999" dataDxfId="3297">
      <calculatedColumnFormula>L192*#REF!</calculatedColumnFormula>
    </tableColumn>
    <tableColumn id="13" xr3:uid="{4E31CCD1-F92A-42B9-ACA3-0E12BBB7999E}" name="2000" dataDxfId="3296">
      <calculatedColumnFormula>M192*#REF!</calculatedColumnFormula>
    </tableColumn>
    <tableColumn id="14" xr3:uid="{EA540CD0-F7FB-4023-BD67-500073DDA19B}" name="2001" dataDxfId="3295">
      <calculatedColumnFormula>N192*#REF!</calculatedColumnFormula>
    </tableColumn>
    <tableColumn id="15" xr3:uid="{9A725265-E6F1-4031-AD85-2885F13742DE}" name="2002" dataDxfId="3294">
      <calculatedColumnFormula>O192*#REF!</calculatedColumnFormula>
    </tableColumn>
    <tableColumn id="16" xr3:uid="{0168E03D-9CE3-4754-AC3B-1C4AAA2284D0}" name="2003" dataDxfId="3293">
      <calculatedColumnFormula>P192*#REF!</calculatedColumnFormula>
    </tableColumn>
    <tableColumn id="17" xr3:uid="{AB8B4044-BB5A-4251-8153-1FD90EAA1AF7}" name="2004" dataDxfId="3292">
      <calculatedColumnFormula>Q192*#REF!</calculatedColumnFormula>
    </tableColumn>
    <tableColumn id="18" xr3:uid="{AA63F246-40C6-4D97-A6BE-DA670F49012B}" name="2005" dataDxfId="3291">
      <calculatedColumnFormula>R192*#REF!</calculatedColumnFormula>
    </tableColumn>
    <tableColumn id="19" xr3:uid="{71D729CD-AAA6-41F8-A91C-4DA1F94AEBAF}" name="2006" dataDxfId="3290">
      <calculatedColumnFormula>S192*#REF!</calculatedColumnFormula>
    </tableColumn>
    <tableColumn id="20" xr3:uid="{610F2B9B-74A5-4AB2-8B73-30D9E3A4D952}" name="2007" dataDxfId="3289">
      <calculatedColumnFormula>T192*#REF!</calculatedColumnFormula>
    </tableColumn>
    <tableColumn id="21" xr3:uid="{13F3D382-5D3F-403F-BC40-9895AAE4782F}" name="2008" dataDxfId="3288">
      <calculatedColumnFormula>U192*#REF!</calculatedColumnFormula>
    </tableColumn>
    <tableColumn id="22" xr3:uid="{40F6365F-8AE0-4E78-A5F5-505989BA8C38}" name="2009" dataDxfId="3287">
      <calculatedColumnFormula>V192*#REF!</calculatedColumnFormula>
    </tableColumn>
    <tableColumn id="23" xr3:uid="{B2DE7949-2AE5-4F7A-B023-D0865BBAAA50}" name="2010" dataDxfId="3286">
      <calculatedColumnFormula>W192*#REF!</calculatedColumnFormula>
    </tableColumn>
    <tableColumn id="24" xr3:uid="{D624CEA9-EAB4-4A3F-8E27-074D82125382}" name="2011" dataDxfId="3285">
      <calculatedColumnFormula>X192*#REF!</calculatedColumnFormula>
    </tableColumn>
    <tableColumn id="25" xr3:uid="{C51FA1B9-B704-4710-98DC-169A943D4D9A}" name="2012" dataDxfId="3284">
      <calculatedColumnFormula>Y192*#REF!</calculatedColumnFormula>
    </tableColumn>
    <tableColumn id="26" xr3:uid="{A27D1155-62D6-4AC9-8035-E7B2AAD01CE0}" name="2013" dataDxfId="3283">
      <calculatedColumnFormula>Z192*#REF!</calculatedColumnFormula>
    </tableColumn>
    <tableColumn id="27" xr3:uid="{24F0472B-445A-405E-ADC7-CF10AB042CC8}" name="2014" dataDxfId="3282">
      <calculatedColumnFormula>AA192*#REF!</calculatedColumnFormula>
    </tableColumn>
    <tableColumn id="28" xr3:uid="{2FBB165A-979C-4FAD-8A3F-EF05BF37B9EB}" name="2015" dataDxfId="3281">
      <calculatedColumnFormula>AB192*#REF!</calculatedColumnFormula>
    </tableColumn>
    <tableColumn id="29" xr3:uid="{D0CEEA9C-B962-4B47-8309-2AA5A6082CB2}" name="2016" dataDxfId="3280">
      <calculatedColumnFormula>AC192*#REF!</calculatedColumnFormula>
    </tableColumn>
    <tableColumn id="30" xr3:uid="{844C01AB-9323-4C5B-B5D6-4290539705C7}" name="2017" dataDxfId="3279">
      <calculatedColumnFormula>AD192*#REF!</calculatedColumnFormula>
    </tableColumn>
    <tableColumn id="31" xr3:uid="{B8F2DED7-3514-461C-8B28-28192FB694C1}" name="2018" dataDxfId="3278">
      <calculatedColumnFormula>AE192*#REF!</calculatedColumnFormula>
    </tableColumn>
    <tableColumn id="32" xr3:uid="{B15D55CE-8755-4641-B887-4ADEBD89D0FF}" name="2019" dataDxfId="3277">
      <calculatedColumnFormula>AF192*#REF!</calculatedColumnFormula>
    </tableColumn>
    <tableColumn id="33" xr3:uid="{B6F94B67-6EEB-4468-BE6C-960E21ACC132}" name="2020" dataDxfId="3276">
      <calculatedColumnFormula>AG192*#REF!</calculatedColumnFormula>
    </tableColumn>
    <tableColumn id="34" xr3:uid="{11E08FF4-3710-4F3E-9C8E-F1B95FC831A5}" name="2021" dataDxfId="3275">
      <calculatedColumnFormula>AH192*#REF!</calculatedColumnFormula>
    </tableColumn>
    <tableColumn id="35" xr3:uid="{DAF456AC-BA9D-4D94-8C9E-A7E123C447A2}" name="2022" dataDxfId="3274">
      <calculatedColumnFormula>AI192*#REF!</calculatedColumnFormula>
    </tableColumn>
    <tableColumn id="36" xr3:uid="{7A7808B0-EAA3-4964-8758-452019C6C670}" name="2023" dataDxfId="3273">
      <calculatedColumnFormula>AJ192*#REF!</calculatedColumnFormula>
    </tableColumn>
  </tableColumns>
  <tableStyleInfo name="TableStyleLight1"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5FA75A53-D4C2-4482-B667-E3EC28AC9F38}" name="NGDistributionCH4mtEFsCustomerMeters" displayName="NGDistributionCH4mtEFsCustomerMeters" ref="A245:AJ249" totalsRowShown="0" headerRowDxfId="3272" dataDxfId="3271" tableBorderDxfId="3270">
  <autoFilter ref="A245:AJ249" xr:uid="{5FA75A53-D4C2-4482-B667-E3EC28AC9F3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E2D8ABD7-8F5A-4183-B941-DB7BBC543096}" name="Segment"/>
    <tableColumn id="2" xr3:uid="{384CA0AD-E587-4E7D-AB68-BCA1095705EE}" name="Units" dataDxfId="3269"/>
    <tableColumn id="3" xr3:uid="{882543A3-5590-44B8-8181-B1A8AE9A65DA}" name="1990" dataDxfId="3268">
      <calculatedColumnFormula>C206*#REF!</calculatedColumnFormula>
    </tableColumn>
    <tableColumn id="4" xr3:uid="{079C314D-6CA6-4712-8715-E9651114F5A2}" name="1991" dataDxfId="3267">
      <calculatedColumnFormula>D206*#REF!</calculatedColumnFormula>
    </tableColumn>
    <tableColumn id="5" xr3:uid="{DB066506-2290-4A3A-A82D-A4E057A61D3B}" name="1992" dataDxfId="3266">
      <calculatedColumnFormula>E206*#REF!</calculatedColumnFormula>
    </tableColumn>
    <tableColumn id="6" xr3:uid="{213FB88F-3023-49BF-8D63-60A920B10F46}" name="1993" dataDxfId="3265">
      <calculatedColumnFormula>F206*#REF!</calculatedColumnFormula>
    </tableColumn>
    <tableColumn id="7" xr3:uid="{DF038315-FCB7-4E15-9683-B90F2F6FF1AE}" name="1994" dataDxfId="3264">
      <calculatedColumnFormula>G206*#REF!</calculatedColumnFormula>
    </tableColumn>
    <tableColumn id="8" xr3:uid="{119AEBDA-EBBC-4692-9A7C-9BFE6C445F52}" name="1995" dataDxfId="3263">
      <calculatedColumnFormula>H206*#REF!</calculatedColumnFormula>
    </tableColumn>
    <tableColumn id="9" xr3:uid="{FA1A5780-0C79-4669-B7F4-28075A23AD42}" name="1996" dataDxfId="3262">
      <calculatedColumnFormula>I206*#REF!</calculatedColumnFormula>
    </tableColumn>
    <tableColumn id="10" xr3:uid="{E3D0E45B-10BA-495A-9D17-75AF20D5556A}" name="1997" dataDxfId="3261">
      <calculatedColumnFormula>J206*#REF!</calculatedColumnFormula>
    </tableColumn>
    <tableColumn id="11" xr3:uid="{73C2DBC3-DB3C-4BCA-BF83-A07C8715C4B4}" name="1998" dataDxfId="3260">
      <calculatedColumnFormula>K206*#REF!</calculatedColumnFormula>
    </tableColumn>
    <tableColumn id="12" xr3:uid="{C4483A81-DC12-4A43-ACB1-2C71AECD1E2A}" name="1999" dataDxfId="3259">
      <calculatedColumnFormula>L206*#REF!</calculatedColumnFormula>
    </tableColumn>
    <tableColumn id="13" xr3:uid="{6F236138-C84A-4AA2-B989-9AA322AC643D}" name="2000" dataDxfId="3258">
      <calculatedColumnFormula>M206*#REF!</calculatedColumnFormula>
    </tableColumn>
    <tableColumn id="14" xr3:uid="{F9BF9246-D32C-4116-9EAB-3B8A85A1CCD6}" name="2001" dataDxfId="3257">
      <calculatedColumnFormula>N206*#REF!</calculatedColumnFormula>
    </tableColumn>
    <tableColumn id="15" xr3:uid="{43FDDD6D-AD87-4FAF-967F-A88DF69F32B3}" name="2002" dataDxfId="3256">
      <calculatedColumnFormula>O206*#REF!</calculatedColumnFormula>
    </tableColumn>
    <tableColumn id="16" xr3:uid="{F97AD491-3FA6-47F8-8B97-8CDB2E6063AC}" name="2003" dataDxfId="3255">
      <calculatedColumnFormula>P206*#REF!</calculatedColumnFormula>
    </tableColumn>
    <tableColumn id="17" xr3:uid="{58ECE40A-EFC6-44D4-9A9B-4D9CE6777135}" name="2004" dataDxfId="3254">
      <calculatedColumnFormula>Q206*#REF!</calculatedColumnFormula>
    </tableColumn>
    <tableColumn id="18" xr3:uid="{8EE3C68A-7C10-4CB9-8953-D90168F111AA}" name="2005" dataDxfId="3253">
      <calculatedColumnFormula>R206*#REF!</calculatedColumnFormula>
    </tableColumn>
    <tableColumn id="19" xr3:uid="{641CA67D-967D-4CAB-9222-CF3A9030D479}" name="2006" dataDxfId="3252">
      <calculatedColumnFormula>S206*#REF!</calculatedColumnFormula>
    </tableColumn>
    <tableColumn id="20" xr3:uid="{D39474D9-4FE2-41B5-AD9A-09F589153D2E}" name="2007" dataDxfId="3251">
      <calculatedColumnFormula>T206*#REF!</calculatedColumnFormula>
    </tableColumn>
    <tableColumn id="21" xr3:uid="{C06F8BCA-259F-4233-B9F6-14DB12AF9031}" name="2008" dataDxfId="3250">
      <calculatedColumnFormula>U206*#REF!</calculatedColumnFormula>
    </tableColumn>
    <tableColumn id="22" xr3:uid="{2D3C6B2C-8AF1-471C-8059-55A0C93BEAC1}" name="2009" dataDxfId="3249">
      <calculatedColumnFormula>V206*#REF!</calculatedColumnFormula>
    </tableColumn>
    <tableColumn id="23" xr3:uid="{372BB48C-5C00-4310-9F51-7990B396B311}" name="2010" dataDxfId="3248">
      <calculatedColumnFormula>W206*#REF!</calculatedColumnFormula>
    </tableColumn>
    <tableColumn id="24" xr3:uid="{7F840110-C56F-462A-B32B-A060E0946592}" name="2011" dataDxfId="3247">
      <calculatedColumnFormula>X206*#REF!</calculatedColumnFormula>
    </tableColumn>
    <tableColumn id="25" xr3:uid="{F889ADE3-AB50-4787-99D7-CC535B448ACB}" name="2012" dataDxfId="3246">
      <calculatedColumnFormula>Y206*#REF!</calculatedColumnFormula>
    </tableColumn>
    <tableColumn id="26" xr3:uid="{CE719309-0185-490D-AB41-15A57388D845}" name="2013" dataDxfId="3245">
      <calculatedColumnFormula>Z206*#REF!</calculatedColumnFormula>
    </tableColumn>
    <tableColumn id="27" xr3:uid="{50B6508C-FFF0-4A17-8ECF-DB4B5A304887}" name="2014" dataDxfId="3244">
      <calculatedColumnFormula>AA206*#REF!</calculatedColumnFormula>
    </tableColumn>
    <tableColumn id="28" xr3:uid="{3C60A59A-BDB8-49FB-8E7A-935A9FD96780}" name="2015" dataDxfId="3243">
      <calculatedColumnFormula>AB206*#REF!</calculatedColumnFormula>
    </tableColumn>
    <tableColumn id="29" xr3:uid="{1E455402-AC6A-4618-BEDE-F58915C24380}" name="2016" dataDxfId="3242">
      <calculatedColumnFormula>AC206*#REF!</calculatedColumnFormula>
    </tableColumn>
    <tableColumn id="30" xr3:uid="{56927CAC-7446-4369-ACBE-D7F567D2CAA5}" name="2017" dataDxfId="3241">
      <calculatedColumnFormula>AD206*#REF!</calculatedColumnFormula>
    </tableColumn>
    <tableColumn id="31" xr3:uid="{A58AC30E-37DC-4AEC-8BF8-621D19D0155B}" name="2018" dataDxfId="3240">
      <calculatedColumnFormula>AE206*#REF!</calculatedColumnFormula>
    </tableColumn>
    <tableColumn id="32" xr3:uid="{EB752E26-2247-4F70-AF40-D8153F252A2D}" name="2019" dataDxfId="3239">
      <calculatedColumnFormula>AF206*#REF!</calculatedColumnFormula>
    </tableColumn>
    <tableColumn id="33" xr3:uid="{68187C73-3F6F-479D-8624-3B60BB11143E}" name="2020" dataDxfId="3238">
      <calculatedColumnFormula>AG206*#REF!</calculatedColumnFormula>
    </tableColumn>
    <tableColumn id="34" xr3:uid="{6AB4CFC8-5353-427B-8F38-4FB95D2AB8F5}" name="2021" dataDxfId="3237">
      <calculatedColumnFormula>AH206*#REF!</calculatedColumnFormula>
    </tableColumn>
    <tableColumn id="35" xr3:uid="{9008620E-FFA4-475B-9A81-2ACD08A8396A}" name="2022" dataDxfId="3236">
      <calculatedColumnFormula>AI206*#REF!</calculatedColumnFormula>
    </tableColumn>
    <tableColumn id="36" xr3:uid="{5B444677-8C6D-4731-898B-BF8175666787}" name="2023" dataDxfId="3235">
      <calculatedColumnFormula>AJ206*#REF!</calculatedColumnFormula>
    </tableColumn>
  </tableColumns>
  <tableStyleInfo name="TableStyleLight1"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29A9C47A-D54A-4C6C-A859-1EFCB70B3B52}" name="NGDistributionCH4mtEFsforRoutineMaintenanceandUpsets" displayName="NGDistributionCH4mtEFsforRoutineMaintenanceandUpsets" ref="A252:AJ256" totalsRowShown="0" headerRowDxfId="3234" tableBorderDxfId="3233">
  <autoFilter ref="A252:AJ256" xr:uid="{29A9C47A-D54A-4C6C-A859-1EFCB70B3B5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ED98DF56-C147-493F-A8A6-EF83F5F502F8}" name="Type" dataDxfId="3232"/>
    <tableColumn id="2" xr3:uid="{D3B19A8F-7DEB-4E93-8E70-98C3F57C99E1}" name="Units" dataDxfId="3231"/>
    <tableColumn id="3" xr3:uid="{F852D0AC-00E5-453E-AF6B-B1830E325ED9}" name="1990" dataDxfId="3230">
      <calculatedColumnFormula>C213*#REF!</calculatedColumnFormula>
    </tableColumn>
    <tableColumn id="4" xr3:uid="{13D8ECC6-0FB4-452C-B22D-245BF6914192}" name="1991" dataDxfId="3229">
      <calculatedColumnFormula>D213*#REF!</calculatedColumnFormula>
    </tableColumn>
    <tableColumn id="5" xr3:uid="{55669A8B-76E9-4455-8EC5-A343FB6CBA7B}" name="1992" dataDxfId="3228">
      <calculatedColumnFormula>E213*#REF!</calculatedColumnFormula>
    </tableColumn>
    <tableColumn id="6" xr3:uid="{2D5EC684-7603-4277-978B-CB81CCAC5B81}" name="1993" dataDxfId="3227">
      <calculatedColumnFormula>F213*#REF!</calculatedColumnFormula>
    </tableColumn>
    <tableColumn id="7" xr3:uid="{78CA722E-2683-46C7-BAD0-43820FDE9BB3}" name="1994" dataDxfId="3226">
      <calculatedColumnFormula>G213*#REF!</calculatedColumnFormula>
    </tableColumn>
    <tableColumn id="8" xr3:uid="{C3FFD3AB-732A-4BD2-BD81-A159A86A39FC}" name="1995" dataDxfId="3225">
      <calculatedColumnFormula>H213*#REF!</calculatedColumnFormula>
    </tableColumn>
    <tableColumn id="9" xr3:uid="{795136A8-127C-41BA-ACAF-79FC6133FD40}" name="1996" dataDxfId="3224">
      <calculatedColumnFormula>I213*#REF!</calculatedColumnFormula>
    </tableColumn>
    <tableColumn id="10" xr3:uid="{F776DB8A-4B4E-4FE2-B42C-04E45E1D1DC5}" name="1997" dataDxfId="3223">
      <calculatedColumnFormula>J213*#REF!</calculatedColumnFormula>
    </tableColumn>
    <tableColumn id="11" xr3:uid="{79C3D9A9-723D-4CA3-884B-9BD6D02EE92A}" name="1998" dataDxfId="3222">
      <calculatedColumnFormula>K213*#REF!</calculatedColumnFormula>
    </tableColumn>
    <tableColumn id="12" xr3:uid="{75873288-392A-422B-B2AD-33FC8890EA70}" name="1999" dataDxfId="3221">
      <calculatedColumnFormula>L213*#REF!</calculatedColumnFormula>
    </tableColumn>
    <tableColumn id="13" xr3:uid="{C2359CEF-5C5F-420A-8822-35FBBDA9358D}" name="2000" dataDxfId="3220">
      <calculatedColumnFormula>M213*#REF!</calculatedColumnFormula>
    </tableColumn>
    <tableColumn id="14" xr3:uid="{E10E97F9-62D3-4641-BE72-80329963B1F1}" name="2001" dataDxfId="3219">
      <calculatedColumnFormula>N213*#REF!</calculatedColumnFormula>
    </tableColumn>
    <tableColumn id="15" xr3:uid="{BB282944-F1E9-4ED4-BDEC-D0224EBD758A}" name="2002" dataDxfId="3218">
      <calculatedColumnFormula>O213*#REF!</calculatedColumnFormula>
    </tableColumn>
    <tableColumn id="16" xr3:uid="{3F2F3F48-706D-4B81-985C-917F217E2E5A}" name="2003" dataDxfId="3217">
      <calculatedColumnFormula>P213*#REF!</calculatedColumnFormula>
    </tableColumn>
    <tableColumn id="17" xr3:uid="{986FB3BF-F7CA-4590-B8EC-01BC0D5FC8F6}" name="2004" dataDxfId="3216">
      <calculatedColumnFormula>Q213*#REF!</calculatedColumnFormula>
    </tableColumn>
    <tableColumn id="18" xr3:uid="{E7A5BDCF-3003-4629-9096-7DBD27092FAA}" name="2005" dataDxfId="3215">
      <calculatedColumnFormula>R213*#REF!</calculatedColumnFormula>
    </tableColumn>
    <tableColumn id="19" xr3:uid="{58103A40-5733-4193-8948-7C06BA8431A7}" name="2006" dataDxfId="3214">
      <calculatedColumnFormula>S213*#REF!</calculatedColumnFormula>
    </tableColumn>
    <tableColumn id="20" xr3:uid="{E8168E39-6654-4634-85C6-F74ACAAB869D}" name="2007" dataDxfId="3213">
      <calculatedColumnFormula>T213*#REF!</calculatedColumnFormula>
    </tableColumn>
    <tableColumn id="21" xr3:uid="{3DC79577-F745-46C6-BFD7-39EB6EB89A4F}" name="2008" dataDxfId="3212">
      <calculatedColumnFormula>U213*#REF!</calculatedColumnFormula>
    </tableColumn>
    <tableColumn id="22" xr3:uid="{3D197C9F-2497-4DFB-B054-E633E3272F27}" name="2009" dataDxfId="3211">
      <calculatedColumnFormula>V213*#REF!</calculatedColumnFormula>
    </tableColumn>
    <tableColumn id="23" xr3:uid="{DD87E6D9-4061-4FD1-8869-C745BCEE3EEB}" name="2010" dataDxfId="3210">
      <calculatedColumnFormula>W213*#REF!</calculatedColumnFormula>
    </tableColumn>
    <tableColumn id="24" xr3:uid="{EE59FD92-E098-4F8A-9A9F-0E1750D65D0B}" name="2011" dataDxfId="3209">
      <calculatedColumnFormula>X213*#REF!</calculatedColumnFormula>
    </tableColumn>
    <tableColumn id="25" xr3:uid="{30D763CF-6B95-4A66-BFC3-9E2EFB7E59E9}" name="2012" dataDxfId="3208">
      <calculatedColumnFormula>Y213*#REF!</calculatedColumnFormula>
    </tableColumn>
    <tableColumn id="26" xr3:uid="{5C2EBFFD-C311-4E2A-BEF3-AA2956D3AB96}" name="2013" dataDxfId="3207">
      <calculatedColumnFormula>Z213*#REF!</calculatedColumnFormula>
    </tableColumn>
    <tableColumn id="27" xr3:uid="{3282DC7D-058F-44D6-9A6B-A981E2101760}" name="2014" dataDxfId="3206">
      <calculatedColumnFormula>AA213*#REF!</calculatedColumnFormula>
    </tableColumn>
    <tableColumn id="28" xr3:uid="{F7A7EAA6-A4A3-4698-9164-2E3DD47638E3}" name="2015">
      <calculatedColumnFormula>AB213*#REF!</calculatedColumnFormula>
    </tableColumn>
    <tableColumn id="29" xr3:uid="{7D423DA9-11C1-4315-BA4F-066DB508DDBE}" name="2016">
      <calculatedColumnFormula>AC213*#REF!</calculatedColumnFormula>
    </tableColumn>
    <tableColumn id="30" xr3:uid="{EF92B68F-722E-4E8E-A2B9-F77DFDFF61B8}" name="2017">
      <calculatedColumnFormula>AD213*#REF!</calculatedColumnFormula>
    </tableColumn>
    <tableColumn id="31" xr3:uid="{24FBEE1A-98FE-47C8-9DA9-F91E8FC31436}" name="2018">
      <calculatedColumnFormula>AE213*#REF!</calculatedColumnFormula>
    </tableColumn>
    <tableColumn id="32" xr3:uid="{C97D8A53-4758-40F4-9D99-479226788B3F}" name="2019">
      <calculatedColumnFormula>AF213*#REF!</calculatedColumnFormula>
    </tableColumn>
    <tableColumn id="33" xr3:uid="{7ED9D438-51D1-4F74-9551-4961DBA7951B}" name="2020">
      <calculatedColumnFormula>AG213*#REF!</calculatedColumnFormula>
    </tableColumn>
    <tableColumn id="34" xr3:uid="{D498D412-C87E-4F1A-A562-90BFD779076C}" name="2021">
      <calculatedColumnFormula>AH213*#REF!</calculatedColumnFormula>
    </tableColumn>
    <tableColumn id="35" xr3:uid="{7B689008-DF14-4B7E-8720-2466BE33C240}" name="2022">
      <calculatedColumnFormula>AI213*#REF!</calculatedColumnFormula>
    </tableColumn>
    <tableColumn id="36" xr3:uid="{9E7B127C-BE46-497F-AC2D-D4AC48E41734}" name="2023">
      <calculatedColumnFormula>AJ213*#REF!</calculatedColumnFormula>
    </tableColumn>
  </tableColumns>
  <tableStyleInfo name="TableStyleLight1"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D7EEE6D4-4B85-45BD-8373-804EC890ABDC}" name="NGDistributionEmissionsMTCH4Pipelines" displayName="NGDistributionEmissionsMTCH4Pipelines" ref="A260:AJ271" totalsRowShown="0" headerRowDxfId="3205" dataDxfId="3204">
  <autoFilter ref="A260:AJ271" xr:uid="{D7EEE6D4-4B85-45BD-8373-804EC890ABD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027B14A0-A3CF-420D-B911-84AEECF2B422}" name="Material Type" dataDxfId="3203"/>
    <tableColumn id="2" xr3:uid="{40CFB4B0-8653-4BF7-A43C-9FCF67696CF3}" name="Units" dataDxfId="3202"/>
    <tableColumn id="3" xr3:uid="{40B575EC-2FA0-417C-AA92-3DFA644BB8CA}" name="1990" dataDxfId="3201"/>
    <tableColumn id="4" xr3:uid="{0610A97E-622C-41BC-B09F-EFBF2A14155C}" name="1991" dataDxfId="3200"/>
    <tableColumn id="5" xr3:uid="{6A2F67C4-EF77-495A-81FD-8DCB899365C4}" name="1992" dataDxfId="3199"/>
    <tableColumn id="6" xr3:uid="{DE5B58C0-B2F8-47DA-91D6-35FBE69B2151}" name="1993" dataDxfId="3198"/>
    <tableColumn id="7" xr3:uid="{B4E9D30C-113D-4816-AAC2-70331941E4C7}" name="1994" dataDxfId="3197"/>
    <tableColumn id="8" xr3:uid="{19FC55EA-D5D6-4541-BAE3-0011460CC480}" name="1995" dataDxfId="3196"/>
    <tableColumn id="9" xr3:uid="{B596B3C7-DC84-4ACE-AAEB-9FC389822DDD}" name="1996" dataDxfId="3195"/>
    <tableColumn id="10" xr3:uid="{7F99AC75-D318-4AE5-8749-65E8A5FE703B}" name="1997" dataDxfId="3194"/>
    <tableColumn id="11" xr3:uid="{FEBA50F2-A7D2-4F2B-9461-3233950A0FF7}" name="1998" dataDxfId="3193"/>
    <tableColumn id="12" xr3:uid="{0BE5B53C-4552-47A8-AA0D-EE24E944F050}" name="1999" dataDxfId="3192"/>
    <tableColumn id="13" xr3:uid="{397997BD-D66D-4568-A42A-25FD81014368}" name="2000" dataDxfId="3191"/>
    <tableColumn id="14" xr3:uid="{F4AB4D60-B4C9-40DF-9641-06486D60D908}" name="2001" dataDxfId="3190"/>
    <tableColumn id="15" xr3:uid="{16B18AA9-CCA8-4AD3-BF8B-FD80D83B909F}" name="2002" dataDxfId="3189"/>
    <tableColumn id="16" xr3:uid="{89A81BAD-DDFE-4398-8353-C0CDA99C4CB8}" name="2003" dataDxfId="3188"/>
    <tableColumn id="17" xr3:uid="{0C25EC02-2C62-438A-9F18-A944567BF0FC}" name="2004" dataDxfId="3187"/>
    <tableColumn id="18" xr3:uid="{BD9459B6-0D75-4AE3-B786-63EB107008C7}" name="2005" dataDxfId="3186"/>
    <tableColumn id="19" xr3:uid="{CB3563F4-4DB1-4869-B2BE-DC75969D9A9F}" name="2006" dataDxfId="3185"/>
    <tableColumn id="20" xr3:uid="{6DD4E3C0-4D95-455C-964B-18B62CE34413}" name="2007" dataDxfId="3184"/>
    <tableColumn id="21" xr3:uid="{857E7229-EF6A-4738-AA40-F6B2C44AE5AC}" name="2008" dataDxfId="3183"/>
    <tableColumn id="22" xr3:uid="{437B172C-C074-4607-A809-FE5FC8B0D7F4}" name="2009" dataDxfId="3182"/>
    <tableColumn id="23" xr3:uid="{317B5193-4727-41A3-BDAA-C141F5E6681B}" name="2010" dataDxfId="3181"/>
    <tableColumn id="24" xr3:uid="{DDB5DCA7-6D36-47B7-83BF-79290AAD51F3}" name="2011" dataDxfId="3180"/>
    <tableColumn id="25" xr3:uid="{05778C77-2D67-4957-B77F-0F1EC43EF8CA}" name="2012" dataDxfId="3179"/>
    <tableColumn id="26" xr3:uid="{56389C3B-2A4C-45A5-A10A-BEBBD2FDBE16}" name="2013" dataDxfId="3178"/>
    <tableColumn id="27" xr3:uid="{C05BD819-48F7-49B8-89E1-8F3064026994}" name="2014" dataDxfId="3177"/>
    <tableColumn id="28" xr3:uid="{65D4DD61-EBFE-4BCD-AEBA-72B9DC0E3CC8}" name="2015" dataDxfId="3176"/>
    <tableColumn id="29" xr3:uid="{7E44CE30-E286-4EFE-83AB-7B50781249F4}" name="2016" dataDxfId="3175"/>
    <tableColumn id="30" xr3:uid="{449920CB-D8D0-4579-AE67-492617DBB87D}" name="2017" dataDxfId="3174"/>
    <tableColumn id="31" xr3:uid="{A0D6130C-3B7C-460F-B75E-F66D3BE380BC}" name="2018" dataDxfId="3173"/>
    <tableColumn id="32" xr3:uid="{492FDED3-B579-442F-BC69-597E3E4D871D}" name="2019" dataDxfId="3172"/>
    <tableColumn id="33" xr3:uid="{321BD5BA-12B1-45DB-88C1-7FB6D0030418}" name="2020" dataDxfId="3171"/>
    <tableColumn id="34" xr3:uid="{32BECCE6-6C38-4DA0-A1D9-096FFD67CE03}" name="2021" dataDxfId="3170"/>
    <tableColumn id="35" xr3:uid="{8DDE8667-7389-414F-8716-9A91C65F8710}" name="2022" dataDxfId="3169"/>
    <tableColumn id="36" xr3:uid="{E821C34A-8ED9-4A55-ABE0-C0A08D53DBB8}" name="2023" dataDxfId="3168"/>
  </tableColumns>
  <tableStyleInfo name="TableStyleLight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4252543A-890C-41EF-99A1-4526D04D9762}" name="NGDistributionEmissionsMTCH4Services" displayName="NGDistributionEmissionsMTCH4Services" ref="A274:AJ285" totalsRowShown="0" headerRowDxfId="3167" dataDxfId="3166">
  <autoFilter ref="A274:AJ285" xr:uid="{4252543A-890C-41EF-99A1-4526D04D976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9A6E72D9-AD0C-44D6-8F5A-BD27FCEC8233}" name="Material Type" dataDxfId="3165"/>
    <tableColumn id="2" xr3:uid="{63D473FD-381D-41AB-A60D-31079247106E}" name="Units" dataDxfId="3164"/>
    <tableColumn id="3" xr3:uid="{6B34CDE5-0344-49A8-9E6D-069F75B4F8D8}" name="1990" dataDxfId="3163"/>
    <tableColumn id="4" xr3:uid="{CA12A984-C39E-400D-83FF-D737B21FB5BD}" name="1991" dataDxfId="3162"/>
    <tableColumn id="5" xr3:uid="{B3E6834D-ECD3-413A-900E-DFE7D98F72E5}" name="1992" dataDxfId="3161"/>
    <tableColumn id="6" xr3:uid="{D07BD622-3CDB-4789-8337-0C73D8428F04}" name="1993" dataDxfId="3160"/>
    <tableColumn id="7" xr3:uid="{050DF1BF-0C40-485D-B2B3-0461B3DAD24E}" name="1994" dataDxfId="3159"/>
    <tableColumn id="8" xr3:uid="{FC0967C9-FA03-4353-90EE-11B346D1DA9A}" name="1995" dataDxfId="3158"/>
    <tableColumn id="9" xr3:uid="{42E337C7-9446-47AE-A7FF-375392C46843}" name="1996" dataDxfId="3157"/>
    <tableColumn id="10" xr3:uid="{446486E4-FD14-4DDF-8022-9067281A1A76}" name="1997" dataDxfId="3156"/>
    <tableColumn id="11" xr3:uid="{B888ECA1-8252-4969-8D96-E0FE6B974E47}" name="1998" dataDxfId="3155"/>
    <tableColumn id="12" xr3:uid="{C403365B-8B9A-4FD6-A5B0-DF58C912448E}" name="1999" dataDxfId="3154"/>
    <tableColumn id="13" xr3:uid="{155EE82C-D447-4C0F-841A-3C7C81C9FAF5}" name="2000" dataDxfId="3153"/>
    <tableColumn id="14" xr3:uid="{B7060D1C-7F8D-4849-94FF-6E7C57F941AD}" name="2001" dataDxfId="3152"/>
    <tableColumn id="15" xr3:uid="{793886E6-5054-431B-90D3-A6DFD53DB83C}" name="2002" dataDxfId="3151"/>
    <tableColumn id="16" xr3:uid="{97674B48-2FA5-4C67-A744-D4F4295313F7}" name="2003" dataDxfId="3150"/>
    <tableColumn id="17" xr3:uid="{E2758453-0E0E-4D4B-9A75-D57F30FD781A}" name="2004" dataDxfId="3149"/>
    <tableColumn id="18" xr3:uid="{DBECC844-2D79-4CAC-BFB9-F45AC38C7B0E}" name="2005" dataDxfId="3148"/>
    <tableColumn id="19" xr3:uid="{D8439AAA-850C-4BCC-907B-E9B8FDC1A0C0}" name="2006" dataDxfId="3147"/>
    <tableColumn id="20" xr3:uid="{349A3818-D59B-4848-BB72-BBFAC6214E7A}" name="2007" dataDxfId="3146"/>
    <tableColumn id="21" xr3:uid="{760A099D-1BFC-4F29-BC3E-170310A1F5A2}" name="2008" dataDxfId="3145"/>
    <tableColumn id="22" xr3:uid="{3DA6CFBC-2822-4FFD-B1A9-7D2988208CB6}" name="2009" dataDxfId="3144"/>
    <tableColumn id="23" xr3:uid="{D00D7B15-0021-4A4D-90A6-7C805E61D144}" name="2010" dataDxfId="3143"/>
    <tableColumn id="24" xr3:uid="{079A225E-83CE-453E-8FDA-9DB741D45A6D}" name="2011" dataDxfId="3142"/>
    <tableColumn id="25" xr3:uid="{7AF60F0D-FF07-462C-A94E-D125FCA50D3A}" name="2012" dataDxfId="3141"/>
    <tableColumn id="26" xr3:uid="{DADC8EE9-FB4D-4715-85AF-67F7610C98CD}" name="2013" dataDxfId="3140"/>
    <tableColumn id="27" xr3:uid="{46793258-9127-4DAD-8F40-BF06728B6E8A}" name="2014" dataDxfId="3139"/>
    <tableColumn id="28" xr3:uid="{8820B555-3A93-455D-B573-7EBB71E056DF}" name="2015" dataDxfId="3138"/>
    <tableColumn id="29" xr3:uid="{0CF42FCA-5E2C-4323-8A0A-98717424984A}" name="2016" dataDxfId="3137"/>
    <tableColumn id="30" xr3:uid="{CD23E036-BBE4-434E-8769-8C2E17087867}" name="2017" dataDxfId="3136"/>
    <tableColumn id="31" xr3:uid="{CFBC9A95-7734-4CE8-BAF6-86D2EDD621D8}" name="2018" dataDxfId="3135"/>
    <tableColumn id="32" xr3:uid="{0171D157-F4AC-41E4-8CCC-7E3630BDBD88}" name="2019" dataDxfId="3134"/>
    <tableColumn id="33" xr3:uid="{8ECAFE62-4739-4A89-A81B-5F9B052480FF}" name="2020" dataDxfId="3133"/>
    <tableColumn id="34" xr3:uid="{3461E2F3-33E2-4EF1-8DB2-C084BF2FE199}" name="2021" dataDxfId="3132"/>
    <tableColumn id="35" xr3:uid="{86EAF61E-503D-4C93-BFDC-FF2EC953C1BD}" name="2022" dataDxfId="3131"/>
    <tableColumn id="36" xr3:uid="{EBFDE798-48AD-4F3E-8C43-60BE06485C75}" name="2023" dataDxfId="3130"/>
  </tableColumns>
  <tableStyleInfo name="TableStyleLight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2CF4FEDD-6419-4FF4-A765-1C027ADACB87}" name="NGDistributionEmissionsMTCH4MeterandRegulatorStations" displayName="NGDistributionEmissionsMTCH4MeterandRegulatorStations" ref="A288:AJ300" totalsRowShown="0" headerRowDxfId="3129" dataDxfId="3128">
  <autoFilter ref="A288:AJ300" xr:uid="{2CF4FEDD-6419-4FF4-A765-1C027ADACB8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000D235D-084A-49FD-A4B4-3102FAAF120D}" name="Type/Size" dataDxfId="3127"/>
    <tableColumn id="2" xr3:uid="{B52877F0-4980-4EED-9688-986DFE4BE682}" name="Units" dataDxfId="3126"/>
    <tableColumn id="3" xr3:uid="{5F2A07A3-0786-465A-B09B-5D0F082DD144}" name="1990" dataDxfId="3125"/>
    <tableColumn id="4" xr3:uid="{44A351A9-3173-4847-966F-B6549F7929D3}" name="1991" dataDxfId="3124">
      <calculatedColumnFormula>$C289+((D$260-$C$260)*($C289-$AA289)/($C$260-$AA$260))</calculatedColumnFormula>
    </tableColumn>
    <tableColumn id="5" xr3:uid="{574C0710-E5B1-48C9-AA4F-96D0E956AC3D}" name="1992" dataDxfId="3123">
      <calculatedColumnFormula>$C289+((E$260-$C$260)*($C289-$AA289)/($C$260-$AA$260))</calculatedColumnFormula>
    </tableColumn>
    <tableColumn id="6" xr3:uid="{55295BF9-8050-4D6F-8B6C-5CE408D99614}" name="1993" dataDxfId="3122">
      <calculatedColumnFormula>$C289+((F$260-$C$260)*($C289-$AA289)/($C$260-$AA$260))</calculatedColumnFormula>
    </tableColumn>
    <tableColumn id="7" xr3:uid="{88923538-804E-4D47-BD36-7482366F2EEF}" name="1994" dataDxfId="3121">
      <calculatedColumnFormula>$C289+((G$260-$C$260)*($C289-$AA289)/($C$260-$AA$260))</calculatedColumnFormula>
    </tableColumn>
    <tableColumn id="8" xr3:uid="{B4E99A80-1A8D-4C45-9231-1FB1EAAF0D79}" name="1995" dataDxfId="3120">
      <calculatedColumnFormula>$C289+((H$260-$C$260)*($C289-$AA289)/($C$260-$AA$260))</calculatedColumnFormula>
    </tableColumn>
    <tableColumn id="9" xr3:uid="{85CCFC3D-C9DD-46A4-93A7-B9F00B17B0A3}" name="1996" dataDxfId="3119">
      <calculatedColumnFormula>$C289+((I$260-$C$260)*($C289-$AA289)/($C$260-$AA$260))</calculatedColumnFormula>
    </tableColumn>
    <tableColumn id="10" xr3:uid="{FD3E950E-E17B-428F-A5FB-CB40424BA8C9}" name="1997" dataDxfId="3118">
      <calculatedColumnFormula>$C289+((J$260-$C$260)*($C289-$AA289)/($C$260-$AA$260))</calculatedColumnFormula>
    </tableColumn>
    <tableColumn id="11" xr3:uid="{F0DDDFEF-FC1B-4DEA-A7A9-3B1633D8B28D}" name="1998" dataDxfId="3117">
      <calculatedColumnFormula>$C289+((K$260-$C$260)*($C289-$AA289)/($C$260-$AA$260))</calculatedColumnFormula>
    </tableColumn>
    <tableColumn id="12" xr3:uid="{B95F7A59-B9EE-4326-A72B-78E54436F0D1}" name="1999" dataDxfId="3116">
      <calculatedColumnFormula>$C289+((L$260-$C$260)*($C289-$AA289)/($C$260-$AA$260))</calculatedColumnFormula>
    </tableColumn>
    <tableColumn id="13" xr3:uid="{ED1036C0-3BB8-4315-813C-BB5249BD0C71}" name="2000" dataDxfId="3115">
      <calculatedColumnFormula>$C289+((M$260-$C$260)*($C289-$AA289)/($C$260-$AA$260))</calculatedColumnFormula>
    </tableColumn>
    <tableColumn id="14" xr3:uid="{5692BAD5-A844-4DAC-A63F-F28138E71613}" name="2001" dataDxfId="3114">
      <calculatedColumnFormula>$C289+((N$260-$C$260)*($C289-$AA289)/($C$260-$AA$260))</calculatedColumnFormula>
    </tableColumn>
    <tableColumn id="15" xr3:uid="{138ED510-1E11-4F76-8530-63AF117EC5B1}" name="2002" dataDxfId="3113">
      <calculatedColumnFormula>$C289+((O$260-$C$260)*($C289-$AA289)/($C$260-$AA$260))</calculatedColumnFormula>
    </tableColumn>
    <tableColumn id="16" xr3:uid="{C8AF50BD-CF2B-432D-B6EC-191A82F05FF2}" name="2003" dataDxfId="3112">
      <calculatedColumnFormula>$C289+((P$260-$C$260)*($C289-$AA289)/($C$260-$AA$260))</calculatedColumnFormula>
    </tableColumn>
    <tableColumn id="17" xr3:uid="{83F6C8A0-77D0-4598-8BD5-EA251F36A16B}" name="2004" dataDxfId="3111">
      <calculatedColumnFormula>$C289+((Q$260-$C$260)*($C289-$AA289)/($C$260-$AA$260))</calculatedColumnFormula>
    </tableColumn>
    <tableColumn id="18" xr3:uid="{F2A11D43-47CC-42B7-9F32-28F945706FD2}" name="2005" dataDxfId="3110">
      <calculatedColumnFormula>$C289+((R$260-$C$260)*($C289-$AA289)/($C$260-$AA$260))</calculatedColumnFormula>
    </tableColumn>
    <tableColumn id="19" xr3:uid="{A8547E23-CE6B-4AB9-A8DD-ED55AE0FAECA}" name="2006" dataDxfId="3109">
      <calculatedColumnFormula>$C289+((S$260-$C$260)*($C289-$AA289)/($C$260-$AA$260))</calculatedColumnFormula>
    </tableColumn>
    <tableColumn id="20" xr3:uid="{ECD6D569-B2CC-46CF-9436-1FED48E71C0B}" name="2007" dataDxfId="3108">
      <calculatedColumnFormula>$C289+((T$260-$C$260)*($C289-$AA289)/($C$260-$AA$260))</calculatedColumnFormula>
    </tableColumn>
    <tableColumn id="21" xr3:uid="{89265C17-DA70-407A-B3F9-FAA174AC7D7A}" name="2008" dataDxfId="3107">
      <calculatedColumnFormula>$C289+((U$260-$C$260)*($C289-$AA289)/($C$260-$AA$260))</calculatedColumnFormula>
    </tableColumn>
    <tableColumn id="22" xr3:uid="{4EB6CB40-31F1-4F9D-9249-D431A38D02DB}" name="2009" dataDxfId="3106">
      <calculatedColumnFormula>$C289+((V$260-$C$260)*($C289-$AA289)/($C$260-$AA$260))</calculatedColumnFormula>
    </tableColumn>
    <tableColumn id="23" xr3:uid="{A5A65C31-5B3D-4852-B411-5111540069D6}" name="2010" dataDxfId="3105">
      <calculatedColumnFormula>$C289+((W$260-$C$260)*($C289-$AA289)/($C$260-$AA$260))</calculatedColumnFormula>
    </tableColumn>
    <tableColumn id="24" xr3:uid="{B2536E74-16F4-4184-9003-DCB0922E31C5}" name="2011" dataDxfId="3104">
      <calculatedColumnFormula>$C289+((X$260-$C$260)*($C289-$AA289)/($C$260-$AA$260))</calculatedColumnFormula>
    </tableColumn>
    <tableColumn id="25" xr3:uid="{CF0956FE-82B1-46D9-9AAB-911CFF87AD02}" name="2012" dataDxfId="3103">
      <calculatedColumnFormula>$C289+((Y$260-$C$260)*($C289-$AA289)/($C$260-$AA$260))</calculatedColumnFormula>
    </tableColumn>
    <tableColumn id="26" xr3:uid="{916A5936-391A-482F-9932-8A6AAF65246E}" name="2013" dataDxfId="3102">
      <calculatedColumnFormula>$C289+((Z$260-$C$260)*($C289-$AA289)/($C$260-$AA$260))</calculatedColumnFormula>
    </tableColumn>
    <tableColumn id="27" xr3:uid="{5659734D-A348-4DC7-96C0-DAA0A5123F0F}" name="2014" dataDxfId="3101"/>
    <tableColumn id="28" xr3:uid="{F96B4B93-2C8C-4600-97C2-858AC65AD340}" name="2015" dataDxfId="3100"/>
    <tableColumn id="29" xr3:uid="{7CE66A79-1012-49ED-9F07-7730C9E6F346}" name="2016" dataDxfId="3099"/>
    <tableColumn id="30" xr3:uid="{47FECAA9-E742-4C3F-8E1F-1641C6F5FE76}" name="2017" dataDxfId="3098"/>
    <tableColumn id="31" xr3:uid="{70354EF3-1316-496F-A3ED-0635189FA86D}" name="2018" dataDxfId="3097"/>
    <tableColumn id="32" xr3:uid="{E65FB93F-CCB5-40F2-B37E-D14C5C585E06}" name="2019" dataDxfId="3096"/>
    <tableColumn id="33" xr3:uid="{A67F023C-FFB8-4B68-B0C4-E4B24C5669B0}" name="2020" dataDxfId="3095"/>
    <tableColumn id="34" xr3:uid="{057F4FBF-DED1-492A-849D-859856ACB82D}" name="2021" dataDxfId="3094"/>
    <tableColumn id="35" xr3:uid="{EC71F3F3-D8CB-4E38-B9C5-2ADADCC18401}" name="2022" dataDxfId="3093"/>
    <tableColumn id="36" xr3:uid="{6F465105-6D17-43A0-9AB2-1DDAED2AB31E}" name="2023" dataDxfId="3092"/>
  </tableColumns>
  <tableStyleInfo name="TableStyleLight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22129453-DDE2-46B9-B870-18C46A1B3306}" name="NGDistributionEmissionsMTCH4CustomerMeters" displayName="NGDistributionEmissionsMTCH4CustomerMeters" ref="A304:AJ309" totalsRowShown="0" headerRowDxfId="3091" dataDxfId="3090" tableBorderDxfId="3089">
  <autoFilter ref="A304:AJ309" xr:uid="{22129453-DDE2-46B9-B870-18C46A1B330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2DC75FBC-5B22-4C16-861D-1A6BD74E45B9}" name="Segment"/>
    <tableColumn id="2" xr3:uid="{9C7FEEC3-3E4E-45FA-85B7-55509DA53051}" name="Units" dataDxfId="3088"/>
    <tableColumn id="3" xr3:uid="{12D6176B-EB5D-4ECB-91EC-4B6F89A7DAAC}" name="1990" dataDxfId="3087"/>
    <tableColumn id="4" xr3:uid="{B1024228-D33A-4B94-B89B-447F6C97CB04}" name="1991" dataDxfId="3086"/>
    <tableColumn id="5" xr3:uid="{653E0B02-240F-4C9C-816C-A0A8CEE46780}" name="1992" dataDxfId="3085"/>
    <tableColumn id="6" xr3:uid="{65635AFE-8E0F-441E-B6C1-76846150EBEE}" name="1993" dataDxfId="3084"/>
    <tableColumn id="7" xr3:uid="{D2FFC651-992D-4384-9CB4-31AAAA11C685}" name="1994" dataDxfId="3083"/>
    <tableColumn id="8" xr3:uid="{4AC06A3D-C065-4212-A10D-9079CFED9F21}" name="1995" dataDxfId="3082"/>
    <tableColumn id="9" xr3:uid="{B57C7CF4-444F-4FDE-B34B-E7275669C097}" name="1996" dataDxfId="3081"/>
    <tableColumn id="10" xr3:uid="{93E4B4F7-9675-467C-9FF9-91B7984427B6}" name="1997" dataDxfId="3080"/>
    <tableColumn id="11" xr3:uid="{41E2F259-C2BF-4D6A-B026-777543A02BAB}" name="1998" dataDxfId="3079"/>
    <tableColumn id="12" xr3:uid="{96D1E5A4-50BD-478C-BD01-6B0D723004E1}" name="1999" dataDxfId="3078"/>
    <tableColumn id="13" xr3:uid="{9EA6F4D0-5F92-402C-8014-BC698EA8B0B8}" name="2000" dataDxfId="3077"/>
    <tableColumn id="14" xr3:uid="{AA45BD2B-8584-4430-B608-DC25FC929BE0}" name="2001" dataDxfId="3076"/>
    <tableColumn id="15" xr3:uid="{7861D823-86C1-4FE0-A575-66ECAA8DF1FB}" name="2002" dataDxfId="3075"/>
    <tableColumn id="16" xr3:uid="{67B56354-76E4-4F8D-A76C-AD739D55F5E0}" name="2003" dataDxfId="3074"/>
    <tableColumn id="17" xr3:uid="{E2B8A763-B6F2-4310-9D67-F85C7333427C}" name="2004" dataDxfId="3073"/>
    <tableColumn id="18" xr3:uid="{33577CD2-92CC-4168-87E9-2E0956D3A229}" name="2005" dataDxfId="3072"/>
    <tableColumn id="19" xr3:uid="{6DA207D1-2C8F-4529-89C2-D597034FF003}" name="2006" dataDxfId="3071"/>
    <tableColumn id="20" xr3:uid="{6430400E-8EF2-42EF-9BCA-39AE36008921}" name="2007" dataDxfId="3070"/>
    <tableColumn id="21" xr3:uid="{C29C7888-3D12-4265-A8A2-894608BF919C}" name="2008" dataDxfId="3069"/>
    <tableColumn id="22" xr3:uid="{1F4B4653-2B9E-4C81-8B45-450D66DA7C9D}" name="2009" dataDxfId="3068"/>
    <tableColumn id="23" xr3:uid="{EE3387FD-4A66-475F-B824-940263D03328}" name="2010" dataDxfId="3067"/>
    <tableColumn id="24" xr3:uid="{BB994CB9-E843-4E98-88EC-04759F36B9AA}" name="2011" dataDxfId="3066"/>
    <tableColumn id="25" xr3:uid="{AEA0B597-52AB-4986-B930-17749C5F7940}" name="2012" dataDxfId="3065"/>
    <tableColumn id="26" xr3:uid="{D48BDF59-5C85-4696-BEA6-944D78EFF2BA}" name="2013" dataDxfId="3064"/>
    <tableColumn id="27" xr3:uid="{32B3F9A5-0A45-4513-B160-C660D143995A}" name="2014" dataDxfId="3063"/>
    <tableColumn id="28" xr3:uid="{F56F251E-B694-4848-9D99-60C30BF35536}" name="2015" dataDxfId="3062"/>
    <tableColumn id="29" xr3:uid="{1007A3F4-0D26-4944-8082-F0B526E92A3C}" name="2016" dataDxfId="3061"/>
    <tableColumn id="30" xr3:uid="{2C81B640-CB04-41D0-8B41-B559BF584E8C}" name="2017" dataDxfId="3060"/>
    <tableColumn id="31" xr3:uid="{7DBE23CE-FBBD-461D-845D-8F3F0943F3DC}" name="2018" dataDxfId="3059"/>
    <tableColumn id="32" xr3:uid="{791FBBFA-788E-4AA4-BE7F-B05A6D8D8BA3}" name="2019" dataDxfId="3058"/>
    <tableColumn id="33" xr3:uid="{BF0FD545-A876-47B2-B4C2-25E7AA3DDC9F}" name="2020" dataDxfId="3057"/>
    <tableColumn id="34" xr3:uid="{1F759406-2A40-4D6A-80E8-10AF96775941}" name="2021" dataDxfId="3056"/>
    <tableColumn id="35" xr3:uid="{E2394746-609B-4D6E-8D22-B4AEE937198E}" name="2022" dataDxfId="3055"/>
    <tableColumn id="36" xr3:uid="{A272DEBD-7154-42E0-B508-7F82A082B02F}" name="2023" dataDxfId="3054"/>
  </tableColumns>
  <tableStyleInfo name="TableStyleLight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48FCD6B2-DB35-4487-81D4-A692B07ABDE5}" name="NGDistributionEmissionsMTCH4RoutineMaintenanceandUpsets" displayName="NGDistributionEmissionsMTCH4RoutineMaintenanceandUpsets" ref="A312:AJ317" headerRowDxfId="3053" dataDxfId="3052" tableBorderDxfId="3051">
  <autoFilter ref="A312:AJ317" xr:uid="{48FCD6B2-DB35-4487-81D4-A692B07ABDE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9C239CBC-74FD-4F74-A632-16B75BCE7C64}" name="Type" totalsRowLabel="Total" dataDxfId="3050" totalsRowDxfId="3049"/>
    <tableColumn id="2" xr3:uid="{86674BA5-B0F9-4F34-9018-0A3FBB9886A5}" name="Units" dataDxfId="3048" totalsRowDxfId="3047"/>
    <tableColumn id="3" xr3:uid="{AD786E05-453E-472E-AB1D-41EACFC0966B}" name="1990" dataDxfId="3046" totalsRowDxfId="3045"/>
    <tableColumn id="4" xr3:uid="{4C663C0A-F6D5-46AD-B064-CC0DD24C778A}" name="1991" dataDxfId="3044" totalsRowDxfId="3043"/>
    <tableColumn id="5" xr3:uid="{33764C4D-4DE5-4B40-88F2-31391DC3F66D}" name="1992" dataDxfId="3042" totalsRowDxfId="3041"/>
    <tableColumn id="6" xr3:uid="{AEE3D354-0E52-4ACC-825D-AE2759BEA59E}" name="1993" dataDxfId="3040" totalsRowDxfId="3039"/>
    <tableColumn id="7" xr3:uid="{EC42F4A9-9C6C-4E8D-BEF7-0B3465E95E97}" name="1994" dataDxfId="3038" totalsRowDxfId="3037"/>
    <tableColumn id="8" xr3:uid="{30A46B80-ACC8-4D3B-9AA8-41A4E9355A6E}" name="1995" dataDxfId="3036" totalsRowDxfId="3035"/>
    <tableColumn id="9" xr3:uid="{8C74279B-BA2B-48CE-8069-ACBC51B4995D}" name="1996" dataDxfId="3034" totalsRowDxfId="3033"/>
    <tableColumn id="10" xr3:uid="{93E0412C-6301-48F2-8750-B3709EEE1B08}" name="1997" dataDxfId="3032" totalsRowDxfId="3031"/>
    <tableColumn id="11" xr3:uid="{4844E6E2-0AEE-411C-84F1-956845B0CFF7}" name="1998" dataDxfId="3030" totalsRowDxfId="3029"/>
    <tableColumn id="12" xr3:uid="{8498ED38-4356-4083-9A50-2C3624384842}" name="1999" dataDxfId="3028" totalsRowDxfId="3027"/>
    <tableColumn id="13" xr3:uid="{1D154B79-E178-434B-9E99-A4DA27979403}" name="2000" dataDxfId="3026" totalsRowDxfId="3025"/>
    <tableColumn id="14" xr3:uid="{06985489-A0FC-45F1-BCB6-510CBFBEA081}" name="2001" dataDxfId="3024" totalsRowDxfId="3023"/>
    <tableColumn id="15" xr3:uid="{6FE930A6-4B9C-4188-84CE-64945EB19942}" name="2002" dataDxfId="3022" totalsRowDxfId="3021"/>
    <tableColumn id="16" xr3:uid="{1F44A509-3FD1-4EEC-856B-AE946FD46180}" name="2003" dataDxfId="3020" totalsRowDxfId="3019"/>
    <tableColumn id="17" xr3:uid="{4D38A5D6-DF80-418C-8716-529CB839AF1C}" name="2004" dataDxfId="3018" totalsRowDxfId="3017"/>
    <tableColumn id="18" xr3:uid="{C97DE627-7713-4EC8-8822-CA27CB908DFF}" name="2005" dataDxfId="3016" totalsRowDxfId="3015"/>
    <tableColumn id="19" xr3:uid="{5D00BFC8-4DCF-456E-95AC-1A8547F75641}" name="2006" dataDxfId="3014" totalsRowDxfId="3013"/>
    <tableColumn id="20" xr3:uid="{0AEAD760-4747-4F11-9E75-C725BC5BA3F4}" name="2007" dataDxfId="3012" totalsRowDxfId="3011"/>
    <tableColumn id="21" xr3:uid="{5DC7CB92-82A2-44AD-85CC-195FB4B70BD2}" name="2008" dataDxfId="3010" totalsRowDxfId="3009"/>
    <tableColumn id="22" xr3:uid="{BB9541DE-4B13-45E4-834E-272221E3590C}" name="2009" dataDxfId="3008" totalsRowDxfId="3007"/>
    <tableColumn id="23" xr3:uid="{50C1FEA8-A3F1-4AF3-9FDA-C41C686089EE}" name="2010" dataDxfId="3006" totalsRowDxfId="3005"/>
    <tableColumn id="24" xr3:uid="{AF86BD0B-98C7-4939-8493-8A9B6079A41D}" name="2011" dataDxfId="3004" totalsRowDxfId="3003"/>
    <tableColumn id="25" xr3:uid="{219400A7-13C7-4043-8FC8-040A7B8B334D}" name="2012" dataDxfId="3002" totalsRowDxfId="3001"/>
    <tableColumn id="26" xr3:uid="{49CC4ADF-4534-4C9D-A8EC-AF07FB2293C4}" name="2013" dataDxfId="3000" totalsRowDxfId="2999"/>
    <tableColumn id="27" xr3:uid="{B3A2DE82-1D24-4326-825D-8E04A24144DD}" name="2014" dataDxfId="2998" totalsRowDxfId="2997"/>
    <tableColumn id="28" xr3:uid="{3606B963-D9B6-4D7A-920D-08385E5E905D}" name="2015" dataDxfId="2996" totalsRowDxfId="2995"/>
    <tableColumn id="29" xr3:uid="{8F284480-F6D5-4626-A20B-62367C0F8A48}" name="2016" dataDxfId="2994" totalsRowDxfId="2993"/>
    <tableColumn id="30" xr3:uid="{AB2D76AD-0453-4C04-A566-B714C53482D9}" name="2017" dataDxfId="2992" totalsRowDxfId="2991"/>
    <tableColumn id="31" xr3:uid="{AD37FC20-B0DA-4A7C-AD8B-CEC8F2D55A10}" name="2018" dataDxfId="2990" totalsRowDxfId="2989"/>
    <tableColumn id="32" xr3:uid="{D92E574D-9F4C-4B5C-B30F-ADC67BDF61F2}" name="2019" dataDxfId="2988" totalsRowDxfId="2987"/>
    <tableColumn id="33" xr3:uid="{9E890E67-9AE7-4C83-AD5D-D76A63B9F71A}" name="2020" dataDxfId="2986" totalsRowDxfId="2985"/>
    <tableColumn id="34" xr3:uid="{55138C5C-A5DF-49D4-84DB-E81F11072AF1}" name="2021" dataDxfId="2984" totalsRowDxfId="2983"/>
    <tableColumn id="35" xr3:uid="{D3F8D7F1-D833-4CC2-9E5E-042E81E72DE9}" name="2022" dataDxfId="2982" totalsRowDxfId="2981"/>
    <tableColumn id="36" xr3:uid="{FBB66F7A-E08A-4D8A-9761-16B87E7FE4C2}" name="2023" dataDxfId="2980" totalsRowDxfId="2979"/>
  </tableColumns>
  <tableStyleInfo name="TableStyleLight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24CBA8C2-2BF2-4714-A4C4-C90FC56A2275}" name="NGDistributionEmissionsTotalMTCH4andMMTCO2e" displayName="NGDistributionEmissionsTotalMTCH4andMMTCO2e" ref="A320:AJ323" totalsRowShown="0" headerRowDxfId="2978">
  <autoFilter ref="A320:AJ323" xr:uid="{24CBA8C2-2BF2-4714-A4C4-C90FC56A227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459494E0-FB67-4A18-88D0-45EBE30C876D}" name="Type" dataDxfId="2977"/>
    <tableColumn id="2" xr3:uid="{FBB241AE-C5EB-4A5D-A742-A6CB0AE80E4B}" name="Units" dataDxfId="2976"/>
    <tableColumn id="3" xr3:uid="{A0DB9BEE-5372-46EE-B188-6D6D4BD25F45}" name="1990" dataDxfId="2975">
      <calculatedColumnFormula>(C270+C284+C299+C308+C316+C315+C499)/1000000</calculatedColumnFormula>
    </tableColumn>
    <tableColumn id="4" xr3:uid="{C71B8245-A371-4B8C-9B45-6058AA062BCF}" name="1991" dataDxfId="2974">
      <calculatedColumnFormula>D320*25</calculatedColumnFormula>
    </tableColumn>
    <tableColumn id="5" xr3:uid="{B2A86D72-F100-4DCC-9B5B-1C451D5F69B9}" name="1992" dataDxfId="2973">
      <calculatedColumnFormula>E320*25</calculatedColumnFormula>
    </tableColumn>
    <tableColumn id="6" xr3:uid="{6396C579-C2AE-487B-994B-FD26DA0CE2C8}" name="1993" dataDxfId="2972">
      <calculatedColumnFormula>F320*25</calculatedColumnFormula>
    </tableColumn>
    <tableColumn id="7" xr3:uid="{03344813-927E-4CE6-8BE1-87E5EF1642A5}" name="1994" dataDxfId="2971">
      <calculatedColumnFormula>G320*25</calculatedColumnFormula>
    </tableColumn>
    <tableColumn id="8" xr3:uid="{171FF65A-2608-41C2-8E9B-1FE1435DD22E}" name="1995" dataDxfId="2970">
      <calculatedColumnFormula>H320*25</calculatedColumnFormula>
    </tableColumn>
    <tableColumn id="9" xr3:uid="{FDB2420D-2916-49CF-AC7A-A33C033386A5}" name="1996" dataDxfId="2969">
      <calculatedColumnFormula>I320*25</calculatedColumnFormula>
    </tableColumn>
    <tableColumn id="10" xr3:uid="{7AC574ED-BF5B-4E8A-A21F-66974343DD35}" name="1997" dataDxfId="2968">
      <calculatedColumnFormula>J320*25</calculatedColumnFormula>
    </tableColumn>
    <tableColumn id="11" xr3:uid="{DA0380FD-1159-4CEF-92B0-A27D66840D87}" name="1998" dataDxfId="2967">
      <calculatedColumnFormula>K320*25</calculatedColumnFormula>
    </tableColumn>
    <tableColumn id="12" xr3:uid="{C111384A-3789-40D0-B3BB-F411C89E3C69}" name="1999" dataDxfId="2966">
      <calculatedColumnFormula>L320*25</calculatedColumnFormula>
    </tableColumn>
    <tableColumn id="13" xr3:uid="{A0FEA7E6-B09A-4B0D-B06D-A3F06E5ECCF4}" name="2000" dataDxfId="2965">
      <calculatedColumnFormula>M320*25</calculatedColumnFormula>
    </tableColumn>
    <tableColumn id="14" xr3:uid="{113395AE-1AA9-4E9D-9A93-C609786B9960}" name="2001" dataDxfId="2964">
      <calculatedColumnFormula>N320*25</calculatedColumnFormula>
    </tableColumn>
    <tableColumn id="15" xr3:uid="{C2076944-CC51-420E-92E4-2A9A168193C9}" name="2002" dataDxfId="2963">
      <calculatedColumnFormula>O320*25</calculatedColumnFormula>
    </tableColumn>
    <tableColumn id="16" xr3:uid="{EAC893CA-0297-4B7D-91CB-D33BAD533842}" name="2003" dataDxfId="2962">
      <calculatedColumnFormula>P320*25</calculatedColumnFormula>
    </tableColumn>
    <tableColumn id="17" xr3:uid="{383B6ADE-7B80-4116-8D28-02C6E66FFE83}" name="2004" dataDxfId="2961">
      <calculatedColumnFormula>Q320*25</calculatedColumnFormula>
    </tableColumn>
    <tableColumn id="18" xr3:uid="{99BA4FFC-78E3-485C-BD80-73B8F8FD10D4}" name="2005" dataDxfId="2960">
      <calculatedColumnFormula>R320*25</calculatedColumnFormula>
    </tableColumn>
    <tableColumn id="19" xr3:uid="{18938F56-CE90-4A56-BAB3-38E279E8C5FE}" name="2006" dataDxfId="2959">
      <calculatedColumnFormula>S320*25</calculatedColumnFormula>
    </tableColumn>
    <tableColumn id="20" xr3:uid="{EFFF2097-5A74-40FB-940F-8EDDCA659637}" name="2007" dataDxfId="2958">
      <calculatedColumnFormula>T320*25</calculatedColumnFormula>
    </tableColumn>
    <tableColumn id="21" xr3:uid="{C117BAC1-615B-42DA-9AE4-C74E5BF508DD}" name="2008" dataDxfId="2957">
      <calculatedColumnFormula>U320*25</calculatedColumnFormula>
    </tableColumn>
    <tableColumn id="22" xr3:uid="{6E2D0C41-6902-4481-880A-3B010ED14298}" name="2009" dataDxfId="2956">
      <calculatedColumnFormula>V320*25</calculatedColumnFormula>
    </tableColumn>
    <tableColumn id="23" xr3:uid="{644A8A6D-216C-4D83-A0BC-4E052EEC52BF}" name="2010" dataDxfId="2955">
      <calculatedColumnFormula>W320*25</calculatedColumnFormula>
    </tableColumn>
    <tableColumn id="24" xr3:uid="{35C8F30F-C364-4082-9BF2-27375A5BC09D}" name="2011" dataDxfId="2954">
      <calculatedColumnFormula>X320*25</calculatedColumnFormula>
    </tableColumn>
    <tableColumn id="25" xr3:uid="{25D165C4-36E1-4933-B23A-87D62876A2B1}" name="2012" dataDxfId="2953">
      <calculatedColumnFormula>Y320*25</calculatedColumnFormula>
    </tableColumn>
    <tableColumn id="26" xr3:uid="{953294A3-5D32-4FCD-9883-97EFFF89D4B9}" name="2013" dataDxfId="2952">
      <calculatedColumnFormula>Z320*25</calculatedColumnFormula>
    </tableColumn>
    <tableColumn id="27" xr3:uid="{86F56073-8D42-433F-AE22-4EA6DBAF21AE}" name="2014" dataDxfId="2951">
      <calculatedColumnFormula>AA320*25</calculatedColumnFormula>
    </tableColumn>
    <tableColumn id="28" xr3:uid="{F8E4C181-9D89-4117-B049-09868454E3B3}" name="2015" dataDxfId="2950">
      <calculatedColumnFormula>AB320*25</calculatedColumnFormula>
    </tableColumn>
    <tableColumn id="29" xr3:uid="{CE199AE0-01B6-4020-B348-A89A1F682613}" name="2016" dataDxfId="2949">
      <calculatedColumnFormula>AC320*25</calculatedColumnFormula>
    </tableColumn>
    <tableColumn id="30" xr3:uid="{F96B844B-3BCB-4D4D-B2F3-38A9FA4716DC}" name="2017" dataDxfId="2948">
      <calculatedColumnFormula>AD320*25</calculatedColumnFormula>
    </tableColumn>
    <tableColumn id="31" xr3:uid="{B848510A-754B-4769-B33A-A8F6C62F80DC}" name="2018" dataDxfId="2947">
      <calculatedColumnFormula>AE320*25</calculatedColumnFormula>
    </tableColumn>
    <tableColumn id="32" xr3:uid="{5CC41035-287E-4F09-A0D1-280DB903E96C}" name="2019" dataDxfId="2946">
      <calculatedColumnFormula>AF320*25</calculatedColumnFormula>
    </tableColumn>
    <tableColumn id="33" xr3:uid="{697033E1-D61D-46AB-A413-68054D4C89F1}" name="2020" dataDxfId="2945">
      <calculatedColumnFormula>AG320*25</calculatedColumnFormula>
    </tableColumn>
    <tableColumn id="34" xr3:uid="{E78367BF-CEC0-4824-8FBE-CEB95B15BA29}" name="2021" dataDxfId="2944">
      <calculatedColumnFormula>AH320*25</calculatedColumnFormula>
    </tableColumn>
    <tableColumn id="35" xr3:uid="{C2C8AC2A-C29B-4E28-AE00-014995B9AE8F}" name="2022" dataDxfId="2943">
      <calculatedColumnFormula>AI320*25</calculatedColumnFormula>
    </tableColumn>
    <tableColumn id="36" xr3:uid="{05F115BA-D8E2-4306-B568-79AC201DEB61}" name="2023" dataDxfId="2942">
      <calculatedColumnFormula>AJ320*25</calculatedColumnFormula>
    </tableColumn>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2" xr:uid="{7AC6A762-228F-48D0-B136-8BBB1B6BC532}" name="SummaryChartDataPercentofTotalGHGEmissionsbyAlternateSector1990" displayName="SummaryChartDataPercentofTotalGHGEmissionsbyAlternateSector1990" ref="AV21:AX32" totalsRowShown="0" headerRowDxfId="5216">
  <autoFilter ref="AV21:AX32" xr:uid="{7AC6A762-228F-48D0-B136-8BBB1B6BC532}">
    <filterColumn colId="0" hiddenButton="1"/>
    <filterColumn colId="1" hiddenButton="1"/>
    <filterColumn colId="2" hiddenButton="1"/>
  </autoFilter>
  <tableColumns count="3">
    <tableColumn id="1" xr3:uid="{58D0DDFF-B607-46D8-8C47-69B7518CBBCF}" name="MMTCO2e" dataDxfId="5215"/>
    <tableColumn id="2" xr3:uid="{23A2631B-2C66-4FAA-8838-766E52199DA8}" name="Percent" dataDxfId="5214"/>
    <tableColumn id="3" xr3:uid="{6E43DAF6-B36E-4D85-829B-68C9381A97C3}" name="Sector" dataDxfId="5213"/>
  </tableColumns>
  <tableStyleInfo name="TableStyleLight1"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FA8D3937-247E-4F8A-9FE1-DCCE541A81C6}" name="NGDistributionCO2kgEFsPipelineandServices" displayName="NGDistributionCO2kgEFsPipelineandServices" ref="A327:AJ336" totalsRowShown="0" headerRowDxfId="2941" dataDxfId="2939" headerRowBorderDxfId="2940" tableBorderDxfId="2938">
  <autoFilter ref="A327:AJ336" xr:uid="{FA8D3937-247E-4F8A-9FE1-DCCE541A81C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00215DA9-76A6-4285-932A-3EEABA461730}" name="Material Type" dataDxfId="2937"/>
    <tableColumn id="2" xr3:uid="{4C4BDC33-2DEF-43B7-BD0B-F86AA38490A9}" name="Units" dataDxfId="2936"/>
    <tableColumn id="3" xr3:uid="{79313CEE-76AE-4454-802D-CDB98DAE7359}" name="1990" dataDxfId="2935"/>
    <tableColumn id="4" xr3:uid="{74EE4A47-879F-4467-AD6D-654D729AD145}" name="1991" dataDxfId="2934"/>
    <tableColumn id="5" xr3:uid="{D6A97205-FBC3-4347-AA27-35E5D7632DC9}" name="1992" dataDxfId="2933"/>
    <tableColumn id="6" xr3:uid="{A96AD2AD-61A8-41DA-802F-8B33DA4684D2}" name="1993" dataDxfId="2932"/>
    <tableColumn id="7" xr3:uid="{B3B0A62E-3B8F-486C-8F80-8E651CBA1F82}" name="1994" dataDxfId="2931"/>
    <tableColumn id="8" xr3:uid="{F58ED946-3A5F-43B7-AC05-2038C68D401F}" name="1995" dataDxfId="2930"/>
    <tableColumn id="9" xr3:uid="{945BFD38-5931-4509-953C-0CED4A8C9677}" name="1996" dataDxfId="2929"/>
    <tableColumn id="10" xr3:uid="{ABC606CD-4193-4025-A93E-F4DD20B5EE40}" name="1997" dataDxfId="2928"/>
    <tableColumn id="11" xr3:uid="{B9A42CC7-3743-4AB5-9F14-0F4F536CB509}" name="1998" dataDxfId="2927"/>
    <tableColumn id="12" xr3:uid="{F80DDFE5-0CD6-40F0-9ED7-6DFEF385CD11}" name="1999" dataDxfId="2926"/>
    <tableColumn id="13" xr3:uid="{18F1B7C6-E6A1-4E07-B986-A116C38AD300}" name="2000" dataDxfId="2925"/>
    <tableColumn id="14" xr3:uid="{FCB90174-C52D-4E35-B94C-BBB82080A198}" name="2001" dataDxfId="2924"/>
    <tableColumn id="15" xr3:uid="{356E59E8-A924-452F-ADC9-28B51831EA7B}" name="2002" dataDxfId="2923"/>
    <tableColumn id="16" xr3:uid="{2B1C8704-4146-4155-AEDF-2345EB4D9E6F}" name="2003" dataDxfId="2922"/>
    <tableColumn id="17" xr3:uid="{C13BB7D4-E224-4AC4-9A4D-EBCCD9454771}" name="2004" dataDxfId="2921"/>
    <tableColumn id="18" xr3:uid="{F98DA6F7-5C07-4C84-A401-053E2EE3E444}" name="2005" dataDxfId="2920"/>
    <tableColumn id="19" xr3:uid="{C3D064F9-D35C-4A35-B87C-C7059BFC1A48}" name="2006" dataDxfId="2919"/>
    <tableColumn id="20" xr3:uid="{7B426DCC-029E-4F10-8373-C30BC9FED299}" name="2007" dataDxfId="2918"/>
    <tableColumn id="21" xr3:uid="{0C47CF24-C8BD-41EA-ACAD-F822565E60F1}" name="2008" dataDxfId="2917"/>
    <tableColumn id="22" xr3:uid="{F54FDEEB-3BEE-42D2-9A24-EA3857E3943C}" name="2009" dataDxfId="2916"/>
    <tableColumn id="23" xr3:uid="{53DECCED-F305-4E56-8AEF-864817B8B03F}" name="2010" dataDxfId="2915"/>
    <tableColumn id="24" xr3:uid="{F1B34EF0-FADA-46B1-A981-207432CF6E9E}" name="2011" dataDxfId="2914"/>
    <tableColumn id="25" xr3:uid="{F503DA92-A7F8-4A3E-8DFF-363146E28809}" name="2012" dataDxfId="2913"/>
    <tableColumn id="26" xr3:uid="{4549A8CB-4EA0-4CD7-9950-47B48220B790}" name="2013" dataDxfId="2912"/>
    <tableColumn id="27" xr3:uid="{4C22A25B-04C9-4747-9A72-69B3EC9EDD3C}" name="2014" dataDxfId="2911"/>
    <tableColumn id="28" xr3:uid="{B9DA994C-BA2B-475C-A0BA-B51F6C90B853}" name="2015" dataDxfId="2910"/>
    <tableColumn id="29" xr3:uid="{013190E0-F999-452A-A267-16C55AF8BE34}" name="2016" dataDxfId="2909"/>
    <tableColumn id="30" xr3:uid="{DEB328C0-9D53-44BA-B506-5FBF7C76EF78}" name="2017" dataDxfId="2908"/>
    <tableColumn id="31" xr3:uid="{98ABC229-75A3-4B4C-808A-6970AB71E3A5}" name="2018" dataDxfId="2907"/>
    <tableColumn id="32" xr3:uid="{585290F6-47EB-42AD-96FC-06A6CFF329EE}" name="2019" dataDxfId="2906"/>
    <tableColumn id="33" xr3:uid="{1D13D23C-687B-42ED-A218-36F6F3DACFC4}" name="2020" dataDxfId="2905"/>
    <tableColumn id="34" xr3:uid="{338877F1-8E99-4B5F-904B-77C7ADF8A8A4}" name="2021" dataDxfId="2904"/>
    <tableColumn id="35" xr3:uid="{61413BE9-9581-4939-90AB-F91D379F880D}" name="2022" dataDxfId="2903"/>
    <tableColumn id="36" xr3:uid="{95104D38-433F-4DDA-B434-D4E552B772C4}" name="2023" dataDxfId="2902"/>
  </tableColumns>
  <tableStyleInfo name="TableStyleLight1"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5DC8B6C1-2522-489C-B6D3-F01C2B02F54E}" name="NGDistributionCO2kgEFsMeterandRegulatorStations" displayName="NGDistributionCO2kgEFsMeterandRegulatorStations" ref="A339:AJ350" totalsRowShown="0" headerRowDxfId="2901" dataDxfId="2899" headerRowBorderDxfId="2900" tableBorderDxfId="2898">
  <autoFilter ref="A339:AJ350" xr:uid="{5DC8B6C1-2522-489C-B6D3-F01C2B02F54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631F7752-F441-4B64-9243-087E6E46F275}" name="Type/Size" dataDxfId="2897"/>
    <tableColumn id="2" xr3:uid="{53289FA3-013D-49B0-927E-CAB957F31CBE}" name="Units" dataDxfId="2896"/>
    <tableColumn id="3" xr3:uid="{7513D42B-6226-455A-9F7D-54D25D28D8D7}" name="1990" dataDxfId="2895"/>
    <tableColumn id="4" xr3:uid="{D7CC3F05-A8C0-42C0-BA36-0FA0BC07D755}" name="1991" dataDxfId="2894"/>
    <tableColumn id="5" xr3:uid="{5E924C91-E02C-4A9F-A7EE-E08104A33B34}" name="1992" dataDxfId="2893"/>
    <tableColumn id="6" xr3:uid="{E5EFA475-8D4C-409F-A66F-4AFD10040E45}" name="1993" dataDxfId="2892"/>
    <tableColumn id="7" xr3:uid="{C3E9C411-B3E9-41C3-B0AB-4557F9AD8067}" name="1994" dataDxfId="2891"/>
    <tableColumn id="8" xr3:uid="{C8EBAEDB-B9C3-4A1E-8006-68C3EE3DB806}" name="1995" dataDxfId="2890"/>
    <tableColumn id="9" xr3:uid="{127D1BB4-B9C9-4018-A11E-F94AB3D526B0}" name="1996" dataDxfId="2889"/>
    <tableColumn id="10" xr3:uid="{5BFE10A2-F68E-45FA-A3B5-48B90862AAE0}" name="1997" dataDxfId="2888"/>
    <tableColumn id="11" xr3:uid="{1A696C11-83B5-443F-9CB8-C00E55C5632D}" name="1998" dataDxfId="2887"/>
    <tableColumn id="12" xr3:uid="{C380D1D7-EF39-4596-9537-B8CE0A8C5C6B}" name="1999" dataDxfId="2886"/>
    <tableColumn id="13" xr3:uid="{DC904C63-321F-4E95-AA19-D69B3C759AE3}" name="2000" dataDxfId="2885"/>
    <tableColumn id="14" xr3:uid="{D28B9DEE-64AB-469D-9757-FDD762953A9D}" name="2001" dataDxfId="2884"/>
    <tableColumn id="15" xr3:uid="{A07A5B37-41DD-4489-8303-37DC77616CBA}" name="2002" dataDxfId="2883"/>
    <tableColumn id="16" xr3:uid="{5D8CAB8E-A5BE-4528-AABA-1A14B85D0125}" name="2003" dataDxfId="2882"/>
    <tableColumn id="17" xr3:uid="{272D0BA8-1EB2-484C-A7EF-E5E80DF3992B}" name="2004" dataDxfId="2881"/>
    <tableColumn id="18" xr3:uid="{101A60CD-EA8F-4D5A-8BB4-284A59C82967}" name="2005" dataDxfId="2880"/>
    <tableColumn id="19" xr3:uid="{FA387443-C164-4A42-B6A5-834A68F6F9C6}" name="2006" dataDxfId="2879"/>
    <tableColumn id="20" xr3:uid="{EBDEEA1F-D437-4A2F-9CD5-E00AB1AF1B85}" name="2007" dataDxfId="2878"/>
    <tableColumn id="21" xr3:uid="{1104D63A-5C94-4620-A24F-355927B3FDBB}" name="2008" dataDxfId="2877"/>
    <tableColumn id="22" xr3:uid="{E831F1E9-59E3-48ED-B339-6DFAFA6361A7}" name="2009" dataDxfId="2876"/>
    <tableColumn id="23" xr3:uid="{A3C352E7-7634-45B5-8D42-47D2DF71B38E}" name="2010" dataDxfId="2875"/>
    <tableColumn id="24" xr3:uid="{D6D12066-3B93-4608-9F26-D45084120BD1}" name="2011" dataDxfId="2874"/>
    <tableColumn id="25" xr3:uid="{2CD4DF18-15F0-49F3-A202-02AFA0E4B5EC}" name="2012" dataDxfId="2873"/>
    <tableColumn id="26" xr3:uid="{3BE35245-9D5A-4CF4-8354-8707F0669C6B}" name="2013" dataDxfId="2872"/>
    <tableColumn id="27" xr3:uid="{25119145-F246-4F05-9EA7-4E84C3DE2DA9}" name="2014" dataDxfId="2871"/>
    <tableColumn id="28" xr3:uid="{3EFFFF08-F58D-4F4D-B7A0-21E8CE9293DD}" name="2015" dataDxfId="2870"/>
    <tableColumn id="29" xr3:uid="{E0D6C7CC-2E45-48B2-8DDE-CE68E4A158B7}" name="2016" dataDxfId="2869"/>
    <tableColumn id="30" xr3:uid="{45E7FF6B-3D6C-41F2-9BCB-B40AF1B66151}" name="2017" dataDxfId="2868"/>
    <tableColumn id="31" xr3:uid="{D180D489-8CA9-419C-9FB2-BB83FFAE9120}" name="2018" dataDxfId="2867"/>
    <tableColumn id="32" xr3:uid="{00822496-F5F9-45BA-A8AE-7D362C2B1FED}" name="2019" dataDxfId="2866"/>
    <tableColumn id="33" xr3:uid="{C457FC20-93D0-4AAA-A1A3-093C0F308DE0}" name="2020" dataDxfId="2865"/>
    <tableColumn id="34" xr3:uid="{3CCEBE8B-3930-4C05-BF0E-681A70C48D0F}" name="2021" dataDxfId="2864"/>
    <tableColumn id="35" xr3:uid="{AE4075B2-6440-4B43-87DE-3A0DEB0B5FA9}" name="2022" dataDxfId="2863"/>
    <tableColumn id="36" xr3:uid="{8A6D45F3-2AFB-4F52-AE1B-17395EB7573E}" name="2023" dataDxfId="2862"/>
  </tableColumns>
  <tableStyleInfo name="TableStyleLight1"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BA620180-35F1-4F30-8752-FD5CF72B756F}" name="NGDistributionCO2kgEFsCustomerMeters" displayName="NGDistributionCO2kgEFsCustomerMeters" ref="A353:AJ357" totalsRowShown="0" headerRowDxfId="2861" headerRowBorderDxfId="2860" tableBorderDxfId="2859">
  <autoFilter ref="A353:AJ357" xr:uid="{BA620180-35F1-4F30-8752-FD5CF72B756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8DB5CAD2-8EA1-4E48-8A3A-16BADAD5CC0A}" name="Segment"/>
    <tableColumn id="2" xr3:uid="{18826E8C-DA12-449B-B34A-0E1C98BF947F}" name="Units" dataDxfId="2858"/>
    <tableColumn id="3" xr3:uid="{3A639F29-E54C-4152-8A21-4F53DC615844}" name="1990"/>
    <tableColumn id="4" xr3:uid="{9B2396BB-1990-445E-99D8-AF261B597E8A}" name="1991"/>
    <tableColumn id="5" xr3:uid="{078BFAA2-4D7A-4E15-AD4E-284C96154F83}" name="1992"/>
    <tableColumn id="6" xr3:uid="{4631115A-0F04-4E7C-B6D2-ABA7467E0111}" name="1993"/>
    <tableColumn id="7" xr3:uid="{F6E6E909-983C-4A0E-BEAF-8609004591C1}" name="1994"/>
    <tableColumn id="8" xr3:uid="{A61C428D-884B-4520-B4B1-2D7C3A6FEE77}" name="1995"/>
    <tableColumn id="9" xr3:uid="{A3E15217-827D-4799-AC92-09476192FB4A}" name="1996"/>
    <tableColumn id="10" xr3:uid="{23E4ECBC-D17D-420E-B571-17E98FE31156}" name="1997"/>
    <tableColumn id="11" xr3:uid="{40D21F43-95F7-4800-AA52-A0A4088EE848}" name="1998"/>
    <tableColumn id="12" xr3:uid="{05E9819B-B1D9-4920-B51F-3D002D3E89A5}" name="1999"/>
    <tableColumn id="13" xr3:uid="{3A2A43A6-71C6-4CD2-A5CD-AF4A5D6953F0}" name="2000"/>
    <tableColumn id="14" xr3:uid="{F45CBC3E-D897-4B0B-B422-8E43C5CA966C}" name="2001"/>
    <tableColumn id="15" xr3:uid="{1319FA86-1FAE-4B2E-B127-FC998D2F7EAB}" name="2002"/>
    <tableColumn id="16" xr3:uid="{57E61FC4-E8C0-49CF-9AE4-E513EE7397D7}" name="2003"/>
    <tableColumn id="17" xr3:uid="{0F1E38E1-59E0-43EF-9EB7-246B7CAFCAA7}" name="2004"/>
    <tableColumn id="18" xr3:uid="{BDEC396A-CA7B-4A3D-AF4F-0687C046E1AD}" name="2005"/>
    <tableColumn id="19" xr3:uid="{C9069193-97B6-49F8-BD7D-CD35C22B8A27}" name="2006"/>
    <tableColumn id="20" xr3:uid="{20875C08-27C1-48E4-8D19-1FE3E87A64CC}" name="2007"/>
    <tableColumn id="21" xr3:uid="{F89D12A9-89DE-4797-B390-9AB91429BF4A}" name="2008"/>
    <tableColumn id="22" xr3:uid="{8EDBD119-074A-4D9D-980A-47BD7800AA93}" name="2009"/>
    <tableColumn id="23" xr3:uid="{183A2C41-276A-44F1-9379-93B0B685FF28}" name="2010"/>
    <tableColumn id="24" xr3:uid="{4A3A548C-A415-4D5D-8465-CD65AF970A9F}" name="2011"/>
    <tableColumn id="25" xr3:uid="{13831D8F-1981-4253-910B-61A672289D95}" name="2012"/>
    <tableColumn id="26" xr3:uid="{A2409566-4F9B-47B0-A941-D3AE72C08134}" name="2013"/>
    <tableColumn id="27" xr3:uid="{3ED06BDA-980D-41F1-B71A-B7722E8C6D38}" name="2014"/>
    <tableColumn id="28" xr3:uid="{AAB6D98A-37C7-4675-A65A-4C7889EE08BC}" name="2015"/>
    <tableColumn id="29" xr3:uid="{424D36F0-0C5C-46A9-A212-5A72F40E0C7D}" name="2016"/>
    <tableColumn id="30" xr3:uid="{F41567A4-4D31-40B9-AD22-209C81734570}" name="2017"/>
    <tableColumn id="31" xr3:uid="{5123F741-43A9-4008-9CD5-437320C96E74}" name="2018"/>
    <tableColumn id="32" xr3:uid="{B697E5FE-22A9-4EED-8A35-B9EF40F6DD68}" name="2019"/>
    <tableColumn id="33" xr3:uid="{03D37DCB-C0F1-49F3-9227-F6FE9253F057}" name="2020"/>
    <tableColumn id="34" xr3:uid="{DFFC9F83-3255-4E76-A342-5639A02E25BC}" name="2021"/>
    <tableColumn id="35" xr3:uid="{AF8759D8-3186-4EAB-9DF0-F8AB8C4F7248}" name="2022"/>
    <tableColumn id="36" xr3:uid="{F1FEA4A2-720E-4F1B-B724-9F47A891DE0A}" name="2023"/>
  </tableColumns>
  <tableStyleInfo name="TableStyleLight1"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AF8F9ADC-F030-46CC-907B-0A7DC83BC55B}" name="NGDistributionCO2kgEFsRoutineMaintenanceandUpsets" displayName="NGDistributionCO2kgEFsRoutineMaintenanceandUpsets" ref="A360:AJ364" totalsRowShown="0" headerRowDxfId="2857" headerRowBorderDxfId="2856" tableBorderDxfId="2855">
  <autoFilter ref="A360:AJ364" xr:uid="{AF8F9ADC-F030-46CC-907B-0A7DC83BC55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A1AB170F-21F7-45F8-A975-C1780B8540DB}" name="Type" dataDxfId="2854"/>
    <tableColumn id="2" xr3:uid="{200C38AE-8846-4AD5-AA6F-9957419DD7F9}" name="Units" dataDxfId="2853"/>
    <tableColumn id="3" xr3:uid="{964C96EA-0B01-4A11-BDB3-9CD5C5C02836}" name="1990"/>
    <tableColumn id="4" xr3:uid="{E5EBED9F-7575-4F62-8716-8885D19042C7}" name="1991"/>
    <tableColumn id="5" xr3:uid="{F28B1D50-A4AF-40D7-8DBF-937C0933B199}" name="1992"/>
    <tableColumn id="6" xr3:uid="{7CFF0797-ECF7-411F-B45D-22306F3BCE28}" name="1993"/>
    <tableColumn id="7" xr3:uid="{57180B15-6F62-47FB-91D0-EAB085B7377E}" name="1994"/>
    <tableColumn id="8" xr3:uid="{9439FDD4-148A-4742-B86C-99DB2BC6C6D2}" name="1995"/>
    <tableColumn id="9" xr3:uid="{D471CDA7-A8B8-4A10-AD01-F636E09F19BE}" name="1996"/>
    <tableColumn id="10" xr3:uid="{0795CB46-F5FE-420D-B531-2E24A8EE660C}" name="1997"/>
    <tableColumn id="11" xr3:uid="{7F307BA5-1696-4F73-893B-771A6D7EEA53}" name="1998"/>
    <tableColumn id="12" xr3:uid="{3A52158C-0CBD-4AC9-8D85-23405844CBC2}" name="1999"/>
    <tableColumn id="13" xr3:uid="{AF0ABE67-32C2-4011-86B4-B45459F6F795}" name="2000"/>
    <tableColumn id="14" xr3:uid="{F62CF426-F46E-4507-8572-6002C91D7E45}" name="2001"/>
    <tableColumn id="15" xr3:uid="{3D038AB5-F4C1-427B-AE13-878EBD97BCCC}" name="2002"/>
    <tableColumn id="16" xr3:uid="{9D8795E0-7DAF-48A0-9A23-57482A416E58}" name="2003"/>
    <tableColumn id="17" xr3:uid="{3331CA44-80F2-4368-B92E-17C235EB098E}" name="2004"/>
    <tableColumn id="18" xr3:uid="{413E139B-8764-43D4-8A91-AC57AF95EE04}" name="2005"/>
    <tableColumn id="19" xr3:uid="{6D6221BF-4117-48C7-91A4-C4D981ED261E}" name="2006"/>
    <tableColumn id="20" xr3:uid="{30E4ED0E-F840-4FBD-9DB2-8C77AEDD583C}" name="2007"/>
    <tableColumn id="21" xr3:uid="{23A0FC83-AE53-4EB3-88C2-BDBD848186BE}" name="2008"/>
    <tableColumn id="22" xr3:uid="{2A239F25-C2C9-48DD-B135-33B420E037BD}" name="2009"/>
    <tableColumn id="23" xr3:uid="{9368EB0A-76A2-44AA-B462-AB1B75110702}" name="2010"/>
    <tableColumn id="24" xr3:uid="{22D6DE62-308A-4188-989F-59536AB57DE0}" name="2011"/>
    <tableColumn id="25" xr3:uid="{807B163A-CC9A-49CB-B483-457DCFEE203A}" name="2012"/>
    <tableColumn id="26" xr3:uid="{96A361EE-8072-4FFC-B6E3-5AB1A982CB2E}" name="2013"/>
    <tableColumn id="27" xr3:uid="{E265D10A-BAB0-4879-B117-6F8119F2FD5E}" name="2014"/>
    <tableColumn id="28" xr3:uid="{8AE01603-39D2-47FD-9920-290560A767A6}" name="2015"/>
    <tableColumn id="29" xr3:uid="{58B913A5-4C80-472A-8E87-E229ED8A89B2}" name="2016"/>
    <tableColumn id="30" xr3:uid="{4EDBE9ED-DAE9-41E2-8A4C-6D488B96D165}" name="2017"/>
    <tableColumn id="31" xr3:uid="{A2477848-45CA-492E-B3CD-D834F7328CCE}" name="2018"/>
    <tableColumn id="32" xr3:uid="{E7C1E1D6-F926-440A-A592-184CE9469EE1}" name="2019"/>
    <tableColumn id="33" xr3:uid="{7DEDD0EC-05D4-49A8-985B-278B94901736}" name="2020"/>
    <tableColumn id="34" xr3:uid="{E97B4F23-F74B-42F9-A53F-9480AA164D9A}" name="2021"/>
    <tableColumn id="35" xr3:uid="{FB44E032-ECA9-456C-9953-644D48B39550}" name="2022"/>
    <tableColumn id="36" xr3:uid="{A8AB5B3B-997B-40F4-93ED-55D22A8682C2}" name="2023"/>
  </tableColumns>
  <tableStyleInfo name="TableStyleLight1"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39B9B268-0FC9-437E-98C6-5DB570184C02}" name="NGDistributionCO2mtEFsPipelineandServices" displayName="NGDistributionCO2mtEFsPipelineandServices" ref="A368:AJ377" totalsRowShown="0" headerRowDxfId="2852" dataDxfId="2850" headerRowBorderDxfId="2851" tableBorderDxfId="2849">
  <autoFilter ref="A368:AJ377" xr:uid="{39B9B268-0FC9-437E-98C6-5DB570184C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F5977554-F528-4AA1-9825-BDF758359274}" name="Type/Material Type" dataDxfId="2848"/>
    <tableColumn id="2" xr3:uid="{4475D643-78D4-4DCB-B59E-B16E74CB5542}" name="Units" dataDxfId="2847"/>
    <tableColumn id="3" xr3:uid="{68BC5137-3E0F-41C0-A5B8-DB6A28DD390C}" name="1990" dataDxfId="2846">
      <calculatedColumnFormula>$B$541*C328</calculatedColumnFormula>
    </tableColumn>
    <tableColumn id="4" xr3:uid="{B784CBEB-5BB1-4DE2-BF20-C0512B53426A}" name="1991" dataDxfId="2845">
      <calculatedColumnFormula>#REF!*D328</calculatedColumnFormula>
    </tableColumn>
    <tableColumn id="5" xr3:uid="{66A98DE3-995B-46C0-AECF-5E196C600DA4}" name="1992" dataDxfId="2844">
      <calculatedColumnFormula>#REF!*E328</calculatedColumnFormula>
    </tableColumn>
    <tableColumn id="6" xr3:uid="{243FF223-D654-48DF-B77B-0C24F552E059}" name="1993" dataDxfId="2843">
      <calculatedColumnFormula>#REF!*F328</calculatedColumnFormula>
    </tableColumn>
    <tableColumn id="7" xr3:uid="{98F6ABB9-5B0A-4D4B-828B-A5700E91C905}" name="1994" dataDxfId="2842">
      <calculatedColumnFormula>#REF!*G328</calculatedColumnFormula>
    </tableColumn>
    <tableColumn id="8" xr3:uid="{6960CC8A-3A21-4F5B-9870-E530B50BED23}" name="1995" dataDxfId="2841">
      <calculatedColumnFormula>#REF!*H328</calculatedColumnFormula>
    </tableColumn>
    <tableColumn id="9" xr3:uid="{354BC03F-9B6A-4BE3-BF45-CE4B31A37D52}" name="1996" dataDxfId="2840">
      <calculatedColumnFormula>#REF!*I328</calculatedColumnFormula>
    </tableColumn>
    <tableColumn id="10" xr3:uid="{025E0EF7-C132-41B5-9A46-C172C0D3443A}" name="1997" dataDxfId="2839">
      <calculatedColumnFormula>#REF!*J328</calculatedColumnFormula>
    </tableColumn>
    <tableColumn id="11" xr3:uid="{F0BC062B-DDD3-4EA3-B277-9078DF5DB9ED}" name="1998" dataDxfId="2838">
      <calculatedColumnFormula>#REF!*K328</calculatedColumnFormula>
    </tableColumn>
    <tableColumn id="12" xr3:uid="{83CBF8F4-D19F-4AD6-8A65-4B760C0C5D9F}" name="1999" dataDxfId="2837">
      <calculatedColumnFormula>#REF!*L328</calculatedColumnFormula>
    </tableColumn>
    <tableColumn id="13" xr3:uid="{BBCBBEA4-14E3-41E5-A365-F2C8AA9F51F3}" name="2000" dataDxfId="2836">
      <calculatedColumnFormula>#REF!*M328</calculatedColumnFormula>
    </tableColumn>
    <tableColumn id="14" xr3:uid="{8517957A-6238-432C-ADF7-33849F4E5E20}" name="2001" dataDxfId="2835">
      <calculatedColumnFormula>#REF!*N328</calculatedColumnFormula>
    </tableColumn>
    <tableColumn id="15" xr3:uid="{4B2F4901-B3EE-4C3C-9A7B-DDCE1A98E1B8}" name="2002" dataDxfId="2834">
      <calculatedColumnFormula>#REF!*O328</calculatedColumnFormula>
    </tableColumn>
    <tableColumn id="16" xr3:uid="{30AE3BE6-B1B4-4820-A87C-60DE651FE2B5}" name="2003" dataDxfId="2833">
      <calculatedColumnFormula>#REF!*P328</calculatedColumnFormula>
    </tableColumn>
    <tableColumn id="17" xr3:uid="{B24B9C7D-BB6D-47A6-9669-FB95E07C134A}" name="2004" dataDxfId="2832">
      <calculatedColumnFormula>#REF!*Q328</calculatedColumnFormula>
    </tableColumn>
    <tableColumn id="18" xr3:uid="{73E97C13-393E-4674-A457-B5EEDC6369B0}" name="2005" dataDxfId="2831">
      <calculatedColumnFormula>#REF!*R328</calculatedColumnFormula>
    </tableColumn>
    <tableColumn id="19" xr3:uid="{1C4C9FAE-8FDD-4114-9AC0-26EE9AA28C9E}" name="2006" dataDxfId="2830">
      <calculatedColumnFormula>#REF!*S328</calculatedColumnFormula>
    </tableColumn>
    <tableColumn id="20" xr3:uid="{A98E5494-17A5-4EA7-B33A-ED01D4B24532}" name="2007" dataDxfId="2829">
      <calculatedColumnFormula>#REF!*T328</calculatedColumnFormula>
    </tableColumn>
    <tableColumn id="21" xr3:uid="{9063E742-7FA4-42AD-B6E8-C284E194BA73}" name="2008" dataDxfId="2828">
      <calculatedColumnFormula>#REF!*U328</calculatedColumnFormula>
    </tableColumn>
    <tableColumn id="22" xr3:uid="{04BF7051-C297-44C2-B548-9AAF4C21DA2C}" name="2009" dataDxfId="2827">
      <calculatedColumnFormula>#REF!*V328</calculatedColumnFormula>
    </tableColumn>
    <tableColumn id="23" xr3:uid="{F1E2A0F1-D3E6-474D-843D-0FE6DB90E1E4}" name="2010" dataDxfId="2826">
      <calculatedColumnFormula>#REF!*W328</calculatedColumnFormula>
    </tableColumn>
    <tableColumn id="24" xr3:uid="{C431637E-1397-4764-92F4-D6F56DFBE9CC}" name="2011" dataDxfId="2825">
      <calculatedColumnFormula>#REF!*X328</calculatedColumnFormula>
    </tableColumn>
    <tableColumn id="25" xr3:uid="{CA3D08F7-8984-4318-8BB1-008D8B5421C6}" name="2012" dataDxfId="2824">
      <calculatedColumnFormula>#REF!*Y328</calculatedColumnFormula>
    </tableColumn>
    <tableColumn id="26" xr3:uid="{C402EFAF-B6A9-42F5-A449-5F6B0319AC55}" name="2013" dataDxfId="2823">
      <calculatedColumnFormula>#REF!*Z328</calculatedColumnFormula>
    </tableColumn>
    <tableColumn id="27" xr3:uid="{FC5CD15A-A236-47C0-9569-339A58F619AF}" name="2014" dataDxfId="2822">
      <calculatedColumnFormula>#REF!*AA328</calculatedColumnFormula>
    </tableColumn>
    <tableColumn id="28" xr3:uid="{71C95996-FC62-4D27-8885-37A87E401516}" name="2015" dataDxfId="2821">
      <calculatedColumnFormula>#REF!*AB328</calculatedColumnFormula>
    </tableColumn>
    <tableColumn id="29" xr3:uid="{8711315B-D523-4D00-A79C-130C5BC4C36B}" name="2016" dataDxfId="2820">
      <calculatedColumnFormula>#REF!*AC328</calculatedColumnFormula>
    </tableColumn>
    <tableColumn id="30" xr3:uid="{46986FAF-F4A2-4ED3-987D-B49AE14C6F30}" name="2017" dataDxfId="2819">
      <calculatedColumnFormula>#REF!*AD328</calculatedColumnFormula>
    </tableColumn>
    <tableColumn id="31" xr3:uid="{B166A0C0-908E-4A7D-B2BD-043A54C1C3FC}" name="2018" dataDxfId="2818">
      <calculatedColumnFormula>#REF!*AE328</calculatedColumnFormula>
    </tableColumn>
    <tableColumn id="32" xr3:uid="{3AA71FCA-220A-49B6-A2B4-7BCC95C91CC0}" name="2019" dataDxfId="2817">
      <calculatedColumnFormula>#REF!*AF328</calculatedColumnFormula>
    </tableColumn>
    <tableColumn id="33" xr3:uid="{5F779693-8E39-4726-BD2F-406F19E8B38D}" name="2020" dataDxfId="2816">
      <calculatedColumnFormula>#REF!*AG328</calculatedColumnFormula>
    </tableColumn>
    <tableColumn id="34" xr3:uid="{A1496F5D-B1BF-46E8-B725-18DBD5A49A63}" name="2021" dataDxfId="2815">
      <calculatedColumnFormula>#REF!*AH328</calculatedColumnFormula>
    </tableColumn>
    <tableColumn id="35" xr3:uid="{78BC0990-B5BB-4AE5-9E0A-3EE0507C904C}" name="2022" dataDxfId="2814">
      <calculatedColumnFormula>#REF!*AI328</calculatedColumnFormula>
    </tableColumn>
    <tableColumn id="36" xr3:uid="{609B9952-8947-4CCC-859F-ED8DA4BB3A19}" name="2023" dataDxfId="2813">
      <calculatedColumnFormula>#REF!*AJ328</calculatedColumnFormula>
    </tableColumn>
  </tableColumns>
  <tableStyleInfo name="TableStyleLight1"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7FFE97B1-A2EB-4D65-8B49-4E0ED03BA8F0}" name="NGDistributionCO2mtEFsMeterandRegulatorStations" displayName="NGDistributionCO2mtEFsMeterandRegulatorStations" ref="A380:AJ391" totalsRowShown="0" headerRowDxfId="2812" dataDxfId="2810" headerRowBorderDxfId="2811" tableBorderDxfId="2809">
  <autoFilter ref="A380:AJ391" xr:uid="{7FFE97B1-A2EB-4D65-8B49-4E0ED03BA8F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3636DA85-1E79-4006-9A8B-58F2DDE80210}" name="Type/Size" dataDxfId="2808"/>
    <tableColumn id="2" xr3:uid="{D9072252-EE70-45CA-B3E9-C9F9E10A8B0C}" name="Units" dataDxfId="2807"/>
    <tableColumn id="3" xr3:uid="{87EFB042-C750-4B20-8305-7444F65AA1F3}" name="1990" dataDxfId="2806">
      <calculatedColumnFormula>#REF!*C340</calculatedColumnFormula>
    </tableColumn>
    <tableColumn id="4" xr3:uid="{41B45CFF-53FD-4DA7-B45A-EE8CA9A83174}" name="1991" dataDxfId="2805">
      <calculatedColumnFormula>#REF!*D340</calculatedColumnFormula>
    </tableColumn>
    <tableColumn id="5" xr3:uid="{1927D9FF-E8F3-4F7C-AF3D-24A555874A75}" name="1992" dataDxfId="2804">
      <calculatedColumnFormula>#REF!*E340</calculatedColumnFormula>
    </tableColumn>
    <tableColumn id="6" xr3:uid="{F6BD1033-DF21-480E-BC93-9276E88A57DE}" name="1993" dataDxfId="2803">
      <calculatedColumnFormula>#REF!*F340</calculatedColumnFormula>
    </tableColumn>
    <tableColumn id="7" xr3:uid="{EF2EABD0-57E7-43AE-A06E-237CC4738447}" name="1994" dataDxfId="2802">
      <calculatedColumnFormula>#REF!*G340</calculatedColumnFormula>
    </tableColumn>
    <tableColumn id="8" xr3:uid="{3784AB6A-F2B2-420D-B61D-F7359DC166D0}" name="1995" dataDxfId="2801">
      <calculatedColumnFormula>#REF!*H340</calculatedColumnFormula>
    </tableColumn>
    <tableColumn id="9" xr3:uid="{47573DA0-1682-4D7D-BC81-F301D373C5E9}" name="1996" dataDxfId="2800">
      <calculatedColumnFormula>#REF!*I340</calculatedColumnFormula>
    </tableColumn>
    <tableColumn id="10" xr3:uid="{D125EACF-2B20-416F-BC6E-7B6548425117}" name="1997" dataDxfId="2799">
      <calculatedColumnFormula>#REF!*J340</calculatedColumnFormula>
    </tableColumn>
    <tableColumn id="11" xr3:uid="{5C9C18F4-E250-45A1-B645-353E6C374E09}" name="1998" dataDxfId="2798">
      <calculatedColumnFormula>#REF!*K340</calculatedColumnFormula>
    </tableColumn>
    <tableColumn id="12" xr3:uid="{03CDF7C7-B02E-42C6-AE26-804CCA5AD5B5}" name="1999" dataDxfId="2797">
      <calculatedColumnFormula>#REF!*L340</calculatedColumnFormula>
    </tableColumn>
    <tableColumn id="13" xr3:uid="{6411978F-9916-402E-9F6F-4F0359CF1176}" name="2000" dataDxfId="2796">
      <calculatedColumnFormula>#REF!*M340</calculatedColumnFormula>
    </tableColumn>
    <tableColumn id="14" xr3:uid="{CB07A6AB-917E-4949-8BF8-477E3F3FDEB2}" name="2001" dataDxfId="2795">
      <calculatedColumnFormula>#REF!*N340</calculatedColumnFormula>
    </tableColumn>
    <tableColumn id="15" xr3:uid="{A3E34169-5BB3-4F13-838A-9E3DB8F741F2}" name="2002" dataDxfId="2794">
      <calculatedColumnFormula>#REF!*O340</calculatedColumnFormula>
    </tableColumn>
    <tableColumn id="16" xr3:uid="{B1718E28-7269-4C90-A37C-CCDF9C7BE9A5}" name="2003" dataDxfId="2793">
      <calculatedColumnFormula>#REF!*P340</calculatedColumnFormula>
    </tableColumn>
    <tableColumn id="17" xr3:uid="{35DEE2AA-AC72-4E3F-9126-31229AD676C0}" name="2004" dataDxfId="2792">
      <calculatedColumnFormula>#REF!*Q340</calculatedColumnFormula>
    </tableColumn>
    <tableColumn id="18" xr3:uid="{1C8145F6-B36E-4DFE-883A-DA0D1C8C7944}" name="2005" dataDxfId="2791">
      <calculatedColumnFormula>#REF!*R340</calculatedColumnFormula>
    </tableColumn>
    <tableColumn id="19" xr3:uid="{1CB2D37C-721C-4B86-8C08-06085B6C6304}" name="2006" dataDxfId="2790">
      <calculatedColumnFormula>#REF!*S340</calculatedColumnFormula>
    </tableColumn>
    <tableColumn id="20" xr3:uid="{0405DA20-AFC6-439D-8AB1-5349BA45567A}" name="2007" dataDxfId="2789">
      <calculatedColumnFormula>#REF!*T340</calculatedColumnFormula>
    </tableColumn>
    <tableColumn id="21" xr3:uid="{99282CA7-9E06-40E0-B764-4AD32F93BEEC}" name="2008" dataDxfId="2788">
      <calculatedColumnFormula>#REF!*U340</calculatedColumnFormula>
    </tableColumn>
    <tableColumn id="22" xr3:uid="{DB79805B-44D1-43B0-9311-CD697607EBBF}" name="2009" dataDxfId="2787">
      <calculatedColumnFormula>#REF!*V340</calculatedColumnFormula>
    </tableColumn>
    <tableColumn id="23" xr3:uid="{5AB14DB8-35CC-4117-8567-54E4E541D87D}" name="2010" dataDxfId="2786">
      <calculatedColumnFormula>#REF!*W340</calculatedColumnFormula>
    </tableColumn>
    <tableColumn id="24" xr3:uid="{93C90CDE-3D75-4564-B837-CA3BDB3B833C}" name="2011" dataDxfId="2785">
      <calculatedColumnFormula>#REF!*X340</calculatedColumnFormula>
    </tableColumn>
    <tableColumn id="25" xr3:uid="{8EDF12F7-55FF-46AA-ADBB-EC0CFA1B2C59}" name="2012" dataDxfId="2784">
      <calculatedColumnFormula>#REF!*Y340</calculatedColumnFormula>
    </tableColumn>
    <tableColumn id="26" xr3:uid="{481E72B3-C5F1-410D-9062-1D0697747939}" name="2013" dataDxfId="2783">
      <calculatedColumnFormula>#REF!*Z340</calculatedColumnFormula>
    </tableColumn>
    <tableColumn id="27" xr3:uid="{4AF00EB8-4D36-48D3-A1BE-AA9C4D1E47C5}" name="2014" dataDxfId="2782">
      <calculatedColumnFormula>#REF!*AA340</calculatedColumnFormula>
    </tableColumn>
    <tableColumn id="28" xr3:uid="{11CE2FCD-0C84-4AF0-AC00-6A824EDE4A87}" name="2015" dataDxfId="2781">
      <calculatedColumnFormula>#REF!*AB340</calculatedColumnFormula>
    </tableColumn>
    <tableColumn id="29" xr3:uid="{C4A1FAA6-A70E-4C36-9167-69A1CE02EDE0}" name="2016" dataDxfId="2780">
      <calculatedColumnFormula>#REF!*AC340</calculatedColumnFormula>
    </tableColumn>
    <tableColumn id="30" xr3:uid="{C1E0FD34-221F-4B42-A5C7-3A08EE5F4293}" name="2017" dataDxfId="2779">
      <calculatedColumnFormula>#REF!*AD340</calculatedColumnFormula>
    </tableColumn>
    <tableColumn id="31" xr3:uid="{2FD9BB3F-9BFE-41B2-BB37-CE34B9D65634}" name="2018" dataDxfId="2778">
      <calculatedColumnFormula>#REF!*AE340</calculatedColumnFormula>
    </tableColumn>
    <tableColumn id="32" xr3:uid="{909C1A7C-71D2-4FAE-848D-9C8B63437B5E}" name="2019" dataDxfId="2777">
      <calculatedColumnFormula>#REF!*AF340</calculatedColumnFormula>
    </tableColumn>
    <tableColumn id="33" xr3:uid="{34BB2AE3-1E0C-4E56-AB58-AB2FBF2F2774}" name="2020" dataDxfId="2776">
      <calculatedColumnFormula>#REF!*AG340</calculatedColumnFormula>
    </tableColumn>
    <tableColumn id="34" xr3:uid="{8354E16F-AD38-4608-A014-0B6BD31BFB7B}" name="2021" dataDxfId="2775">
      <calculatedColumnFormula>#REF!*AH340</calculatedColumnFormula>
    </tableColumn>
    <tableColumn id="35" xr3:uid="{60B5CB9E-2ADB-4444-9496-398F188009FD}" name="2022" dataDxfId="2774">
      <calculatedColumnFormula>#REF!*AI340</calculatedColumnFormula>
    </tableColumn>
    <tableColumn id="36" xr3:uid="{131353CC-7436-4D2E-8A53-2AD59AD87D7E}" name="2023" dataDxfId="2773">
      <calculatedColumnFormula>#REF!*AJ340</calculatedColumnFormula>
    </tableColumn>
  </tableColumns>
  <tableStyleInfo name="TableStyleLight1"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43125272-ACAE-4207-867C-322254686BC8}" name="NGDistributionCO2mtEFsCustomerMeters" displayName="NGDistributionCO2mtEFsCustomerMeters" ref="A394:AJ398" totalsRowShown="0" headerRowDxfId="2772" dataDxfId="2770" headerRowBorderDxfId="2771" tableBorderDxfId="2769">
  <autoFilter ref="A394:AJ398" xr:uid="{43125272-ACAE-4207-867C-322254686BC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81A481F0-2D4F-4164-B8B9-2AF66126D200}" name="Segment"/>
    <tableColumn id="2" xr3:uid="{B7F7F957-338A-4346-9B28-BFE72D73164A}" name="Units" dataDxfId="2768"/>
    <tableColumn id="3" xr3:uid="{3C0985CC-A0AC-4490-A587-E0F5576B138E}" name="1990" dataDxfId="2767">
      <calculatedColumnFormula>#REF!*C354</calculatedColumnFormula>
    </tableColumn>
    <tableColumn id="4" xr3:uid="{4D0534EA-E903-4E50-B9E4-0BCA8282A407}" name="1991" dataDxfId="2766">
      <calculatedColumnFormula>#REF!*D354</calculatedColumnFormula>
    </tableColumn>
    <tableColumn id="5" xr3:uid="{44A2E004-FE68-4CCE-95D7-D5B43DA3A65C}" name="1992" dataDxfId="2765">
      <calculatedColumnFormula>#REF!*E354</calculatedColumnFormula>
    </tableColumn>
    <tableColumn id="6" xr3:uid="{640C85EA-837C-4439-A321-BAE03B13FFCC}" name="1993" dataDxfId="2764">
      <calculatedColumnFormula>#REF!*F354</calculatedColumnFormula>
    </tableColumn>
    <tableColumn id="7" xr3:uid="{68369EDF-0E24-4701-88C9-7F342118A42E}" name="1994" dataDxfId="2763">
      <calculatedColumnFormula>#REF!*G354</calculatedColumnFormula>
    </tableColumn>
    <tableColumn id="8" xr3:uid="{CBF6E75A-0EA2-47C7-BBAE-6B37377036E0}" name="1995" dataDxfId="2762">
      <calculatedColumnFormula>#REF!*H354</calculatedColumnFormula>
    </tableColumn>
    <tableColumn id="9" xr3:uid="{9A9C301C-DBCA-4C85-923A-E6BEC0CB688C}" name="1996" dataDxfId="2761">
      <calculatedColumnFormula>#REF!*I354</calculatedColumnFormula>
    </tableColumn>
    <tableColumn id="10" xr3:uid="{15DFF9B1-3671-45BA-9E68-1BD5B2591013}" name="1997" dataDxfId="2760">
      <calculatedColumnFormula>#REF!*J354</calculatedColumnFormula>
    </tableColumn>
    <tableColumn id="11" xr3:uid="{DE8A42FC-7AEA-4B9D-BA86-BABFDA758780}" name="1998" dataDxfId="2759">
      <calculatedColumnFormula>#REF!*K354</calculatedColumnFormula>
    </tableColumn>
    <tableColumn id="12" xr3:uid="{4E1C25A8-2A34-42BA-B6B8-E75A31B16223}" name="1999" dataDxfId="2758">
      <calculatedColumnFormula>#REF!*L354</calculatedColumnFormula>
    </tableColumn>
    <tableColumn id="13" xr3:uid="{51984F3E-2F87-4992-9710-47F908744554}" name="2000" dataDxfId="2757">
      <calculatedColumnFormula>#REF!*M354</calculatedColumnFormula>
    </tableColumn>
    <tableColumn id="14" xr3:uid="{8A07E78F-2008-4725-9557-E51B0FC0E02F}" name="2001" dataDxfId="2756">
      <calculatedColumnFormula>#REF!*N354</calculatedColumnFormula>
    </tableColumn>
    <tableColumn id="15" xr3:uid="{080168FA-31DE-47A8-9B7E-BEE759CC33E2}" name="2002" dataDxfId="2755">
      <calculatedColumnFormula>#REF!*O354</calculatedColumnFormula>
    </tableColumn>
    <tableColumn id="16" xr3:uid="{E8062094-3383-4E53-9DE0-2A6E5CE958AD}" name="2003" dataDxfId="2754">
      <calculatedColumnFormula>#REF!*P354</calculatedColumnFormula>
    </tableColumn>
    <tableColumn id="17" xr3:uid="{0CAEA4C3-014E-4891-A31F-F8DD77D9281B}" name="2004" dataDxfId="2753">
      <calculatedColumnFormula>#REF!*Q354</calculatedColumnFormula>
    </tableColumn>
    <tableColumn id="18" xr3:uid="{3CBB662C-D7F2-44BB-82FD-72E13FA852F0}" name="2005" dataDxfId="2752">
      <calculatedColumnFormula>#REF!*R354</calculatedColumnFormula>
    </tableColumn>
    <tableColumn id="19" xr3:uid="{6E6CF212-6116-4C65-B3AB-18D3DB2AAF07}" name="2006" dataDxfId="2751">
      <calculatedColumnFormula>#REF!*S354</calculatedColumnFormula>
    </tableColumn>
    <tableColumn id="20" xr3:uid="{615ECF07-5B6C-407C-B3CD-4545AD335D07}" name="2007" dataDxfId="2750">
      <calculatedColumnFormula>#REF!*T354</calculatedColumnFormula>
    </tableColumn>
    <tableColumn id="21" xr3:uid="{535D9250-07AF-400F-82F1-CF9AB63D9E5E}" name="2008" dataDxfId="2749">
      <calculatedColumnFormula>#REF!*U354</calculatedColumnFormula>
    </tableColumn>
    <tableColumn id="22" xr3:uid="{2BB2C673-B359-4A1F-8522-B04E1CB3C10F}" name="2009" dataDxfId="2748">
      <calculatedColumnFormula>#REF!*V354</calculatedColumnFormula>
    </tableColumn>
    <tableColumn id="23" xr3:uid="{F8605A0B-3097-4E12-87A8-97B2ACCAA11E}" name="2010" dataDxfId="2747">
      <calculatedColumnFormula>#REF!*W354</calculatedColumnFormula>
    </tableColumn>
    <tableColumn id="24" xr3:uid="{62B5B6EC-7025-4932-9AC4-D9D8E3C53377}" name="2011" dataDxfId="2746">
      <calculatedColumnFormula>#REF!*X354</calculatedColumnFormula>
    </tableColumn>
    <tableColumn id="25" xr3:uid="{728F2056-19DA-4D02-8A9F-460AD0FACFE1}" name="2012" dataDxfId="2745">
      <calculatedColumnFormula>#REF!*Y354</calculatedColumnFormula>
    </tableColumn>
    <tableColumn id="26" xr3:uid="{65051B6A-5011-46B7-B990-0417502DBBFB}" name="2013" dataDxfId="2744">
      <calculatedColumnFormula>#REF!*Z354</calculatedColumnFormula>
    </tableColumn>
    <tableColumn id="27" xr3:uid="{402AAACA-5FFB-4985-8110-CCAC4E1E7499}" name="2014" dataDxfId="2743">
      <calculatedColumnFormula>#REF!*AA354</calculatedColumnFormula>
    </tableColumn>
    <tableColumn id="28" xr3:uid="{6E2B5234-F18B-4434-B78E-CDA2BCEE7029}" name="2015" dataDxfId="2742">
      <calculatedColumnFormula>#REF!*AB354</calculatedColumnFormula>
    </tableColumn>
    <tableColumn id="29" xr3:uid="{55A274D2-60E9-4EF5-9004-8E6E2D92A657}" name="2016" dataDxfId="2741">
      <calculatedColumnFormula>#REF!*AC354</calculatedColumnFormula>
    </tableColumn>
    <tableColumn id="30" xr3:uid="{6003A264-2C69-46CF-B8AF-9BE330A598C3}" name="2017" dataDxfId="2740">
      <calculatedColumnFormula>#REF!*AD354</calculatedColumnFormula>
    </tableColumn>
    <tableColumn id="31" xr3:uid="{FBBCAE3B-BB05-464C-A177-CC963853693F}" name="2018" dataDxfId="2739">
      <calculatedColumnFormula>#REF!*AE354</calculatedColumnFormula>
    </tableColumn>
    <tableColumn id="32" xr3:uid="{C3ADB581-15F2-4DF7-BABE-07AC8724F6ED}" name="2019" dataDxfId="2738">
      <calculatedColumnFormula>#REF!*AF354</calculatedColumnFormula>
    </tableColumn>
    <tableColumn id="33" xr3:uid="{AE1661B8-9BE3-49FF-95DA-39E38DACB034}" name="2020" dataDxfId="2737">
      <calculatedColumnFormula>#REF!*AG354</calculatedColumnFormula>
    </tableColumn>
    <tableColumn id="34" xr3:uid="{3ABE7A1C-A421-4DF3-9853-C547767E3253}" name="2021" dataDxfId="2736">
      <calculatedColumnFormula>#REF!*AH354</calculatedColumnFormula>
    </tableColumn>
    <tableColumn id="35" xr3:uid="{90D02704-CC78-42C2-9E51-AC612BCB61F3}" name="2022" dataDxfId="2735">
      <calculatedColumnFormula>#REF!*AI354</calculatedColumnFormula>
    </tableColumn>
    <tableColumn id="36" xr3:uid="{4411420C-8E36-4572-BF76-36BFE33725B9}" name="2023" dataDxfId="2734">
      <calculatedColumnFormula>#REF!*AJ354</calculatedColumnFormula>
    </tableColumn>
  </tableColumns>
  <tableStyleInfo name="TableStyleLight1"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99E12BA3-7DF2-43EA-A87B-F3891602422F}" name="NGDistributionCO2mtEFsforRoutineMaintenanceandUpsets" displayName="NGDistributionCO2mtEFsforRoutineMaintenanceandUpsets" ref="A401:AJ405" totalsRowShown="0" headerRowDxfId="2733" dataDxfId="2731" headerRowBorderDxfId="2732" tableBorderDxfId="2730">
  <autoFilter ref="A401:AJ405" xr:uid="{99E12BA3-7DF2-43EA-A87B-F3891602422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D4601467-9C7E-4629-8C9A-C2498E8A72C6}" name="Type" dataDxfId="2729"/>
    <tableColumn id="2" xr3:uid="{0EA647C5-A63F-43D8-B509-5D0219F08DC5}" name="Units" dataDxfId="2728"/>
    <tableColumn id="3" xr3:uid="{2C9D1C86-27DA-43C8-A324-DEFE7D8205A3}" name="1990" dataDxfId="2727">
      <calculatedColumnFormula>#REF!*C361</calculatedColumnFormula>
    </tableColumn>
    <tableColumn id="4" xr3:uid="{74041F13-924B-4040-A8AA-4FDC4399EB1B}" name="1991" dataDxfId="2726">
      <calculatedColumnFormula>#REF!*D361</calculatedColumnFormula>
    </tableColumn>
    <tableColumn id="5" xr3:uid="{851847BC-1B1B-413E-B3DB-D611F330824F}" name="1992" dataDxfId="2725">
      <calculatedColumnFormula>#REF!*E361</calculatedColumnFormula>
    </tableColumn>
    <tableColumn id="6" xr3:uid="{9A3E457D-2FF1-461C-86CB-61D6297A061B}" name="1993" dataDxfId="2724">
      <calculatedColumnFormula>#REF!*F361</calculatedColumnFormula>
    </tableColumn>
    <tableColumn id="7" xr3:uid="{39C25A3C-C2A3-4914-A521-EE7A1DE1EBD6}" name="1994" dataDxfId="2723">
      <calculatedColumnFormula>#REF!*G361</calculatedColumnFormula>
    </tableColumn>
    <tableColumn id="8" xr3:uid="{F562B111-CDFC-4896-B912-C170CEA11792}" name="1995" dataDxfId="2722">
      <calculatedColumnFormula>#REF!*H361</calculatedColumnFormula>
    </tableColumn>
    <tableColumn id="9" xr3:uid="{F0E4BA9F-6763-4B5F-9D64-D10B06DD3E64}" name="1996" dataDxfId="2721">
      <calculatedColumnFormula>#REF!*I361</calculatedColumnFormula>
    </tableColumn>
    <tableColumn id="10" xr3:uid="{946C727E-C94D-421B-BD20-4859DB12230A}" name="1997" dataDxfId="2720">
      <calculatedColumnFormula>#REF!*J361</calculatedColumnFormula>
    </tableColumn>
    <tableColumn id="11" xr3:uid="{E91C0819-641D-45CD-9446-FCA06FAADC69}" name="1998" dataDxfId="2719">
      <calculatedColumnFormula>#REF!*K361</calculatedColumnFormula>
    </tableColumn>
    <tableColumn id="12" xr3:uid="{1898BD06-1B68-4D99-83FD-F764DB5386B9}" name="1999" dataDxfId="2718">
      <calculatedColumnFormula>#REF!*L361</calculatedColumnFormula>
    </tableColumn>
    <tableColumn id="13" xr3:uid="{82FFA5E0-F490-4E22-9B2B-A27001772C37}" name="2000" dataDxfId="2717">
      <calculatedColumnFormula>#REF!*M361</calculatedColumnFormula>
    </tableColumn>
    <tableColumn id="14" xr3:uid="{BD469931-F933-49AB-939E-A8A5FC271086}" name="2001" dataDxfId="2716">
      <calculatedColumnFormula>#REF!*N361</calculatedColumnFormula>
    </tableColumn>
    <tableColumn id="15" xr3:uid="{C02BED2A-8524-4D3E-89DF-4A03E883C1FF}" name="2002" dataDxfId="2715">
      <calculatedColumnFormula>#REF!*O361</calculatedColumnFormula>
    </tableColumn>
    <tableColumn id="16" xr3:uid="{D625707B-CCB2-4B7D-955E-0DAB9DA92F4C}" name="2003" dataDxfId="2714">
      <calculatedColumnFormula>#REF!*P361</calculatedColumnFormula>
    </tableColumn>
    <tableColumn id="17" xr3:uid="{10C7B4F4-3D41-45BB-9D7C-2844AB3129E2}" name="2004" dataDxfId="2713">
      <calculatedColumnFormula>#REF!*Q361</calculatedColumnFormula>
    </tableColumn>
    <tableColumn id="18" xr3:uid="{D64709E1-B4AC-4E44-92C4-8648B1043CC4}" name="2005" dataDxfId="2712">
      <calculatedColumnFormula>#REF!*R361</calculatedColumnFormula>
    </tableColumn>
    <tableColumn id="19" xr3:uid="{8B162184-5478-40D6-8019-0BFA8485DBF9}" name="2006" dataDxfId="2711">
      <calculatedColumnFormula>#REF!*S361</calculatedColumnFormula>
    </tableColumn>
    <tableColumn id="20" xr3:uid="{DC75D54B-353B-40F5-B421-6FF4958F57B2}" name="2007" dataDxfId="2710">
      <calculatedColumnFormula>#REF!*T361</calculatedColumnFormula>
    </tableColumn>
    <tableColumn id="21" xr3:uid="{6BBFA7F3-B631-4D03-9220-51E0E3BE3F23}" name="2008" dataDxfId="2709">
      <calculatedColumnFormula>#REF!*U361</calculatedColumnFormula>
    </tableColumn>
    <tableColumn id="22" xr3:uid="{BE5B4D37-AA98-4E64-B6E8-F4E8D271427C}" name="2009" dataDxfId="2708">
      <calculatedColumnFormula>#REF!*V361</calculatedColumnFormula>
    </tableColumn>
    <tableColumn id="23" xr3:uid="{AB053D35-5213-482E-B4C9-423E2C24123B}" name="2010" dataDxfId="2707">
      <calculatedColumnFormula>#REF!*W361</calculatedColumnFormula>
    </tableColumn>
    <tableColumn id="24" xr3:uid="{DE04ADED-0D87-4ACB-9B4C-7FFCB576E2C7}" name="2011" dataDxfId="2706">
      <calculatedColumnFormula>#REF!*X361</calculatedColumnFormula>
    </tableColumn>
    <tableColumn id="25" xr3:uid="{D100DCBD-621D-488D-BCD0-3317A8A19312}" name="2012" dataDxfId="2705">
      <calculatedColumnFormula>#REF!*Y361</calculatedColumnFormula>
    </tableColumn>
    <tableColumn id="26" xr3:uid="{357644B1-1ED1-4580-9136-FB584AC5BDE5}" name="2013" dataDxfId="2704">
      <calculatedColumnFormula>#REF!*Z361</calculatedColumnFormula>
    </tableColumn>
    <tableColumn id="27" xr3:uid="{D74A7EE4-92E6-422F-AFEA-36BE8B5A1C24}" name="2014" dataDxfId="2703">
      <calculatedColumnFormula>#REF!*AA361</calculatedColumnFormula>
    </tableColumn>
    <tableColumn id="28" xr3:uid="{9F6FA2BB-1AC2-45CC-B1E1-1F7C26DE5561}" name="2015" dataDxfId="2702">
      <calculatedColumnFormula>#REF!*AB361</calculatedColumnFormula>
    </tableColumn>
    <tableColumn id="29" xr3:uid="{43A8392A-C53B-4357-A0CA-C2F0565F39E9}" name="2016" dataDxfId="2701">
      <calculatedColumnFormula>#REF!*AC361</calculatedColumnFormula>
    </tableColumn>
    <tableColumn id="30" xr3:uid="{F1D2102C-C10C-4ED2-B5EF-73AF47350EE3}" name="2017" dataDxfId="2700">
      <calculatedColumnFormula>#REF!*AD361</calculatedColumnFormula>
    </tableColumn>
    <tableColumn id="31" xr3:uid="{30CD3C46-9E33-4EEC-9814-90F6BF3F93C0}" name="2018" dataDxfId="2699">
      <calculatedColumnFormula>#REF!*AE361</calculatedColumnFormula>
    </tableColumn>
    <tableColumn id="32" xr3:uid="{295ECEA6-404C-4958-B789-0D75E103ECEF}" name="2019" dataDxfId="2698">
      <calculatedColumnFormula>#REF!*AF361</calculatedColumnFormula>
    </tableColumn>
    <tableColumn id="33" xr3:uid="{91390D17-2A7E-47E1-A16E-545A43DA2621}" name="2020" dataDxfId="2697">
      <calculatedColumnFormula>#REF!*AG361</calculatedColumnFormula>
    </tableColumn>
    <tableColumn id="34" xr3:uid="{78256EA6-ED71-4B3A-B3BC-599F49E00DE9}" name="2021" dataDxfId="2696">
      <calculatedColumnFormula>#REF!*AH361</calculatedColumnFormula>
    </tableColumn>
    <tableColumn id="35" xr3:uid="{351B3A81-A1BD-4C92-874F-9D81E5B6FD10}" name="2022" dataDxfId="2695">
      <calculatedColumnFormula>#REF!*AI361</calculatedColumnFormula>
    </tableColumn>
    <tableColumn id="36" xr3:uid="{0365CD9E-DE12-4338-8405-9E4495C57664}" name="2023" dataDxfId="2694">
      <calculatedColumnFormula>#REF!*AJ361</calculatedColumnFormula>
    </tableColumn>
  </tableColumns>
  <tableStyleInfo name="TableStyleLight1"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ACAF4684-ED6F-46BC-8B41-A220728025A0}" name="NGDistributionEmissionsMTCO2Pipelines" displayName="NGDistributionEmissionsMTCO2Pipelines" ref="A409:AJ419" totalsRowShown="0" headerRowDxfId="2693" dataDxfId="2691" headerRowBorderDxfId="2692" tableBorderDxfId="2690">
  <autoFilter ref="A409:AJ419" xr:uid="{ACAF4684-ED6F-46BC-8B41-A220728025A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6F0AB120-DBF5-4665-8F01-1692DB65FB9B}" name="Type/Material Type" dataDxfId="2689"/>
    <tableColumn id="2" xr3:uid="{DCAF9F5A-B62A-492E-BCF5-17DFE284E4BD}" name="Units" dataDxfId="2688"/>
    <tableColumn id="3" xr3:uid="{BAE29D06-1070-4A1A-BDF0-B3417B0FA0A1}" name="1990" dataDxfId="2687"/>
    <tableColumn id="4" xr3:uid="{60B9EB39-CDD2-4564-AABB-1A8AC01045DC}" name="1991" dataDxfId="2686"/>
    <tableColumn id="5" xr3:uid="{370AC849-586C-46D9-A7E3-6443CBC7B4A6}" name="1992" dataDxfId="2685"/>
    <tableColumn id="6" xr3:uid="{781E74F2-CDE9-4006-8D5A-0977F6A6D610}" name="1993" dataDxfId="2684"/>
    <tableColumn id="7" xr3:uid="{94FFC8E7-43DC-430F-8483-BD832B90E4A1}" name="1994" dataDxfId="2683"/>
    <tableColumn id="8" xr3:uid="{8E507425-7564-41B2-9632-5A7F4364DD06}" name="1995" dataDxfId="2682"/>
    <tableColumn id="9" xr3:uid="{4E59FBD4-1A61-40F9-96E1-6420E4986231}" name="1996" dataDxfId="2681"/>
    <tableColumn id="10" xr3:uid="{83D41E75-0869-43E6-917E-10D232C2118A}" name="1997" dataDxfId="2680"/>
    <tableColumn id="11" xr3:uid="{FA58232F-C32C-481A-AFCC-08D274534F02}" name="1998" dataDxfId="2679"/>
    <tableColumn id="12" xr3:uid="{95AD6724-C11F-40A5-AF9A-E56C4F784D4D}" name="1999" dataDxfId="2678"/>
    <tableColumn id="13" xr3:uid="{399BA4F2-9060-4223-A1FB-CB7699F181D3}" name="2000" dataDxfId="2677"/>
    <tableColumn id="14" xr3:uid="{8E7565E3-F471-475E-BBCD-B82563063C56}" name="2001" dataDxfId="2676"/>
    <tableColumn id="15" xr3:uid="{097F208C-5B01-43E9-8702-D8DDC112CFF2}" name="2002" dataDxfId="2675"/>
    <tableColumn id="16" xr3:uid="{70FEA620-8FB9-4C80-9BC2-A937F355E98F}" name="2003" dataDxfId="2674"/>
    <tableColumn id="17" xr3:uid="{D4B37EE2-3D43-46DA-B896-07EE44D2D2B0}" name="2004" dataDxfId="2673"/>
    <tableColumn id="18" xr3:uid="{1859BEAB-9DDD-49A9-B9F6-D82B3F16B5BA}" name="2005" dataDxfId="2672"/>
    <tableColumn id="19" xr3:uid="{02EB224F-F8C1-4FD6-8457-5E4B4587442C}" name="2006" dataDxfId="2671"/>
    <tableColumn id="20" xr3:uid="{AFE4F885-909B-45F3-964C-BA51C376E15D}" name="2007" dataDxfId="2670"/>
    <tableColumn id="21" xr3:uid="{EBFA584A-93C1-4ABB-BECB-0D1A2F37AEA9}" name="2008" dataDxfId="2669"/>
    <tableColumn id="22" xr3:uid="{33F23C3E-28ED-49DD-A753-C660DD917E6D}" name="2009" dataDxfId="2668"/>
    <tableColumn id="23" xr3:uid="{27828931-A82F-43B6-9815-48F696A9B72D}" name="2010" dataDxfId="2667"/>
    <tableColumn id="24" xr3:uid="{F0230CB2-69B7-4FE8-95DD-4F17B71505C2}" name="2011" dataDxfId="2666"/>
    <tableColumn id="25" xr3:uid="{3794AB50-2ADC-499B-AC9E-3B478C1B1AED}" name="2012" dataDxfId="2665"/>
    <tableColumn id="26" xr3:uid="{66DECEE7-E2C4-4B60-AE8C-601A98357A66}" name="2013" dataDxfId="2664"/>
    <tableColumn id="27" xr3:uid="{6966C92B-BFE5-4EB7-98F4-73145737185A}" name="2014" dataDxfId="2663"/>
    <tableColumn id="28" xr3:uid="{FAACBEF2-6CD7-4EAA-8DB7-31540B9C2E04}" name="2015" dataDxfId="2662"/>
    <tableColumn id="29" xr3:uid="{126AA1C7-FA93-4225-9560-842535B8FF58}" name="2016" dataDxfId="2661"/>
    <tableColumn id="30" xr3:uid="{47A818FF-B8FF-4064-8807-4F40EF91ACDD}" name="2017" dataDxfId="2660"/>
    <tableColumn id="31" xr3:uid="{1729CE58-E726-4AFA-8366-CE78BEA80E7B}" name="2018" dataDxfId="2659"/>
    <tableColumn id="32" xr3:uid="{A4D0510D-B003-4FE5-969A-C5DEDCE70FDB}" name="2019" dataDxfId="2658"/>
    <tableColumn id="33" xr3:uid="{727042BD-6ED8-44C8-A652-C4D33C1A243C}" name="2020" dataDxfId="2657"/>
    <tableColumn id="34" xr3:uid="{A983266E-A1CB-4B38-A927-3BA011F0674E}" name="2021" dataDxfId="2656"/>
    <tableColumn id="35" xr3:uid="{01EBB08E-4CA3-42C1-B355-720899266418}" name="2022" dataDxfId="2655"/>
    <tableColumn id="36" xr3:uid="{DED626A4-CFA8-413D-82CF-4609CA06140E}" name="2023" dataDxfId="2654"/>
  </tableColumns>
  <tableStyleInfo name="Table Style 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C6A78A3A-FC3D-43DC-9497-725C72D2B850}" name="NGDistributionEmissionsMTCO2Services" displayName="NGDistributionEmissionsMTCO2Services" ref="A424:AJ436" totalsRowShown="0" headerRowDxfId="2653" dataDxfId="2652" tableBorderDxfId="2651">
  <autoFilter ref="A424:AJ436" xr:uid="{C6A78A3A-FC3D-43DC-9497-725C72D2B8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8C1639D0-DEFF-4985-9ED7-A7F3F374F84B}" name="Type/Size" dataDxfId="2650"/>
    <tableColumn id="2" xr3:uid="{DE33BC96-78DF-4619-912B-C9C1CF3170F0}" name="Units" dataDxfId="2649"/>
    <tableColumn id="3" xr3:uid="{460F484F-754B-4A31-BAA0-CF3A809C3A38}" name="1990" dataDxfId="2648">
      <calculatedColumnFormula>C152*C381</calculatedColumnFormula>
    </tableColumn>
    <tableColumn id="4" xr3:uid="{F06825F2-0EC0-479D-B012-0F764A2354C3}" name="1991" dataDxfId="2647">
      <calculatedColumnFormula>$C425+((D$409-$C$409)*($C425-$AA425)/($C$409-$AA$409))</calculatedColumnFormula>
    </tableColumn>
    <tableColumn id="5" xr3:uid="{C24F180E-FECB-4F47-AE69-357CB39B2FDD}" name="1992" dataDxfId="2646">
      <calculatedColumnFormula>$C425+((E$409-$C$409)*($C425-$AA425)/($C$409-$AA$409))</calculatedColumnFormula>
    </tableColumn>
    <tableColumn id="6" xr3:uid="{1DFFC40C-123D-48CE-9B92-6F365917BE17}" name="1993" dataDxfId="2645">
      <calculatedColumnFormula>$C425+((F$409-$C$409)*($C425-$AA425)/($C$409-$AA$409))</calculatedColumnFormula>
    </tableColumn>
    <tableColumn id="7" xr3:uid="{60A963C9-4532-4F8E-96D3-71124D3EB9D9}" name="1994" dataDxfId="2644">
      <calculatedColumnFormula>$C425+((G$409-$C$409)*($C425-$AA425)/($C$409-$AA$409))</calculatedColumnFormula>
    </tableColumn>
    <tableColumn id="8" xr3:uid="{9A95DF5C-DB36-4382-B5C5-84CDAAE597C8}" name="1995" dataDxfId="2643">
      <calculatedColumnFormula>$C425+((H$409-$C$409)*($C425-$AA425)/($C$409-$AA$409))</calculatedColumnFormula>
    </tableColumn>
    <tableColumn id="9" xr3:uid="{7473B75E-CA56-43DD-9E23-9A0BDE44CF4C}" name="1996" dataDxfId="2642">
      <calculatedColumnFormula>$C425+((I$409-$C$409)*($C425-$AA425)/($C$409-$AA$409))</calculatedColumnFormula>
    </tableColumn>
    <tableColumn id="10" xr3:uid="{D7AFB448-775B-4CA8-89D2-FDBCDD8A1824}" name="1997" dataDxfId="2641">
      <calculatedColumnFormula>$C425+((J$409-$C$409)*($C425-$AA425)/($C$409-$AA$409))</calculatedColumnFormula>
    </tableColumn>
    <tableColumn id="11" xr3:uid="{2B343C54-D99C-4465-BE9C-33C7E42EADF1}" name="1998" dataDxfId="2640">
      <calculatedColumnFormula>$C425+((K$409-$C$409)*($C425-$AA425)/($C$409-$AA$409))</calculatedColumnFormula>
    </tableColumn>
    <tableColumn id="12" xr3:uid="{9A32C2B0-FEF6-49CD-AA88-5B4804111B99}" name="1999" dataDxfId="2639">
      <calculatedColumnFormula>$C425+((L$409-$C$409)*($C425-$AA425)/($C$409-$AA$409))</calculatedColumnFormula>
    </tableColumn>
    <tableColumn id="13" xr3:uid="{D91CAA76-FD56-4080-AFBF-EE1368F64176}" name="2000" dataDxfId="2638">
      <calculatedColumnFormula>$C425+((M$409-$C$409)*($C425-$AA425)/($C$409-$AA$409))</calculatedColumnFormula>
    </tableColumn>
    <tableColumn id="14" xr3:uid="{43F081BF-8BC2-4DC5-A355-1CA48DD3A340}" name="2001" dataDxfId="2637">
      <calculatedColumnFormula>$C425+((N$409-$C$409)*($C425-$AA425)/($C$409-$AA$409))</calculatedColumnFormula>
    </tableColumn>
    <tableColumn id="15" xr3:uid="{31736974-F764-482A-A62A-7C003332F107}" name="2002" dataDxfId="2636">
      <calculatedColumnFormula>$C425+((O$409-$C$409)*($C425-$AA425)/($C$409-$AA$409))</calculatedColumnFormula>
    </tableColumn>
    <tableColumn id="16" xr3:uid="{340C5F21-C76B-4A25-81FC-0C2FDA201612}" name="2003" dataDxfId="2635">
      <calculatedColumnFormula>$C425+((P$409-$C$409)*($C425-$AA425)/($C$409-$AA$409))</calculatedColumnFormula>
    </tableColumn>
    <tableColumn id="17" xr3:uid="{451D5775-359A-4EB9-BC59-E957199CC280}" name="2004" dataDxfId="2634">
      <calculatedColumnFormula>$C425+((Q$409-$C$409)*($C425-$AA425)/($C$409-$AA$409))</calculatedColumnFormula>
    </tableColumn>
    <tableColumn id="18" xr3:uid="{96123E3D-8F2C-4FC5-BFC8-421F14DC3F83}" name="2005" dataDxfId="2633">
      <calculatedColumnFormula>$C425+((R$409-$C$409)*($C425-$AA425)/($C$409-$AA$409))</calculatedColumnFormula>
    </tableColumn>
    <tableColumn id="19" xr3:uid="{BB78AB18-C029-4D79-A689-53DA2E450645}" name="2006" dataDxfId="2632">
      <calculatedColumnFormula>$C425+((S$409-$C$409)*($C425-$AA425)/($C$409-$AA$409))</calculatedColumnFormula>
    </tableColumn>
    <tableColumn id="20" xr3:uid="{481406A6-765F-4B6F-905F-96646351CF99}" name="2007" dataDxfId="2631">
      <calculatedColumnFormula>$C425+((T$409-$C$409)*($C425-$AA425)/($C$409-$AA$409))</calculatedColumnFormula>
    </tableColumn>
    <tableColumn id="21" xr3:uid="{EE5CF086-BFD4-4798-9115-17750FFE13C8}" name="2008" dataDxfId="2630">
      <calculatedColumnFormula>$C425+((U$409-$C$409)*($C425-$AA425)/($C$409-$AA$409))</calculatedColumnFormula>
    </tableColumn>
    <tableColumn id="22" xr3:uid="{9794C099-F6AF-402B-89F4-95F3E2C953F5}" name="2009" dataDxfId="2629">
      <calculatedColumnFormula>$C425+((V$409-$C$409)*($C425-$AA425)/($C$409-$AA$409))</calculatedColumnFormula>
    </tableColumn>
    <tableColumn id="23" xr3:uid="{D0FD7C91-C24D-449F-AEAE-C27FA98DA756}" name="2010" dataDxfId="2628">
      <calculatedColumnFormula>$C425+((W$409-$C$409)*($C425-$AA425)/($C$409-$AA$409))</calculatedColumnFormula>
    </tableColumn>
    <tableColumn id="24" xr3:uid="{560E2EF2-2EB9-4583-90E5-580D50662F2A}" name="2011" dataDxfId="2627">
      <calculatedColumnFormula>$C425+((X$409-$C$409)*($C425-$AA425)/($C$409-$AA$409))</calculatedColumnFormula>
    </tableColumn>
    <tableColumn id="25" xr3:uid="{C8C88D73-544E-4590-BD20-719B006916A1}" name="2012" dataDxfId="2626">
      <calculatedColumnFormula>$C425+((Y$409-$C$409)*($C425-$AA425)/($C$409-$AA$409))</calculatedColumnFormula>
    </tableColumn>
    <tableColumn id="26" xr3:uid="{3208423C-5270-4930-B96A-D513633658D6}" name="2013" dataDxfId="2625">
      <calculatedColumnFormula>$C425+((Z$409-$C$409)*($C425-$AA425)/($C$409-$AA$409))</calculatedColumnFormula>
    </tableColumn>
    <tableColumn id="27" xr3:uid="{EC277C28-054C-448B-A246-EC551252CCC2}" name="2014" dataDxfId="2624">
      <calculatedColumnFormula>AA152*AA381</calculatedColumnFormula>
    </tableColumn>
    <tableColumn id="28" xr3:uid="{02DB0ABA-99F5-488E-AC33-6649AE1E0F3D}" name="2015" dataDxfId="2623">
      <calculatedColumnFormula>AB152*AB381</calculatedColumnFormula>
    </tableColumn>
    <tableColumn id="29" xr3:uid="{0B606697-E2E5-4254-810D-0E8B5DB910C0}" name="2016" dataDxfId="2622">
      <calculatedColumnFormula>AC152*AC381</calculatedColumnFormula>
    </tableColumn>
    <tableColumn id="30" xr3:uid="{4CEEC18B-D7A0-47AA-AF5D-3321462F4412}" name="2017" dataDxfId="2621">
      <calculatedColumnFormula>AD152*AD381</calculatedColumnFormula>
    </tableColumn>
    <tableColumn id="31" xr3:uid="{7117BC41-A822-4201-B3F6-D946AABB04A7}" name="2018" dataDxfId="2620">
      <calculatedColumnFormula>AE152*AE381</calculatedColumnFormula>
    </tableColumn>
    <tableColumn id="32" xr3:uid="{FDF88603-1417-4D3E-9435-49748ECCCACE}" name="2019" dataDxfId="2619">
      <calculatedColumnFormula>AF152*AF381</calculatedColumnFormula>
    </tableColumn>
    <tableColumn id="33" xr3:uid="{90E5D951-8BA9-4210-99D1-86989D3AE310}" name="2020" dataDxfId="2618">
      <calculatedColumnFormula>AG152*AG381</calculatedColumnFormula>
    </tableColumn>
    <tableColumn id="34" xr3:uid="{059E805E-748B-40B1-ACAB-5EB8887FFA9C}" name="2021" dataDxfId="2617">
      <calculatedColumnFormula>AH152*AH381</calculatedColumnFormula>
    </tableColumn>
    <tableColumn id="35" xr3:uid="{30E3722B-32FF-4D99-93EE-B4058F0B59B8}" name="2022" dataDxfId="2616">
      <calculatedColumnFormula>AI152*AI381</calculatedColumnFormula>
    </tableColumn>
    <tableColumn id="36" xr3:uid="{346EE49F-B711-44E2-BD39-0AAFA26867EF}" name="2023" dataDxfId="2615">
      <calculatedColumnFormula>AJ152*AJ381</calculatedColumnFormula>
    </tableColumn>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3" xr:uid="{9A5058F7-6386-4579-8DCF-AE669E9F63FD}" name="SummaryChartDataPercentofTotalGHGEmissionsbySector1990" displayName="SummaryChartDataPercentofTotalGHGEmissionsbySector1990" ref="AN33:AP42" totalsRowShown="0" headerRowDxfId="5212">
  <autoFilter ref="AN33:AP42" xr:uid="{9A5058F7-6386-4579-8DCF-AE669E9F63FD}">
    <filterColumn colId="0" hiddenButton="1"/>
    <filterColumn colId="1" hiddenButton="1"/>
    <filterColumn colId="2" hiddenButton="1"/>
  </autoFilter>
  <tableColumns count="3">
    <tableColumn id="1" xr3:uid="{D7578ECA-5EE6-454D-BA9F-C9B6477FD3C5}" name="MMTCO2e" dataDxfId="5211"/>
    <tableColumn id="2" xr3:uid="{DAB78140-C3E4-438C-B827-EA4F6924FE93}" name="Percent" dataDxfId="5210"/>
    <tableColumn id="3" xr3:uid="{6142E93C-974B-4C91-B5F9-7F91A06D2282}" name="Sector" dataDxfId="5209"/>
  </tableColumns>
  <tableStyleInfo name="TableStyleLight1"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34BB81CB-29FB-42B9-82A6-9B996A412DCF}" name="NGDistributionEmissionsMTCO2CustomerMeters" displayName="NGDistributionEmissionsMTCO2CustomerMeters" ref="A441:AJ446" totalsRowShown="0" headerRowDxfId="2614" dataDxfId="2613" tableBorderDxfId="2612">
  <autoFilter ref="A441:AJ446" xr:uid="{34BB81CB-29FB-42B9-82A6-9B996A412DC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5ADF3B19-41BC-44BB-B470-ADED6C7D90F4}" name="Segment"/>
    <tableColumn id="2" xr3:uid="{11FF0F85-B271-4754-A825-B0E939DAF977}" name="Units" dataDxfId="2611"/>
    <tableColumn id="3" xr3:uid="{AC9A2642-1819-4283-AEF1-E2C03C2C46C4}" name="1990" dataDxfId="2610">
      <calculatedColumnFormula>C169*C395</calculatedColumnFormula>
    </tableColumn>
    <tableColumn id="4" xr3:uid="{22158E06-F3C9-4301-88B6-4ADF5A7B6EAB}" name="1991" dataDxfId="2609">
      <calculatedColumnFormula>D169*D395</calculatedColumnFormula>
    </tableColumn>
    <tableColumn id="5" xr3:uid="{AA3CA7E8-BFB3-463D-8A47-3F4B72CD59D0}" name="1992" dataDxfId="2608">
      <calculatedColumnFormula>E169*E395</calculatedColumnFormula>
    </tableColumn>
    <tableColumn id="6" xr3:uid="{EE681CA6-B86C-4543-AA93-41CCEB138266}" name="1993" dataDxfId="2607">
      <calculatedColumnFormula>F169*F395</calculatedColumnFormula>
    </tableColumn>
    <tableColumn id="7" xr3:uid="{27F9005E-ADDF-474D-91C6-878CF6FAE369}" name="1994" dataDxfId="2606">
      <calculatedColumnFormula>G169*G395</calculatedColumnFormula>
    </tableColumn>
    <tableColumn id="8" xr3:uid="{A4B724BD-C38B-4847-AA87-3A2ACDA025B9}" name="1995" dataDxfId="2605">
      <calculatedColumnFormula>H169*H395</calculatedColumnFormula>
    </tableColumn>
    <tableColumn id="9" xr3:uid="{4FCE5A46-BE1B-4615-890C-4A4FAFD819BF}" name="1996" dataDxfId="2604">
      <calculatedColumnFormula>I169*I395</calculatedColumnFormula>
    </tableColumn>
    <tableColumn id="10" xr3:uid="{2C271A45-D244-4204-8B92-9AF5835975DC}" name="1997" dataDxfId="2603">
      <calculatedColumnFormula>J169*J395</calculatedColumnFormula>
    </tableColumn>
    <tableColumn id="11" xr3:uid="{5FA11051-343B-490A-8964-AFA00B7C0897}" name="1998" dataDxfId="2602">
      <calculatedColumnFormula>K169*K395</calculatedColumnFormula>
    </tableColumn>
    <tableColumn id="12" xr3:uid="{3BE637A0-FC7D-4E4E-9976-20CBF123347F}" name="1999" dataDxfId="2601">
      <calculatedColumnFormula>L169*L395</calculatedColumnFormula>
    </tableColumn>
    <tableColumn id="13" xr3:uid="{97DAA228-4000-4D74-99F1-CC10BAE02445}" name="2000" dataDxfId="2600">
      <calculatedColumnFormula>M169*M395</calculatedColumnFormula>
    </tableColumn>
    <tableColumn id="14" xr3:uid="{353AA855-F381-41F2-9FC3-CECDDF1CED55}" name="2001" dataDxfId="2599">
      <calculatedColumnFormula>N169*N395</calculatedColumnFormula>
    </tableColumn>
    <tableColumn id="15" xr3:uid="{250B4A71-3D91-42BA-B36A-C68BDCC1A4AB}" name="2002" dataDxfId="2598">
      <calculatedColumnFormula>O169*O395</calculatedColumnFormula>
    </tableColumn>
    <tableColumn id="16" xr3:uid="{B4AF986D-D923-4059-BC6A-EBE69884EC34}" name="2003" dataDxfId="2597">
      <calculatedColumnFormula>P169*P395</calculatedColumnFormula>
    </tableColumn>
    <tableColumn id="17" xr3:uid="{67769092-ED4E-4B6E-AEF3-643EC9A6A4D6}" name="2004" dataDxfId="2596">
      <calculatedColumnFormula>Q169*Q395</calculatedColumnFormula>
    </tableColumn>
    <tableColumn id="18" xr3:uid="{A9FE9235-A2FD-4E69-83BF-F47DEC295B56}" name="2005" dataDxfId="2595">
      <calculatedColumnFormula>R169*R395</calculatedColumnFormula>
    </tableColumn>
    <tableColumn id="19" xr3:uid="{70556317-1947-434E-8DFA-4D62832C4C21}" name="2006" dataDxfId="2594">
      <calculatedColumnFormula>S169*S395</calculatedColumnFormula>
    </tableColumn>
    <tableColumn id="20" xr3:uid="{461321AC-FC79-454F-9F08-E305D3AEB959}" name="2007" dataDxfId="2593">
      <calculatedColumnFormula>T169*T395</calculatedColumnFormula>
    </tableColumn>
    <tableColumn id="21" xr3:uid="{568CF953-FCF9-465E-9A49-B7CC26F48A11}" name="2008" dataDxfId="2592">
      <calculatedColumnFormula>U169*U395</calculatedColumnFormula>
    </tableColumn>
    <tableColumn id="22" xr3:uid="{6D295214-B1C5-4083-8AB9-AA8549DA2710}" name="2009" dataDxfId="2591">
      <calculatedColumnFormula>V169*V395</calculatedColumnFormula>
    </tableColumn>
    <tableColumn id="23" xr3:uid="{1297D205-3FF4-4810-BB5B-6EBB5F2E6EA5}" name="2010" dataDxfId="2590">
      <calculatedColumnFormula>W169*W395</calculatedColumnFormula>
    </tableColumn>
    <tableColumn id="24" xr3:uid="{936CF77C-3EB9-4FB8-89ED-B4A3A088253D}" name="2011" dataDxfId="2589">
      <calculatedColumnFormula>X169*X395</calculatedColumnFormula>
    </tableColumn>
    <tableColumn id="25" xr3:uid="{7183B702-5EE0-4014-9F9D-777F16C15284}" name="2012" dataDxfId="2588">
      <calculatedColumnFormula>Y169*Y395</calculatedColumnFormula>
    </tableColumn>
    <tableColumn id="26" xr3:uid="{13161B5F-6826-4CE9-923C-E4C881EB5892}" name="2013" dataDxfId="2587">
      <calculatedColumnFormula>Z169*Z395</calculatedColumnFormula>
    </tableColumn>
    <tableColumn id="27" xr3:uid="{D632B7DC-A1A1-459F-BA8C-FBCB812E1D50}" name="2014" dataDxfId="2586">
      <calculatedColumnFormula>AA169*AA395</calculatedColumnFormula>
    </tableColumn>
    <tableColumn id="28" xr3:uid="{63CC3ED4-F69B-4D82-95AA-899F43BDAD98}" name="2015" dataDxfId="2585">
      <calculatedColumnFormula>AB169*AB395</calculatedColumnFormula>
    </tableColumn>
    <tableColumn id="29" xr3:uid="{9031B27A-BDF2-4AA0-98E3-848D9ED92DF8}" name="2016" dataDxfId="2584">
      <calculatedColumnFormula>AC169*AC395</calculatedColumnFormula>
    </tableColumn>
    <tableColumn id="30" xr3:uid="{C6931367-5353-4FB6-830A-4C688024B014}" name="2017" dataDxfId="2583">
      <calculatedColumnFormula>AD169*AD395</calculatedColumnFormula>
    </tableColumn>
    <tableColumn id="31" xr3:uid="{2474E45E-E43A-4787-9055-75275B178071}" name="2018" dataDxfId="2582">
      <calculatedColumnFormula>AE169*AE395</calculatedColumnFormula>
    </tableColumn>
    <tableColumn id="32" xr3:uid="{7BD6DC9D-3F29-4830-820A-B17613E37858}" name="2019" dataDxfId="2581">
      <calculatedColumnFormula>AF169*AF395</calculatedColumnFormula>
    </tableColumn>
    <tableColumn id="33" xr3:uid="{23BB2B0D-D6D6-4E71-92C9-C228B6B72D76}" name="2020" dataDxfId="2580">
      <calculatedColumnFormula>AG169*AG395</calculatedColumnFormula>
    </tableColumn>
    <tableColumn id="34" xr3:uid="{4E48FE37-B272-4E30-B2D3-78356E13FEB5}" name="2021" dataDxfId="2579">
      <calculatedColumnFormula>AH169*AH395</calculatedColumnFormula>
    </tableColumn>
    <tableColumn id="35" xr3:uid="{816F8AD6-6212-47AF-9914-436651D86D26}" name="2022" dataDxfId="2578">
      <calculatedColumnFormula>AI169*AI395</calculatedColumnFormula>
    </tableColumn>
    <tableColumn id="36" xr3:uid="{A76E0A2A-1C44-4B0E-99AE-95C66389954D}" name="2023" dataDxfId="2577">
      <calculatedColumnFormula>AJ169*AJ395</calculatedColumnFormula>
    </tableColumn>
  </tableColumns>
  <tableStyleInfo name="Table Style 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D4AC47A8-1270-4910-B803-F62D696E2E0D}" name="NGDistributionEmissionsMTCO2RoutineMaintenanceandUpsets" displayName="NGDistributionEmissionsMTCO2RoutineMaintenanceandUpsets" ref="A449:AJ454" totalsRowShown="0" headerRowDxfId="2576" dataDxfId="2575" tableBorderDxfId="2574">
  <autoFilter ref="A449:AJ454" xr:uid="{D4AC47A8-1270-4910-B803-F62D696E2E0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5D6A268D-98DB-490B-A726-BAAE88CAB6CB}" name="Type" dataDxfId="2573"/>
    <tableColumn id="2" xr3:uid="{B747E5E3-3A35-4230-8E31-EC00D402B3CA}" name="Units" dataDxfId="2572"/>
    <tableColumn id="3" xr3:uid="{530C9984-6737-452B-A26F-0A8288C2F681}" name="1990" dataDxfId="2571">
      <calculatedColumnFormula>C118*C402</calculatedColumnFormula>
    </tableColumn>
    <tableColumn id="4" xr3:uid="{338FFDB4-0BBA-4BEC-9E24-2F517A1AFD65}" name="1991" dataDxfId="2570">
      <calculatedColumnFormula>D118*D402</calculatedColumnFormula>
    </tableColumn>
    <tableColumn id="5" xr3:uid="{7959CCEC-811F-42C0-A019-77672E8E97E8}" name="1992" dataDxfId="2569">
      <calculatedColumnFormula>E118*E402</calculatedColumnFormula>
    </tableColumn>
    <tableColumn id="6" xr3:uid="{FFAEA202-8AEC-43A1-B45A-C94B80F1B8C6}" name="1993" dataDxfId="2568">
      <calculatedColumnFormula>F118*F402</calculatedColumnFormula>
    </tableColumn>
    <tableColumn id="7" xr3:uid="{FC0062D6-A356-4420-9521-29CC6752C66C}" name="1994" dataDxfId="2567">
      <calculatedColumnFormula>G118*G402</calculatedColumnFormula>
    </tableColumn>
    <tableColumn id="8" xr3:uid="{D424192F-13CE-4064-92E6-EA70FCB8C5A1}" name="1995" dataDxfId="2566">
      <calculatedColumnFormula>H118*H402</calculatedColumnFormula>
    </tableColumn>
    <tableColumn id="9" xr3:uid="{A299127E-B201-462D-8B90-2EE9DE91A641}" name="1996" dataDxfId="2565">
      <calculatedColumnFormula>I118*I402</calculatedColumnFormula>
    </tableColumn>
    <tableColumn id="10" xr3:uid="{5B1BF92A-A109-4288-BEEB-BFF2E39A9A86}" name="1997" dataDxfId="2564">
      <calculatedColumnFormula>J118*J402</calculatedColumnFormula>
    </tableColumn>
    <tableColumn id="11" xr3:uid="{1F0A3A97-F9C8-42C7-AE43-84DFF1AB4335}" name="1998" dataDxfId="2563">
      <calculatedColumnFormula>K118*K402</calculatedColumnFormula>
    </tableColumn>
    <tableColumn id="12" xr3:uid="{7BEBF364-07F8-44BC-A030-2F13293C92EA}" name="1999" dataDxfId="2562">
      <calculatedColumnFormula>L118*L402</calculatedColumnFormula>
    </tableColumn>
    <tableColumn id="13" xr3:uid="{3397D72F-E75D-4469-9CE9-2BC6EB60694F}" name="2000" dataDxfId="2561">
      <calculatedColumnFormula>M118*M402</calculatedColumnFormula>
    </tableColumn>
    <tableColumn id="14" xr3:uid="{21AF2D28-E647-4262-8685-4EA56F8E2B5A}" name="2001" dataDxfId="2560">
      <calculatedColumnFormula>N118*N402</calculatedColumnFormula>
    </tableColumn>
    <tableColumn id="15" xr3:uid="{B6FCE0D4-C3BE-4066-BA8C-C99BA4B3EC9F}" name="2002" dataDxfId="2559">
      <calculatedColumnFormula>O118*O402</calculatedColumnFormula>
    </tableColumn>
    <tableColumn id="16" xr3:uid="{21E0EA82-DD3B-4CC1-8DAF-07207D259956}" name="2003" dataDxfId="2558">
      <calculatedColumnFormula>P118*P402</calculatedColumnFormula>
    </tableColumn>
    <tableColumn id="17" xr3:uid="{5193E16F-6FA7-4410-9F64-34EC519F9740}" name="2004" dataDxfId="2557">
      <calculatedColumnFormula>Q118*Q402</calculatedColumnFormula>
    </tableColumn>
    <tableColumn id="18" xr3:uid="{47AB48FF-754B-4D9D-A7E0-9E57F01FD348}" name="2005" dataDxfId="2556">
      <calculatedColumnFormula>R118*R402</calculatedColumnFormula>
    </tableColumn>
    <tableColumn id="19" xr3:uid="{9C09109A-7B02-456A-8E27-FF97E8518AD7}" name="2006" dataDxfId="2555">
      <calculatedColumnFormula>S118*S402</calculatedColumnFormula>
    </tableColumn>
    <tableColumn id="20" xr3:uid="{E1396E0F-AC2B-49E1-9D39-3CD043D4188D}" name="2007" dataDxfId="2554">
      <calculatedColumnFormula>T118*T402</calculatedColumnFormula>
    </tableColumn>
    <tableColumn id="21" xr3:uid="{F5332176-B56E-4208-9706-BED0463EB1EA}" name="2008" dataDxfId="2553">
      <calculatedColumnFormula>U118*U402</calculatedColumnFormula>
    </tableColumn>
    <tableColumn id="22" xr3:uid="{E5DE52E9-44CB-4AB5-B584-15987C408F4F}" name="2009" dataDxfId="2552">
      <calculatedColumnFormula>V118*V402</calculatedColumnFormula>
    </tableColumn>
    <tableColumn id="23" xr3:uid="{5513638A-46F1-4B37-B9C8-AE7E1B5B3557}" name="2010" dataDxfId="2551">
      <calculatedColumnFormula>W118*W402</calculatedColumnFormula>
    </tableColumn>
    <tableColumn id="24" xr3:uid="{24DF1D3C-2DE3-4A7B-829B-1DE9810CDC07}" name="2011" dataDxfId="2550">
      <calculatedColumnFormula>X118*X402</calculatedColumnFormula>
    </tableColumn>
    <tableColumn id="25" xr3:uid="{DBBB5DB7-241D-46E8-8759-BA1CC6D60DE7}" name="2012" dataDxfId="2549">
      <calculatedColumnFormula>Y118*Y402</calculatedColumnFormula>
    </tableColumn>
    <tableColumn id="26" xr3:uid="{036F6E14-EF4F-4D24-9546-9A37620F6970}" name="2013" dataDxfId="2548">
      <calculatedColumnFormula>Z118*Z402</calculatedColumnFormula>
    </tableColumn>
    <tableColumn id="27" xr3:uid="{745191C7-7649-48C1-BA85-94071CB75D56}" name="2014" dataDxfId="2547">
      <calculatedColumnFormula>AA118*AA402</calculatedColumnFormula>
    </tableColumn>
    <tableColumn id="28" xr3:uid="{79FEAF19-BFFA-4130-829F-39789E2ADCB5}" name="2015" dataDxfId="2546">
      <calculatedColumnFormula>AB118*AB402</calculatedColumnFormula>
    </tableColumn>
    <tableColumn id="29" xr3:uid="{240E1B18-7FCE-4475-AAD0-F2358B1068A4}" name="2016" dataDxfId="2545">
      <calculatedColumnFormula>AC118*AC402</calculatedColumnFormula>
    </tableColumn>
    <tableColumn id="30" xr3:uid="{F8C1B7D7-CD80-41BB-9026-C83B154998D2}" name="2017" dataDxfId="2544">
      <calculatedColumnFormula>AD118*AD402</calculatedColumnFormula>
    </tableColumn>
    <tableColumn id="31" xr3:uid="{B1A16BB5-FBEA-4FB5-A8E4-4CF189E1597D}" name="2018" dataDxfId="2543">
      <calculatedColumnFormula>AE118*AE402</calculatedColumnFormula>
    </tableColumn>
    <tableColumn id="32" xr3:uid="{1E249931-A42C-4B99-A224-384713297121}" name="2019" dataDxfId="2542">
      <calculatedColumnFormula>AF118*AF402</calculatedColumnFormula>
    </tableColumn>
    <tableColumn id="33" xr3:uid="{066A9146-E520-4F31-B167-C864702ED1EE}" name="2020" dataDxfId="2541">
      <calculatedColumnFormula>AG118*AG402</calculatedColumnFormula>
    </tableColumn>
    <tableColumn id="34" xr3:uid="{A79B9098-2B69-4A80-808C-CFE2A5665C62}" name="2021" dataDxfId="2540">
      <calculatedColumnFormula>AH118*AH402</calculatedColumnFormula>
    </tableColumn>
    <tableColumn id="35" xr3:uid="{696E0B58-DABE-4FAF-8820-2C482367B1DA}" name="2022" dataDxfId="2539">
      <calculatedColumnFormula>AI118*AI402</calculatedColumnFormula>
    </tableColumn>
    <tableColumn id="36" xr3:uid="{6DCFD46B-5B6D-4B3F-8E4B-ECBEC3E38CE6}" name="2023" dataDxfId="2538">
      <calculatedColumnFormula>AJ118*AJ402</calculatedColumnFormula>
    </tableColumn>
  </tableColumns>
  <tableStyleInfo name="Table Style 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4E845E0F-8646-4E7A-AA04-B1E6FCFFF034}" name="NGDistributionEmissionsTotalMTCO2andMMTCO2" displayName="NGDistributionEmissionsTotalMTCO2andMMTCO2" ref="A457:AJ460" totalsRowShown="0" headerRowDxfId="2537" dataDxfId="2535" headerRowBorderDxfId="2536" tableBorderDxfId="2534">
  <autoFilter ref="A457:AJ460" xr:uid="{4E845E0F-8646-4E7A-AA04-B1E6FCFFF0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7CEDC6A0-C85E-4E5B-8FB9-DC900DFB8500}" name="Type" dataDxfId="2533"/>
    <tableColumn id="2" xr3:uid="{C5888928-DD07-40BD-9107-E1FE49E3DFC0}" name="Units" dataDxfId="2532"/>
    <tableColumn id="3" xr3:uid="{7EFDA6A6-AF94-42B3-8906-A53F1BD45A1F}" name="1990" dataDxfId="2531">
      <calculatedColumnFormula>(C418+C435+C445+C453+C452)/1000000</calculatedColumnFormula>
    </tableColumn>
    <tableColumn id="4" xr3:uid="{8C141550-7C4B-4197-9787-6E8F2E8FE823}" name="1991" dataDxfId="2530">
      <calculatedColumnFormula>SUM(D410:D455)</calculatedColumnFormula>
    </tableColumn>
    <tableColumn id="5" xr3:uid="{40E71706-9278-4059-91C9-879C8E3217D4}" name="1992" dataDxfId="2529">
      <calculatedColumnFormula>SUM(E410:E455)</calculatedColumnFormula>
    </tableColumn>
    <tableColumn id="6" xr3:uid="{080EE34C-C814-4738-A7CC-788BFB9CFB1E}" name="1993" dataDxfId="2528">
      <calculatedColumnFormula>SUM(F410:F455)</calculatedColumnFormula>
    </tableColumn>
    <tableColumn id="7" xr3:uid="{8ED503B1-8D74-4E3D-95DF-765EEDF07C04}" name="1994" dataDxfId="2527">
      <calculatedColumnFormula>SUM(G410:G455)</calculatedColumnFormula>
    </tableColumn>
    <tableColumn id="8" xr3:uid="{B58DCC48-3695-4CE0-9092-5B8DBCB8F3CD}" name="1995" dataDxfId="2526">
      <calculatedColumnFormula>SUM(H410:H455)</calculatedColumnFormula>
    </tableColumn>
    <tableColumn id="9" xr3:uid="{E6BD19D1-F3E1-48FE-B6DB-2598BABE06F3}" name="1996" dataDxfId="2525">
      <calculatedColumnFormula>SUM(I410:I455)</calculatedColumnFormula>
    </tableColumn>
    <tableColumn id="10" xr3:uid="{9F3C3454-C65D-4038-8436-F9FCCA3DCABB}" name="1997" dataDxfId="2524">
      <calculatedColumnFormula>SUM(J410:J455)</calculatedColumnFormula>
    </tableColumn>
    <tableColumn id="11" xr3:uid="{19485DA5-F0C2-46BD-A79D-061F362DD8B8}" name="1998" dataDxfId="2523">
      <calculatedColumnFormula>SUM(K410:K455)</calculatedColumnFormula>
    </tableColumn>
    <tableColumn id="12" xr3:uid="{FF5D6C2E-3EBE-4063-969F-3E10F0B9D6D0}" name="1999" dataDxfId="2522">
      <calculatedColumnFormula>SUM(L410:L455)</calculatedColumnFormula>
    </tableColumn>
    <tableColumn id="13" xr3:uid="{CB1E4973-6E6F-4E42-80FD-5A85F8DD44C3}" name="2000" dataDxfId="2521">
      <calculatedColumnFormula>SUM(M410:M455)</calculatedColumnFormula>
    </tableColumn>
    <tableColumn id="14" xr3:uid="{C9EC0307-98A2-4657-9E86-4E58A1534C3A}" name="2001" dataDxfId="2520">
      <calculatedColumnFormula>SUM(N410:N455)</calculatedColumnFormula>
    </tableColumn>
    <tableColumn id="15" xr3:uid="{87E49312-91AC-4FF1-B57A-0AC12576F4C3}" name="2002" dataDxfId="2519">
      <calculatedColumnFormula>SUM(O410:O455)</calculatedColumnFormula>
    </tableColumn>
    <tableColumn id="16" xr3:uid="{092CC741-2630-4D24-9500-AA44C4B7D10F}" name="2003" dataDxfId="2518">
      <calculatedColumnFormula>SUM(P410:P455)</calculatedColumnFormula>
    </tableColumn>
    <tableColumn id="17" xr3:uid="{4C346E60-C36B-4DD8-BC44-E6F9169F0700}" name="2004" dataDxfId="2517">
      <calculatedColumnFormula>SUM(Q410:Q455)</calculatedColumnFormula>
    </tableColumn>
    <tableColumn id="18" xr3:uid="{70C5F563-C686-48A4-9FA5-D34119CFDFB5}" name="2005" dataDxfId="2516">
      <calculatedColumnFormula>SUM(R410:R455)</calculatedColumnFormula>
    </tableColumn>
    <tableColumn id="19" xr3:uid="{1DDBC2C1-EB6C-4A8C-B447-13D366836E3F}" name="2006" dataDxfId="2515">
      <calculatedColumnFormula>SUM(S410:S455)</calculatedColumnFormula>
    </tableColumn>
    <tableColumn id="20" xr3:uid="{CAD86BD7-F0E2-4F7E-9F65-D18C1F5EE2DA}" name="2007" dataDxfId="2514">
      <calculatedColumnFormula>SUM(T410:T455)</calculatedColumnFormula>
    </tableColumn>
    <tableColumn id="21" xr3:uid="{124F6FC9-DE7A-471A-BD5D-4F0FFD35470F}" name="2008" dataDxfId="2513">
      <calculatedColumnFormula>SUM(U410:U455)</calculatedColumnFormula>
    </tableColumn>
    <tableColumn id="22" xr3:uid="{30D281F6-9165-4B30-A895-3B1A4CEC8CE1}" name="2009" dataDxfId="2512">
      <calculatedColumnFormula>SUM(V410:V455)</calculatedColumnFormula>
    </tableColumn>
    <tableColumn id="23" xr3:uid="{65D40104-85B9-49EF-9D30-A2B72FCC5B68}" name="2010" dataDxfId="2511">
      <calculatedColumnFormula>SUM(W410:W455)</calculatedColumnFormula>
    </tableColumn>
    <tableColumn id="24" xr3:uid="{F2F3E75A-A47F-4C66-AECE-4AC3631452E7}" name="2011" dataDxfId="2510">
      <calculatedColumnFormula>SUM(X410:X455)</calculatedColumnFormula>
    </tableColumn>
    <tableColumn id="25" xr3:uid="{B6737470-9016-4F6D-9DD3-716D5FFEAC12}" name="2012" dataDxfId="2509">
      <calculatedColumnFormula>SUM(Y410:Y455)</calculatedColumnFormula>
    </tableColumn>
    <tableColumn id="26" xr3:uid="{07C3C3C6-5EF0-4722-ADB8-405AC5C4BC24}" name="2013" dataDxfId="2508">
      <calculatedColumnFormula>SUM(Z410:Z455)</calculatedColumnFormula>
    </tableColumn>
    <tableColumn id="27" xr3:uid="{78921E97-CC52-4DE8-AEFC-BA46D60FC010}" name="2014" dataDxfId="2507">
      <calculatedColumnFormula>SUM(AA410:AA455)</calculatedColumnFormula>
    </tableColumn>
    <tableColumn id="28" xr3:uid="{D2C0FE94-1BBF-4702-BEA4-A318BFAA1659}" name="2015" dataDxfId="2506">
      <calculatedColumnFormula>SUM(AB410:AB455)</calculatedColumnFormula>
    </tableColumn>
    <tableColumn id="29" xr3:uid="{37D516D1-9C8B-4F1C-9C76-0B14668EF3F9}" name="2016" dataDxfId="2505">
      <calculatedColumnFormula>SUM(AC410:AC455)</calculatedColumnFormula>
    </tableColumn>
    <tableColumn id="30" xr3:uid="{9C9FC5F3-5090-49F2-9092-51F3C9655136}" name="2017" dataDxfId="2504">
      <calculatedColumnFormula>SUM(AD410:AD455)</calculatedColumnFormula>
    </tableColumn>
    <tableColumn id="31" xr3:uid="{1CAB2670-BA6F-4C08-B6BD-6B2E3109A595}" name="2018" dataDxfId="2503">
      <calculatedColumnFormula>SUM(AE410:AE455)</calculatedColumnFormula>
    </tableColumn>
    <tableColumn id="32" xr3:uid="{68809E4E-BFD5-455F-8E45-4EA88FDC2A34}" name="2019" dataDxfId="2502">
      <calculatedColumnFormula>SUM(AF410:AF455)</calculatedColumnFormula>
    </tableColumn>
    <tableColumn id="33" xr3:uid="{9D6C6EAA-A0A5-4BAC-986D-A78BD25017AF}" name="2020" dataDxfId="2501">
      <calculatedColumnFormula>SUM(AG410:AG455)</calculatedColumnFormula>
    </tableColumn>
    <tableColumn id="34" xr3:uid="{8D93F1F9-15A7-4656-AC51-202A4805BA35}" name="2021" dataDxfId="2500">
      <calculatedColumnFormula>SUM(AH410:AH455)</calculatedColumnFormula>
    </tableColumn>
    <tableColumn id="35" xr3:uid="{4CD3C0D6-5B4F-4D30-A3ED-A4542F2D8468}" name="2022" dataDxfId="2499">
      <calculatedColumnFormula>SUM(AI410:AI455)</calculatedColumnFormula>
    </tableColumn>
    <tableColumn id="36" xr3:uid="{79CA7C5E-4D9D-4806-B0B8-E8DA34168627}" name="2023" dataDxfId="2498">
      <calculatedColumnFormula>SUM(AJ410:AJ455)</calculatedColumnFormula>
    </tableColumn>
  </tableColumns>
  <tableStyleInfo name="TableStyleLight1"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D635E9F1-F9CF-4FDF-A528-CA3F19793B39}" name="NGPostMeterActivityData" displayName="NGPostMeterActivityData" ref="A465:AJ471" totalsRowShown="0" headerRowDxfId="2497" tableBorderDxfId="2496">
  <autoFilter ref="A465:AJ471" xr:uid="{D635E9F1-F9CF-4FDF-A528-CA3F19793B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1900D202-AC87-4EC5-84D5-EA9928115207}" name="Segment" dataDxfId="2495"/>
    <tableColumn id="2" xr3:uid="{2D822715-0440-416E-BF7E-4267D220A3D8}" name="Units" dataDxfId="2494"/>
    <tableColumn id="3" xr3:uid="{A5655C72-125E-4EB3-A826-0668FFA415F5}" name="1990"/>
    <tableColumn id="4" xr3:uid="{F581B0E3-3746-445B-B80B-C303D9C02D30}" name="1991"/>
    <tableColumn id="5" xr3:uid="{36813B91-2C87-4021-9F80-0D4E6E90C4C0}" name="1992"/>
    <tableColumn id="6" xr3:uid="{30DDAE6D-5492-4DF4-91D5-12565AA5B021}" name="1993"/>
    <tableColumn id="7" xr3:uid="{7FC2A077-F5B8-4CE9-86A8-49A45E2DD980}" name="1994"/>
    <tableColumn id="8" xr3:uid="{CA3C35B1-FB95-4F12-83D7-7C1E54CACE50}" name="1995"/>
    <tableColumn id="9" xr3:uid="{A92EA468-C190-4C5F-B2AC-F11E095C8A2A}" name="1996"/>
    <tableColumn id="10" xr3:uid="{6D1D8127-CFE9-4640-9FDD-FFA2CE116F41}" name="1997"/>
    <tableColumn id="11" xr3:uid="{7320683B-62DA-4E27-AFA0-09B6381418BA}" name="1998"/>
    <tableColumn id="12" xr3:uid="{EC51E04D-DAE9-4156-99EC-3FAFD90933F9}" name="1999"/>
    <tableColumn id="13" xr3:uid="{085468D8-5A75-42A1-876A-937816C5E4D0}" name="2000"/>
    <tableColumn id="14" xr3:uid="{006B1B42-B2C1-4FDF-A031-0F65BE6CAC75}" name="2001"/>
    <tableColumn id="15" xr3:uid="{181816C9-6579-4DA2-8A3C-DB4B48002486}" name="2002"/>
    <tableColumn id="16" xr3:uid="{184EA9FE-FE07-47D6-91E5-769ECC4D0BA9}" name="2003"/>
    <tableColumn id="17" xr3:uid="{0A865EE2-AAA3-4D00-B2D5-96A627607D3E}" name="2004"/>
    <tableColumn id="18" xr3:uid="{E6865EEF-446F-4022-9BF0-981BD560E247}" name="2005"/>
    <tableColumn id="19" xr3:uid="{9068A469-D414-4C65-9F26-0820947212A9}" name="2006"/>
    <tableColumn id="20" xr3:uid="{F1CA78F5-741E-40D5-B385-D5A7A2AE0FA2}" name="2007"/>
    <tableColumn id="21" xr3:uid="{ABA52B39-513A-4089-947F-B9919FD44965}" name="2008"/>
    <tableColumn id="22" xr3:uid="{42F113BF-3D8D-43A5-986E-1EEFB22D4B6F}" name="2009"/>
    <tableColumn id="23" xr3:uid="{81442A3A-1C46-43AA-9373-F93D1A0D58C0}" name="2010"/>
    <tableColumn id="24" xr3:uid="{7FBC87D2-FA57-43F9-BBC6-1CF82BC472C9}" name="2011"/>
    <tableColumn id="25" xr3:uid="{8279E2CB-3CAD-4406-9174-F8CD2E45BA5E}" name="2012"/>
    <tableColumn id="26" xr3:uid="{63F9394E-72E4-4181-B0F7-E5B7B2FFB1E8}" name="2013"/>
    <tableColumn id="27" xr3:uid="{CEE8D52B-1097-46E5-B5BA-A144D1F616EB}" name="2014"/>
    <tableColumn id="28" xr3:uid="{5E082EFB-6A16-4064-A0BA-C58918B47687}" name="2015"/>
    <tableColumn id="29" xr3:uid="{AFA7C46E-523E-4D15-A632-D0FCC677E66E}" name="2016"/>
    <tableColumn id="30" xr3:uid="{42F79604-A0A5-431F-9C7F-3B1FF02F92E2}" name="2017"/>
    <tableColumn id="31" xr3:uid="{FD9AA379-5559-430B-8A37-2974C6B281B5}" name="2018"/>
    <tableColumn id="32" xr3:uid="{67D911DD-54F4-4CAD-8151-FDC439D67AC8}" name="2019"/>
    <tableColumn id="33" xr3:uid="{0DB69948-C6D8-48C0-BDC6-78ED81DF4373}" name="2020"/>
    <tableColumn id="34" xr3:uid="{C8699E40-161C-42C5-8CB7-669CA3E39936}" name="2021"/>
    <tableColumn id="35" xr3:uid="{6B49FFF9-6401-4205-9E28-B3FDFD24F6AB}" name="2022"/>
    <tableColumn id="36" xr3:uid="{C180FB48-D12A-4A1D-BE68-026DB3BDF357}" name="2023"/>
  </tableColumns>
  <tableStyleInfo name="TableStyleLight1"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B1306B2E-76BA-4B7A-868A-F4F521C28BF7}" name="NGPostMeterCH4kgEFs" displayName="NGPostMeterCH4kgEFs" ref="A478:AJ483" totalsRowShown="0" headerRowDxfId="2493" tableBorderDxfId="2492">
  <autoFilter ref="A478:AJ483" xr:uid="{B1306B2E-76BA-4B7A-868A-F4F521C28BF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BF820C3B-5BE8-4824-A5DD-D8D56AAE336C}" name="Segment" dataDxfId="2491"/>
    <tableColumn id="2" xr3:uid="{0944BF03-FC07-4819-B346-3933CE256B0E}" name="Units" dataDxfId="2490"/>
    <tableColumn id="3" xr3:uid="{94A97B2E-6C80-49D8-8DEA-511AC3142624}" name="1990"/>
    <tableColumn id="4" xr3:uid="{5BA803B4-1C7F-4E60-B4FC-5784B4F5E73D}" name="1991"/>
    <tableColumn id="5" xr3:uid="{2E48BD7C-07A2-41C4-9CFF-23320AD87AED}" name="1992"/>
    <tableColumn id="6" xr3:uid="{B502A419-1542-45C1-85A1-41B4745699A2}" name="1993"/>
    <tableColumn id="7" xr3:uid="{BDF09152-3407-4F94-85D7-C4524F49BF84}" name="1994"/>
    <tableColumn id="8" xr3:uid="{057056B8-6F5E-4275-AF27-8E68CF736F3B}" name="1995"/>
    <tableColumn id="9" xr3:uid="{23FB920E-01F7-4AB1-AF2E-5414D259317F}" name="1996"/>
    <tableColumn id="10" xr3:uid="{AA59B6D9-D9FE-446C-90C6-6AD831A9A98B}" name="1997"/>
    <tableColumn id="11" xr3:uid="{395007D2-4E88-49F4-997D-1E0F00A9EAC2}" name="1998"/>
    <tableColumn id="12" xr3:uid="{3F785D1A-334C-4581-BC50-144DB71603F5}" name="1999"/>
    <tableColumn id="13" xr3:uid="{670166A4-8B69-425A-94C3-66CEC81A478F}" name="2000"/>
    <tableColumn id="14" xr3:uid="{FF3E1222-2135-4E7F-B76D-5A11F5547883}" name="2001"/>
    <tableColumn id="15" xr3:uid="{FC50945D-0EED-4D6A-B6B2-C623E744494E}" name="2002"/>
    <tableColumn id="16" xr3:uid="{1F77F7CC-E79A-4D94-A581-C40BEA2D4465}" name="2003"/>
    <tableColumn id="17" xr3:uid="{5B748550-06E3-40C8-BE55-87A72F2097FA}" name="2004"/>
    <tableColumn id="18" xr3:uid="{FE33E740-243D-435E-BC5C-318CA88946F6}" name="2005"/>
    <tableColumn id="19" xr3:uid="{56D5921A-5B54-44A9-8CEE-BF4012D4CAD1}" name="2006"/>
    <tableColumn id="20" xr3:uid="{C606344D-9BD2-4051-9B54-00EB42C36D84}" name="2007"/>
    <tableColumn id="21" xr3:uid="{5C3DAC85-73B0-466F-8B9E-6C72D7A7D1D5}" name="2008"/>
    <tableColumn id="22" xr3:uid="{CBFEA8BE-EC81-435D-BC9B-6D2B1AEB738F}" name="2009"/>
    <tableColumn id="23" xr3:uid="{BC330DB9-B474-4EC7-90D5-736517775DA1}" name="2010"/>
    <tableColumn id="24" xr3:uid="{F7EC91F0-C91A-4E2E-BB8D-563EAFC2977C}" name="2011"/>
    <tableColumn id="25" xr3:uid="{3C9290B4-0FE7-4376-A167-45589F73FD0E}" name="2012"/>
    <tableColumn id="26" xr3:uid="{B3782DE9-3730-46D7-804D-0AA4614CF508}" name="2013"/>
    <tableColumn id="27" xr3:uid="{BB1942B0-ED81-43CD-9A36-D3FA45C02102}" name="2014"/>
    <tableColumn id="28" xr3:uid="{9618ECEE-75FF-4B9F-81F6-B53EDAEA5D91}" name="2015"/>
    <tableColumn id="29" xr3:uid="{B52937CD-B9B0-4684-8840-968ABB8DE455}" name="2016"/>
    <tableColumn id="30" xr3:uid="{76061FDF-8D7E-485C-80CD-1CD9EE761FC5}" name="2017"/>
    <tableColumn id="31" xr3:uid="{A3B118AC-0125-4CE5-9EF6-78DA6F6D2D2F}" name="2018"/>
    <tableColumn id="32" xr3:uid="{F417666A-2A1C-4928-880F-350BBE92F988}" name="2019"/>
    <tableColumn id="33" xr3:uid="{0676DBCB-1221-4A7B-A9B4-E574A96D8C9A}" name="2020"/>
    <tableColumn id="34" xr3:uid="{A985E0F6-8EB4-46A7-AC5C-39844D937532}" name="2021"/>
    <tableColumn id="35" xr3:uid="{3EC84A45-1802-4B59-B73B-111205AC2125}" name="2022"/>
    <tableColumn id="36" xr3:uid="{F8A92C24-CE4D-46D3-9D61-95FB50457ED5}" name="2023"/>
  </tableColumns>
  <tableStyleInfo name="TableStyleLight1"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D9FDF70D-7D69-44A5-8186-3E0578F5A2A3}" name="NGPostMeterCH4mtEFs" displayName="NGPostMeterCH4mtEFs" ref="A486:AJ491" totalsRowShown="0" headerRowDxfId="2489" dataDxfId="2488" tableBorderDxfId="2487">
  <autoFilter ref="A486:AJ491" xr:uid="{D9FDF70D-7D69-44A5-8186-3E0578F5A2A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C1444934-D12F-438C-B642-21A257CE7817}" name="Segment" dataDxfId="2486"/>
    <tableColumn id="2" xr3:uid="{010C931A-AA2C-4225-A9C6-A8166FE155D8}" name="Units" dataDxfId="2485"/>
    <tableColumn id="3" xr3:uid="{64506766-EC59-4DC1-9DA3-6457FD9636F2}" name="1990" dataDxfId="2484">
      <calculatedColumnFormula>$B$541*C479</calculatedColumnFormula>
    </tableColumn>
    <tableColumn id="4" xr3:uid="{852B1715-E900-4578-932D-6AF71C3B69F5}" name="1991" dataDxfId="2483">
      <calculatedColumnFormula>$B$485*D479</calculatedColumnFormula>
    </tableColumn>
    <tableColumn id="5" xr3:uid="{C3E9DC98-F94E-475C-ACD5-45E6D67C4275}" name="1992" dataDxfId="2482">
      <calculatedColumnFormula>$B$485*E479</calculatedColumnFormula>
    </tableColumn>
    <tableColumn id="6" xr3:uid="{4983B9B7-D31F-4E48-AD3A-9E1AB683C924}" name="1993" dataDxfId="2481">
      <calculatedColumnFormula>$B$485*F479</calculatedColumnFormula>
    </tableColumn>
    <tableColumn id="7" xr3:uid="{36EAA957-7124-4C70-8209-4E1B6BD96902}" name="1994" dataDxfId="2480">
      <calculatedColumnFormula>$B$485*G479</calculatedColumnFormula>
    </tableColumn>
    <tableColumn id="8" xr3:uid="{C7D2D9F9-CAA2-412C-88F6-A6B7DEDF173F}" name="1995" dataDxfId="2479">
      <calculatedColumnFormula>$B$485*H479</calculatedColumnFormula>
    </tableColumn>
    <tableColumn id="9" xr3:uid="{53640BF4-8CB3-4214-9778-14EE2D9C3629}" name="1996" dataDxfId="2478">
      <calculatedColumnFormula>$B$485*I479</calculatedColumnFormula>
    </tableColumn>
    <tableColumn id="10" xr3:uid="{551BB945-069D-4543-842B-BB49E0A93077}" name="1997" dataDxfId="2477">
      <calculatedColumnFormula>$B$485*J479</calculatedColumnFormula>
    </tableColumn>
    <tableColumn id="11" xr3:uid="{51BD117A-8E64-48D5-8AEB-2012629A24EB}" name="1998" dataDxfId="2476">
      <calculatedColumnFormula>$B$485*K479</calculatedColumnFormula>
    </tableColumn>
    <tableColumn id="12" xr3:uid="{9F8CA528-24CA-4BCD-8076-7700989BFAFB}" name="1999" dataDxfId="2475">
      <calculatedColumnFormula>$B$485*L479</calculatedColumnFormula>
    </tableColumn>
    <tableColumn id="13" xr3:uid="{60860BAC-F972-4315-B79E-838ABAAA78D3}" name="2000" dataDxfId="2474">
      <calculatedColumnFormula>$B$485*M479</calculatedColumnFormula>
    </tableColumn>
    <tableColumn id="14" xr3:uid="{661E7377-F776-41B4-950D-7AC0929DBFB1}" name="2001" dataDxfId="2473">
      <calculatedColumnFormula>$B$485*N479</calculatedColumnFormula>
    </tableColumn>
    <tableColumn id="15" xr3:uid="{70F4744E-470E-41DC-934D-E94837F0A970}" name="2002" dataDxfId="2472">
      <calculatedColumnFormula>$B$485*O479</calculatedColumnFormula>
    </tableColumn>
    <tableColumn id="16" xr3:uid="{61E4F07C-DD02-4623-9712-D138A332C70D}" name="2003" dataDxfId="2471">
      <calculatedColumnFormula>$B$485*P479</calculatedColumnFormula>
    </tableColumn>
    <tableColumn id="17" xr3:uid="{0AB8EE7E-0A35-4833-85D4-E4AEAAA6D98C}" name="2004" dataDxfId="2470">
      <calculatedColumnFormula>$B$485*Q479</calculatedColumnFormula>
    </tableColumn>
    <tableColumn id="18" xr3:uid="{AC6FEDB7-1C20-4D2D-B3FE-472EB2A29CD9}" name="2005" dataDxfId="2469">
      <calculatedColumnFormula>$B$485*R479</calculatedColumnFormula>
    </tableColumn>
    <tableColumn id="19" xr3:uid="{DEAB708E-A7F0-4CDA-9FFB-7B5AC41766B5}" name="2006" dataDxfId="2468">
      <calculatedColumnFormula>$B$485*S479</calculatedColumnFormula>
    </tableColumn>
    <tableColumn id="20" xr3:uid="{72DE2ED1-B647-4659-83FA-096AFA351AB4}" name="2007" dataDxfId="2467">
      <calculatedColumnFormula>$B$485*T479</calculatedColumnFormula>
    </tableColumn>
    <tableColumn id="21" xr3:uid="{0676C566-4AEE-4F46-A3E1-A8A87C4CB899}" name="2008" dataDxfId="2466">
      <calculatedColumnFormula>$B$485*U479</calculatedColumnFormula>
    </tableColumn>
    <tableColumn id="22" xr3:uid="{D3D2D541-214B-43CB-AF99-722F26C2ABBD}" name="2009" dataDxfId="2465">
      <calculatedColumnFormula>$B$485*V479</calculatedColumnFormula>
    </tableColumn>
    <tableColumn id="23" xr3:uid="{C379D39B-5CCD-49C5-83F6-FE38428AEA94}" name="2010" dataDxfId="2464">
      <calculatedColumnFormula>$B$485*W479</calculatedColumnFormula>
    </tableColumn>
    <tableColumn id="24" xr3:uid="{AE8D732A-8214-4A7A-8F97-FBED4391D078}" name="2011" dataDxfId="2463">
      <calculatedColumnFormula>$B$485*X479</calculatedColumnFormula>
    </tableColumn>
    <tableColumn id="25" xr3:uid="{91870DCA-1C04-4952-A069-D8CAECF36E1B}" name="2012" dataDxfId="2462">
      <calculatedColumnFormula>$B$485*Y479</calculatedColumnFormula>
    </tableColumn>
    <tableColumn id="26" xr3:uid="{DC2CD015-8812-480A-B94E-11522642ACAF}" name="2013" dataDxfId="2461">
      <calculatedColumnFormula>$B$485*Z479</calculatedColumnFormula>
    </tableColumn>
    <tableColumn id="27" xr3:uid="{9A6D93AB-F916-4D32-943E-C5FFEF84C27F}" name="2014" dataDxfId="2460">
      <calculatedColumnFormula>$B$485*AA479</calculatedColumnFormula>
    </tableColumn>
    <tableColumn id="28" xr3:uid="{F367ED82-A23D-4587-98FD-C1F3815FEA2E}" name="2015" dataDxfId="2459">
      <calculatedColumnFormula>$B$485*AB479</calculatedColumnFormula>
    </tableColumn>
    <tableColumn id="29" xr3:uid="{5504467C-DB22-433F-A772-1A508CF4D9F0}" name="2016" dataDxfId="2458">
      <calculatedColumnFormula>$B$485*AC479</calculatedColumnFormula>
    </tableColumn>
    <tableColumn id="30" xr3:uid="{198CACBA-2EBB-4001-87A1-2DC7E726D8B9}" name="2017" dataDxfId="2457">
      <calculatedColumnFormula>$B$485*AD479</calculatedColumnFormula>
    </tableColumn>
    <tableColumn id="31" xr3:uid="{49FBD859-0C40-4394-981C-0A6464218726}" name="2018" dataDxfId="2456">
      <calculatedColumnFormula>$B$485*AE479</calculatedColumnFormula>
    </tableColumn>
    <tableColumn id="32" xr3:uid="{54E93A2D-5F27-4183-A53B-96EA109AD5EE}" name="2019" dataDxfId="2455">
      <calculatedColumnFormula>$B$485*AF479</calculatedColumnFormula>
    </tableColumn>
    <tableColumn id="33" xr3:uid="{584BE8DC-A236-489D-A1CF-18CD0694AAA9}" name="2020" dataDxfId="2454">
      <calculatedColumnFormula>$B$485*AG479</calculatedColumnFormula>
    </tableColumn>
    <tableColumn id="34" xr3:uid="{52471A58-80DC-484D-973B-F4F9694AF598}" name="2021" dataDxfId="2453">
      <calculatedColumnFormula>$B$485*AH479</calculatedColumnFormula>
    </tableColumn>
    <tableColumn id="35" xr3:uid="{FED9CC3E-E266-4BB2-B037-736BA440722B}" name="2022" dataDxfId="2452">
      <calculatedColumnFormula>$B$485*AI479</calculatedColumnFormula>
    </tableColumn>
    <tableColumn id="36" xr3:uid="{820861C1-0991-4AA4-80F7-473B2DB82199}" name="2023" dataDxfId="2451">
      <calculatedColumnFormula>$B$485*AJ479</calculatedColumnFormula>
    </tableColumn>
  </tableColumns>
  <tableStyleInfo name="TableStyleLight1"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1686B906-3850-4CFC-B4D1-5F23F3E4FA09}" name="NGPostMeterCH4EmissionsMTCH4andMMTCO2e" displayName="NGPostMeterCH4EmissionsMTCH4andMMTCO2e" ref="A494:AJ501" totalsRowShown="0" headerRowDxfId="2450">
  <autoFilter ref="A494:AJ501" xr:uid="{1686B906-3850-4CFC-B4D1-5F23F3E4FA0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5C22E166-9F59-4D1E-BBBC-D17CD9CEFB83}" name="Segment" dataDxfId="2449"/>
    <tableColumn id="2" xr3:uid="{ECBDA346-226C-4F65-A018-1B0B575BE5F0}" name="Units" dataDxfId="2448"/>
    <tableColumn id="3" xr3:uid="{46E82452-C65A-42B1-A9A1-E1E84E9221D1}" name="1990"/>
    <tableColumn id="4" xr3:uid="{D264A8DF-0CDE-4E3B-9093-C5623CE9BE2B}" name="1991"/>
    <tableColumn id="5" xr3:uid="{9FDC1DD6-B3F6-45FE-9BB2-C05F8D04119C}" name="1992"/>
    <tableColumn id="6" xr3:uid="{04B4A900-ED11-4A3E-BBD4-673A8675CDB5}" name="1993"/>
    <tableColumn id="7" xr3:uid="{3D88FAB7-36A0-4BC7-8F19-25CBFD010921}" name="1994"/>
    <tableColumn id="8" xr3:uid="{A3303AB5-9886-416A-A876-1C73284DED4D}" name="1995"/>
    <tableColumn id="9" xr3:uid="{C49F47FE-8F94-4BCC-B50F-EC574C6E069A}" name="1996"/>
    <tableColumn id="10" xr3:uid="{552DE8D9-C66E-48DC-AE36-C9C24A05A451}" name="1997"/>
    <tableColumn id="11" xr3:uid="{B3EE67FE-11EC-4D1F-9A10-EE790B0DAE3B}" name="1998"/>
    <tableColumn id="12" xr3:uid="{E66F80E2-B544-4D82-8C58-38A806E42057}" name="1999"/>
    <tableColumn id="13" xr3:uid="{AECD61E2-9C28-4DB5-98C5-EAB0F72BCA61}" name="2000"/>
    <tableColumn id="14" xr3:uid="{68B4F474-DD89-4FE8-9850-AF4A57BAA2BF}" name="2001"/>
    <tableColumn id="15" xr3:uid="{D56E7DBA-4371-4F02-96A5-B9172665BF20}" name="2002"/>
    <tableColumn id="16" xr3:uid="{21CE5F22-0278-498A-B625-4FA2D7DB3BA2}" name="2003"/>
    <tableColumn id="17" xr3:uid="{417C2C4D-922F-4CA1-87E6-3CE0655E75A5}" name="2004"/>
    <tableColumn id="18" xr3:uid="{32B1E6FE-38F3-4594-AA38-EEF2B4B0FEDC}" name="2005"/>
    <tableColumn id="19" xr3:uid="{8FF560D3-6E73-40BC-8CA6-EE82B8C8BDD4}" name="2006"/>
    <tableColumn id="20" xr3:uid="{0FF8A06C-0CA1-4D21-ABBA-BEDF3DCB69B2}" name="2007"/>
    <tableColumn id="21" xr3:uid="{ACB7609B-31C2-48AF-8C8B-9B56C0B2FFE6}" name="2008"/>
    <tableColumn id="22" xr3:uid="{72BBF0E3-1670-407B-BB1F-09B27192316E}" name="2009"/>
    <tableColumn id="23" xr3:uid="{B24728B6-8ACD-4016-BDDE-3E43D8ADB6D4}" name="2010"/>
    <tableColumn id="24" xr3:uid="{1EC24065-D3A3-4C54-9067-1EB455EDEDF2}" name="2011"/>
    <tableColumn id="25" xr3:uid="{11A7D884-3B79-4B5C-9F70-FBBE10D59E3F}" name="2012"/>
    <tableColumn id="26" xr3:uid="{D432BAC3-FFAF-45DF-92F0-841ED0DBCF41}" name="2013"/>
    <tableColumn id="27" xr3:uid="{96C32215-3F96-43EA-9C32-59834F358385}" name="2014"/>
    <tableColumn id="28" xr3:uid="{D3313652-A92B-4A9F-9DE0-5DCC95002208}" name="2015"/>
    <tableColumn id="29" xr3:uid="{F8871DEE-E34F-48D6-B806-E87B85D406D2}" name="2016"/>
    <tableColumn id="30" xr3:uid="{A3227C36-9879-4F0B-AF5D-5C3BD32BEB41}" name="2017"/>
    <tableColumn id="31" xr3:uid="{38BC4306-B231-4EFA-B119-D597FD23DA28}" name="2018"/>
    <tableColumn id="32" xr3:uid="{1B3B8C0D-36F2-4F25-AF8A-CE3A1103F007}" name="2019"/>
    <tableColumn id="33" xr3:uid="{4E8E1B16-9C37-4722-BA18-8678FD0C4208}" name="2020"/>
    <tableColumn id="34" xr3:uid="{E10AD492-0EC6-49EA-AB7E-274F594286B3}" name="2021"/>
    <tableColumn id="35" xr3:uid="{3B9EF244-8A81-4A2A-AEDB-549E4AB37CAE}" name="2022"/>
    <tableColumn id="36" xr3:uid="{769BAD56-94AF-4F44-A693-D7AF9B35EEA8}" name="2023"/>
  </tableColumns>
  <tableStyleInfo name="TableStyleLight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2E1BF37-2BF5-4797-9B52-39DAD9F08500}" name="NGPostMeterCO2kgEFs" displayName="NGPostMeterCO2kgEFs" ref="A507:AJ512" totalsRowShown="0" headerRowDxfId="2447" dataDxfId="2446">
  <autoFilter ref="A507:AJ512" xr:uid="{02E1BF37-2BF5-4797-9B52-39DAD9F085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7A76C8A1-8A97-4E3B-9CA9-F13561F2D214}" name="Segment" dataDxfId="2445"/>
    <tableColumn id="2" xr3:uid="{05E05258-92D4-4389-AD42-DFCA7F924FBF}" name="Units" dataDxfId="2444"/>
    <tableColumn id="3" xr3:uid="{CD7CDECC-8B90-407E-9775-08B2675EFEFF}" name="1990" dataDxfId="2443"/>
    <tableColumn id="4" xr3:uid="{CBEC352D-73CA-46E3-95AA-8972E048FD5F}" name="1991" dataDxfId="2442"/>
    <tableColumn id="5" xr3:uid="{5AC3A016-465A-4AF3-AB06-1FF67E783A05}" name="1992" dataDxfId="2441"/>
    <tableColumn id="6" xr3:uid="{50F2E5BA-F09F-4293-94D7-FC6150904889}" name="1993" dataDxfId="2440"/>
    <tableColumn id="7" xr3:uid="{6B1617C5-6075-4587-B94C-E29F39EEE38B}" name="1994" dataDxfId="2439"/>
    <tableColumn id="8" xr3:uid="{8B99FFB7-AAA9-4E97-8556-AD1977FC45D7}" name="1995" dataDxfId="2438"/>
    <tableColumn id="9" xr3:uid="{D3A70D68-00D2-477D-A10B-2198BEE6AAAD}" name="1996" dataDxfId="2437"/>
    <tableColumn id="10" xr3:uid="{BAA76AAA-0789-423B-808B-56C02D10720F}" name="1997" dataDxfId="2436"/>
    <tableColumn id="11" xr3:uid="{D75F30E7-5C54-4D07-A61E-2FA4C09355CF}" name="1998" dataDxfId="2435"/>
    <tableColumn id="12" xr3:uid="{027B3F17-BF13-491A-AB19-FB33DEA8C886}" name="1999" dataDxfId="2434"/>
    <tableColumn id="13" xr3:uid="{B6A877CC-0366-425B-8665-4C3D179E78DB}" name="2000" dataDxfId="2433"/>
    <tableColumn id="14" xr3:uid="{1CE5FC47-230C-410C-BB81-D1623726276D}" name="2001" dataDxfId="2432"/>
    <tableColumn id="15" xr3:uid="{BF41B9DA-0FB7-43B4-B82A-C693350CFFE5}" name="2002" dataDxfId="2431"/>
    <tableColumn id="16" xr3:uid="{9AB06C36-F457-44D7-8DBA-5B30B256FDE5}" name="2003" dataDxfId="2430"/>
    <tableColumn id="17" xr3:uid="{4EC9B79B-2363-4726-92FB-60C2984BF069}" name="2004" dataDxfId="2429"/>
    <tableColumn id="18" xr3:uid="{801C7E9F-DB60-4E32-9C52-381A28242771}" name="2005" dataDxfId="2428"/>
    <tableColumn id="19" xr3:uid="{C6119F44-98F8-470A-A53A-F8B6C02997D9}" name="2006" dataDxfId="2427"/>
    <tableColumn id="20" xr3:uid="{A28ADE9A-9D2C-470B-98F6-F3F0A5594C50}" name="2007" dataDxfId="2426"/>
    <tableColumn id="21" xr3:uid="{B30E1B30-4078-4D15-BCA4-33380AD5B4F7}" name="2008" dataDxfId="2425"/>
    <tableColumn id="22" xr3:uid="{602ADC4A-0603-4D61-861F-697B52AAE156}" name="2009" dataDxfId="2424"/>
    <tableColumn id="23" xr3:uid="{DC287F0B-2F07-4569-A5A4-36EE37171A50}" name="2010" dataDxfId="2423"/>
    <tableColumn id="24" xr3:uid="{37E5CE2E-A159-4A43-9909-5CDBDE9D5A0C}" name="2011" dataDxfId="2422"/>
    <tableColumn id="25" xr3:uid="{369AFA3B-D668-4D54-A8EC-637F2471E584}" name="2012" dataDxfId="2421"/>
    <tableColumn id="26" xr3:uid="{2C28A114-CCB0-4B6F-B227-583F899A476C}" name="2013" dataDxfId="2420"/>
    <tableColumn id="27" xr3:uid="{DE0F0DDF-A02E-49D9-A9F9-63CE3C0BAC53}" name="2014" dataDxfId="2419"/>
    <tableColumn id="28" xr3:uid="{29AFC7C9-A9A5-4617-AD80-C24DD496B8F8}" name="2015" dataDxfId="2418"/>
    <tableColumn id="29" xr3:uid="{77607F3C-0D9D-4E24-9BE4-DBB24408A04A}" name="2016" dataDxfId="2417"/>
    <tableColumn id="30" xr3:uid="{94F5F1B2-C177-4C56-85C0-ADD1B096F856}" name="2017" dataDxfId="2416"/>
    <tableColumn id="31" xr3:uid="{5B46D58A-9F3C-46B0-8C8E-5F0C8C93C41D}" name="2018" dataDxfId="2415"/>
    <tableColumn id="32" xr3:uid="{112D1059-3037-4AD9-B1BC-257C8A22A64F}" name="2019" dataDxfId="2414"/>
    <tableColumn id="33" xr3:uid="{F75CCA2B-ACAD-401B-8E03-3F631DC42B47}" name="2020" dataDxfId="2413"/>
    <tableColumn id="34" xr3:uid="{77CFDADE-6701-4973-94E7-F0C9D0BE44C1}" name="2021" dataDxfId="2412"/>
    <tableColumn id="35" xr3:uid="{3080BB03-2322-464A-84F9-AB1FCDFB06C2}" name="2022" dataDxfId="2411"/>
    <tableColumn id="36" xr3:uid="{BCC601B3-7476-48FD-81F0-7B324B23343C}" name="2023" dataDxfId="2410"/>
  </tableColumns>
  <tableStyleInfo name="TableStyleLight1"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1BEDC294-A7C9-453B-8FC1-39C601BA1BB3}" name="NGPostMeterCO2mtEFs" displayName="NGPostMeterCO2mtEFs" ref="A517:AJ522" totalsRowShown="0" headerRowDxfId="2409">
  <autoFilter ref="A517:AJ522" xr:uid="{1BEDC294-A7C9-453B-8FC1-39C601BA1B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489A4811-8590-4754-A9D2-988DC43D062B}" name="Segment" dataDxfId="2408"/>
    <tableColumn id="2" xr3:uid="{8614855C-8C9E-439D-861A-CC7412710F50}" name="Units" dataDxfId="2407"/>
    <tableColumn id="3" xr3:uid="{BF319B94-3767-4FA9-98B3-420BC851C32F}" name="1990">
      <calculatedColumnFormula>$B$541*C508</calculatedColumnFormula>
    </tableColumn>
    <tableColumn id="4" xr3:uid="{B0209D29-3ABC-4C79-AE51-DBE45D121C82}" name="1991">
      <calculatedColumnFormula>$B$541*D508</calculatedColumnFormula>
    </tableColumn>
    <tableColumn id="5" xr3:uid="{067410AD-65F8-4060-9A9E-12ACDF6F50DE}" name="1992">
      <calculatedColumnFormula>$B$541*E508</calculatedColumnFormula>
    </tableColumn>
    <tableColumn id="6" xr3:uid="{2F683DFB-8092-467A-A920-454E520E4A5C}" name="1993">
      <calculatedColumnFormula>$B$541*F508</calculatedColumnFormula>
    </tableColumn>
    <tableColumn id="7" xr3:uid="{66B22CB3-9F1F-4B8F-9599-6AB16BC582DB}" name="1994">
      <calculatedColumnFormula>$B$541*G508</calculatedColumnFormula>
    </tableColumn>
    <tableColumn id="8" xr3:uid="{B6C20843-9720-4602-B875-DAC93FCFCDE8}" name="1995">
      <calculatedColumnFormula>$B$541*H508</calculatedColumnFormula>
    </tableColumn>
    <tableColumn id="9" xr3:uid="{50A8887E-C9C1-49E5-AC38-962F55D0EB43}" name="1996">
      <calculatedColumnFormula>$B$541*I508</calculatedColumnFormula>
    </tableColumn>
    <tableColumn id="10" xr3:uid="{F76FD4BF-F800-4049-8786-923BE0B38B23}" name="1997">
      <calculatedColumnFormula>$B$541*J508</calculatedColumnFormula>
    </tableColumn>
    <tableColumn id="11" xr3:uid="{9D97066A-DF64-4071-82F8-CCE416B71E34}" name="1998">
      <calculatedColumnFormula>$B$541*K508</calculatedColumnFormula>
    </tableColumn>
    <tableColumn id="12" xr3:uid="{8721D1AE-38DA-4813-8EE2-16451B9E5273}" name="1999">
      <calculatedColumnFormula>$B$541*L508</calculatedColumnFormula>
    </tableColumn>
    <tableColumn id="13" xr3:uid="{439B2502-4B0C-4333-9635-DB159A264D3A}" name="2000">
      <calculatedColumnFormula>$B$541*M508</calculatedColumnFormula>
    </tableColumn>
    <tableColumn id="14" xr3:uid="{F6CD7175-F2E8-4109-85F9-6E86F7BE5175}" name="2001">
      <calculatedColumnFormula>$B$541*N508</calculatedColumnFormula>
    </tableColumn>
    <tableColumn id="15" xr3:uid="{8E5F5269-2402-4514-A534-FB3580F8D127}" name="2002">
      <calculatedColumnFormula>$B$541*O508</calculatedColumnFormula>
    </tableColumn>
    <tableColumn id="16" xr3:uid="{41C9A984-9B6B-4773-AB29-00BD14A2CEC9}" name="2003">
      <calculatedColumnFormula>$B$541*P508</calculatedColumnFormula>
    </tableColumn>
    <tableColumn id="17" xr3:uid="{8D172B3D-35C1-4F27-9387-06A45EF15153}" name="2004">
      <calculatedColumnFormula>$B$541*Q508</calculatedColumnFormula>
    </tableColumn>
    <tableColumn id="18" xr3:uid="{F5EAE30C-059D-4E26-9970-EEABA017D518}" name="2005">
      <calculatedColumnFormula>$B$541*R508</calculatedColumnFormula>
    </tableColumn>
    <tableColumn id="19" xr3:uid="{D84462CD-1E39-4079-B4B3-A9496AA054C9}" name="2006">
      <calculatedColumnFormula>$B$541*S508</calculatedColumnFormula>
    </tableColumn>
    <tableColumn id="20" xr3:uid="{8951FB8F-6501-48CA-AA49-74888C75F197}" name="2007">
      <calculatedColumnFormula>$B$541*T508</calculatedColumnFormula>
    </tableColumn>
    <tableColumn id="21" xr3:uid="{40C0716B-966A-42FE-AFD2-5D997E420871}" name="2008">
      <calculatedColumnFormula>$B$541*U508</calculatedColumnFormula>
    </tableColumn>
    <tableColumn id="22" xr3:uid="{0671AC20-E543-445D-9ECC-56A8BA2E0179}" name="2009">
      <calculatedColumnFormula>$B$541*V508</calculatedColumnFormula>
    </tableColumn>
    <tableColumn id="23" xr3:uid="{C042B0F4-20EC-4F4F-A71A-46A50FF55703}" name="2010">
      <calculatedColumnFormula>$B$541*W508</calculatedColumnFormula>
    </tableColumn>
    <tableColumn id="24" xr3:uid="{05CB35E5-7180-4D79-8D1C-611CBA2685C9}" name="2011">
      <calculatedColumnFormula>$B$541*X508</calculatedColumnFormula>
    </tableColumn>
    <tableColumn id="25" xr3:uid="{E714D1EC-F557-451E-BEE7-4D06FEEF7C00}" name="2012">
      <calculatedColumnFormula>$B$541*Y508</calculatedColumnFormula>
    </tableColumn>
    <tableColumn id="26" xr3:uid="{16C95EF7-0A61-45C6-87B4-7386B95D695A}" name="2013">
      <calculatedColumnFormula>$B$541*Z508</calculatedColumnFormula>
    </tableColumn>
    <tableColumn id="27" xr3:uid="{36EE9901-FF6C-4B3B-8914-942BDEFF0A0F}" name="2014">
      <calculatedColumnFormula>$B$541*AA508</calculatedColumnFormula>
    </tableColumn>
    <tableColumn id="28" xr3:uid="{B953C28C-B177-44E0-A30B-BEF6C5555778}" name="2015">
      <calculatedColumnFormula>$B$541*AB508</calculatedColumnFormula>
    </tableColumn>
    <tableColumn id="29" xr3:uid="{C3C73499-B016-4F61-BD30-5BB5AB68EFF7}" name="2016">
      <calculatedColumnFormula>$B$541*AC508</calculatedColumnFormula>
    </tableColumn>
    <tableColumn id="30" xr3:uid="{48C1825D-38A0-4FCB-9825-1CBA4E2CBD28}" name="2017">
      <calculatedColumnFormula>$B$541*AD508</calculatedColumnFormula>
    </tableColumn>
    <tableColumn id="31" xr3:uid="{24EA67A9-A8BA-4463-94F4-6C6E47C49264}" name="2018">
      <calculatedColumnFormula>$B$541*AE508</calculatedColumnFormula>
    </tableColumn>
    <tableColumn id="32" xr3:uid="{7CEFFDD7-AA97-4AAF-8460-BF4151D6C96B}" name="2019">
      <calculatedColumnFormula>$B$541*AF508</calculatedColumnFormula>
    </tableColumn>
    <tableColumn id="33" xr3:uid="{DFCBAC8A-8455-4F31-B56D-848062209286}" name="2020">
      <calculatedColumnFormula>$B$541*AG508</calculatedColumnFormula>
    </tableColumn>
    <tableColumn id="34" xr3:uid="{0FC37A11-2B8B-44C0-B06F-76B37E4ABF61}" name="2021">
      <calculatedColumnFormula>$B$541*AH508</calculatedColumnFormula>
    </tableColumn>
    <tableColumn id="35" xr3:uid="{5AEA3977-A81A-4674-ACEC-47B456DA4539}" name="2022">
      <calculatedColumnFormula>$B$541*AI508</calculatedColumnFormula>
    </tableColumn>
    <tableColumn id="36" xr3:uid="{DDD84FCF-B628-43E3-BD05-0C93C186FD01}" name="2023">
      <calculatedColumnFormula>$B$541*AJ508</calculatedColumnFormula>
    </tableColumn>
  </tableColumns>
  <tableStyleInfo name="TableStyleLight1"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C4333104-F36A-4D7C-9618-5CD3CB3E19ED}" name="NGPostMeterCO2EmissionsMTCO2andMMTCO2" displayName="NGPostMeterCO2EmissionsMTCO2andMMTCO2" ref="A525:AJ532" totalsRowShown="0" headerRowDxfId="2406" dataDxfId="2404" headerRowBorderDxfId="2405" tableBorderDxfId="2403">
  <autoFilter ref="A525:AJ532" xr:uid="{C4333104-F36A-4D7C-9618-5CD3CB3E19E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F6E0DD42-96FF-406D-922B-5C99C952315B}" name="Segment" dataDxfId="2402"/>
    <tableColumn id="2" xr3:uid="{C2241E87-1EE2-4DEF-B798-7972CE404B23}" name="Units" dataDxfId="2401"/>
    <tableColumn id="3" xr3:uid="{6CAB1AE0-C4CA-4602-AA30-CF26379E0058}" name="1990" dataDxfId="2400"/>
    <tableColumn id="4" xr3:uid="{8C4334D5-785A-4B38-B801-4A211EA29A8C}" name="1991" dataDxfId="2399"/>
    <tableColumn id="5" xr3:uid="{082FA029-79EE-4391-A31F-9019277E2093}" name="1992" dataDxfId="2398"/>
    <tableColumn id="6" xr3:uid="{F22B3BAC-27D0-4632-8086-F55A4E3794C4}" name="1993" dataDxfId="2397"/>
    <tableColumn id="7" xr3:uid="{7E027FA5-244D-4B5F-AE25-E1ABCF5F2447}" name="1994" dataDxfId="2396"/>
    <tableColumn id="8" xr3:uid="{F602CFC8-057F-40A4-8E19-5F65245FE7A7}" name="1995" dataDxfId="2395"/>
    <tableColumn id="9" xr3:uid="{B875797D-58BC-483E-BB88-C212CBD47583}" name="1996" dataDxfId="2394"/>
    <tableColumn id="10" xr3:uid="{3F9459D9-C419-4B65-8197-BB15839179EB}" name="1997" dataDxfId="2393"/>
    <tableColumn id="11" xr3:uid="{60F86EEB-F17D-4CAB-AF37-729BAE9D4461}" name="1998" dataDxfId="2392"/>
    <tableColumn id="12" xr3:uid="{EABD4C5B-66ED-42DB-BFC3-A6447C6145C3}" name="1999" dataDxfId="2391"/>
    <tableColumn id="13" xr3:uid="{3F908AD2-3853-4804-87B3-62F79DC51357}" name="2000" dataDxfId="2390"/>
    <tableColumn id="14" xr3:uid="{E54EDBD3-DE9E-4482-98CC-AB4F8CB21821}" name="2001" dataDxfId="2389"/>
    <tableColumn id="15" xr3:uid="{FCC66A8B-0A19-42A9-AA26-3F67046FC8AE}" name="2002" dataDxfId="2388"/>
    <tableColumn id="16" xr3:uid="{27FA1370-0913-44D2-ABF7-1EF2A3539441}" name="2003" dataDxfId="2387"/>
    <tableColumn id="17" xr3:uid="{16981556-54C1-4927-94F7-E10336DE4708}" name="2004" dataDxfId="2386"/>
    <tableColumn id="18" xr3:uid="{8ADE6D40-E939-4FD4-BD2E-D99451B431FB}" name="2005" dataDxfId="2385"/>
    <tableColumn id="19" xr3:uid="{EF1F5BF3-5DB0-4989-AE51-4FB918B6AF07}" name="2006" dataDxfId="2384"/>
    <tableColumn id="20" xr3:uid="{A0F3AA40-87D3-4252-AFEF-3E45E1E4398C}" name="2007" dataDxfId="2383"/>
    <tableColumn id="21" xr3:uid="{77C65F22-8370-4FE2-97DD-BCF59B2865B1}" name="2008" dataDxfId="2382"/>
    <tableColumn id="22" xr3:uid="{E11EFD99-F44E-444A-AE0C-C2C241EC0B36}" name="2009" dataDxfId="2381"/>
    <tableColumn id="23" xr3:uid="{0F2717F9-20DB-466E-98AE-6B7B2892F8CE}" name="2010" dataDxfId="2380"/>
    <tableColumn id="24" xr3:uid="{3CD498C5-7FAC-4D52-B501-59E914379028}" name="2011" dataDxfId="2379"/>
    <tableColumn id="25" xr3:uid="{650C8267-FCEE-4878-93A4-3844E91D0680}" name="2012" dataDxfId="2378"/>
    <tableColumn id="26" xr3:uid="{60059051-77E5-4962-8461-6CB92D4A3B73}" name="2013" dataDxfId="2377"/>
    <tableColumn id="27" xr3:uid="{0E5DE64C-75BB-4F22-BB68-B6680B187412}" name="2014" dataDxfId="2376"/>
    <tableColumn id="28" xr3:uid="{14C146AF-460E-4DF2-81AD-2F5BA29E2214}" name="2015" dataDxfId="2375"/>
    <tableColumn id="29" xr3:uid="{70359B12-B7D3-4FA3-ADF9-61BD07F6A75E}" name="2016" dataDxfId="2374"/>
    <tableColumn id="30" xr3:uid="{5CDA520F-9867-4E48-978D-1E74DF49FD44}" name="2017" dataDxfId="2373"/>
    <tableColumn id="31" xr3:uid="{E16EC12B-D38B-41A3-9E44-E2B4F8EB95A0}" name="2018" dataDxfId="2372"/>
    <tableColumn id="32" xr3:uid="{09A2C16E-2686-4C3F-AC77-F53706B709FF}" name="2019" dataDxfId="2371"/>
    <tableColumn id="33" xr3:uid="{3C7D8E04-586B-440B-85BE-C4143F8067C4}" name="2020" dataDxfId="2370"/>
    <tableColumn id="34" xr3:uid="{7A15FD5A-5DC3-4A24-89AC-A18E7B2C2D05}" name="2021" dataDxfId="2369"/>
    <tableColumn id="35" xr3:uid="{25E9BF35-7770-4A9A-BAA7-FD7C9EACF4D1}" name="2022" dataDxfId="2368"/>
    <tableColumn id="36" xr3:uid="{EE17E198-0A23-4E4D-9E5B-969C9F866FA6}" name="2023" dataDxfId="2367"/>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mass.gov/doc/clean-energy-and-climate-plan-for-2025-and-2030/download" TargetMode="External"/><Relationship Id="rId7" Type="http://schemas.openxmlformats.org/officeDocument/2006/relationships/hyperlink" Target="https://www.mass.gov/info-details/massachusetts-clean-energy-and-climate-metrics" TargetMode="External"/><Relationship Id="rId2" Type="http://schemas.openxmlformats.org/officeDocument/2006/relationships/hyperlink" Target="https://www.mass.gov/doc/2025-and-2030-ghg-emissions-limit-letter-of-determination/download" TargetMode="External"/><Relationship Id="rId1" Type="http://schemas.openxmlformats.org/officeDocument/2006/relationships/hyperlink" Target="https://www.mass.gov/lists/massdep-emissions-inventories" TargetMode="External"/><Relationship Id="rId6" Type="http://schemas.openxmlformats.org/officeDocument/2006/relationships/hyperlink" Target="https://www.mass.gov/report/2025-massachusetts-climate-report-card?_ga=2.60243885.1098243606.1774884604-519638264.1774621606&amp;_gl=1*1ixieju*_ga*NTE5NjM4MjY0LjE3NzQ2MjE2MDY.*_ga_MCLPEGW7WM*czE3NzUwNTk0NDAkbzMkZzEkdDE3NzUwNTk0NDEkajU5JGwwJGgw" TargetMode="External"/><Relationship Id="rId11" Type="http://schemas.openxmlformats.org/officeDocument/2006/relationships/table" Target="../tables/table3.xml"/><Relationship Id="rId5" Type="http://schemas.openxmlformats.org/officeDocument/2006/relationships/hyperlink" Target="https://www.mass.gov/doc/2050-clean-energy-and-climate-plan/download" TargetMode="External"/><Relationship Id="rId10" Type="http://schemas.openxmlformats.org/officeDocument/2006/relationships/table" Target="../tables/table2.xml"/><Relationship Id="rId4" Type="http://schemas.openxmlformats.org/officeDocument/2006/relationships/hyperlink" Target="https://www.mass.gov/doc/statement-of-compliance-with-2020-greenhouse-gas-emissions-limit/download?_gl=1*ydbimt*_ga*NDY4MzY4NjgyLjE3NzM0MTI4NTg.*_ga_MCLPEGW7WM*czE3NzM2NzYyNzkkbzEkZzEkdDE3NzM2NzY0NzMkajYwJGwwJGgw&amp;_ga=2.132773134.18170839.1773667952-468368682.1773412858" TargetMode="External"/><Relationship Id="rId9"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8" Type="http://schemas.openxmlformats.org/officeDocument/2006/relationships/table" Target="../tables/table46.xml"/><Relationship Id="rId3" Type="http://schemas.openxmlformats.org/officeDocument/2006/relationships/table" Target="../tables/table41.xml"/><Relationship Id="rId7" Type="http://schemas.openxmlformats.org/officeDocument/2006/relationships/table" Target="../tables/table45.x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table" Target="../tables/table44.xml"/><Relationship Id="rId5" Type="http://schemas.openxmlformats.org/officeDocument/2006/relationships/table" Target="../tables/table43.xml"/><Relationship Id="rId10" Type="http://schemas.openxmlformats.org/officeDocument/2006/relationships/table" Target="../tables/table48.xml"/><Relationship Id="rId4" Type="http://schemas.openxmlformats.org/officeDocument/2006/relationships/table" Target="../tables/table42.xml"/><Relationship Id="rId9" Type="http://schemas.openxmlformats.org/officeDocument/2006/relationships/table" Target="../tables/table47.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55.xml"/><Relationship Id="rId13" Type="http://schemas.openxmlformats.org/officeDocument/2006/relationships/table" Target="../tables/table60.xml"/><Relationship Id="rId3" Type="http://schemas.openxmlformats.org/officeDocument/2006/relationships/table" Target="../tables/table50.xml"/><Relationship Id="rId7" Type="http://schemas.openxmlformats.org/officeDocument/2006/relationships/table" Target="../tables/table54.xml"/><Relationship Id="rId12" Type="http://schemas.openxmlformats.org/officeDocument/2006/relationships/table" Target="../tables/table59.xml"/><Relationship Id="rId2" Type="http://schemas.openxmlformats.org/officeDocument/2006/relationships/table" Target="../tables/table49.xml"/><Relationship Id="rId1" Type="http://schemas.openxmlformats.org/officeDocument/2006/relationships/printerSettings" Target="../printerSettings/printerSettings11.bin"/><Relationship Id="rId6" Type="http://schemas.openxmlformats.org/officeDocument/2006/relationships/table" Target="../tables/table53.xml"/><Relationship Id="rId11" Type="http://schemas.openxmlformats.org/officeDocument/2006/relationships/table" Target="../tables/table58.xml"/><Relationship Id="rId5" Type="http://schemas.openxmlformats.org/officeDocument/2006/relationships/table" Target="../tables/table52.xml"/><Relationship Id="rId10" Type="http://schemas.openxmlformats.org/officeDocument/2006/relationships/table" Target="../tables/table57.xml"/><Relationship Id="rId4" Type="http://schemas.openxmlformats.org/officeDocument/2006/relationships/table" Target="../tables/table51.xml"/><Relationship Id="rId9" Type="http://schemas.openxmlformats.org/officeDocument/2006/relationships/table" Target="../tables/table56.xml"/></Relationships>
</file>

<file path=xl/worksheets/_rels/sheet12.xml.rels><?xml version="1.0" encoding="UTF-8" standalone="yes"?>
<Relationships xmlns="http://schemas.openxmlformats.org/package/2006/relationships"><Relationship Id="rId13" Type="http://schemas.openxmlformats.org/officeDocument/2006/relationships/table" Target="../tables/table70.xml"/><Relationship Id="rId18" Type="http://schemas.openxmlformats.org/officeDocument/2006/relationships/table" Target="../tables/table75.xml"/><Relationship Id="rId26" Type="http://schemas.openxmlformats.org/officeDocument/2006/relationships/table" Target="../tables/table83.xml"/><Relationship Id="rId39" Type="http://schemas.openxmlformats.org/officeDocument/2006/relationships/table" Target="../tables/table96.xml"/><Relationship Id="rId21" Type="http://schemas.openxmlformats.org/officeDocument/2006/relationships/table" Target="../tables/table78.xml"/><Relationship Id="rId34" Type="http://schemas.openxmlformats.org/officeDocument/2006/relationships/table" Target="../tables/table91.xml"/><Relationship Id="rId42" Type="http://schemas.openxmlformats.org/officeDocument/2006/relationships/table" Target="../tables/table99.xml"/><Relationship Id="rId47" Type="http://schemas.openxmlformats.org/officeDocument/2006/relationships/table" Target="../tables/table104.xml"/><Relationship Id="rId7" Type="http://schemas.openxmlformats.org/officeDocument/2006/relationships/table" Target="../tables/table64.xml"/><Relationship Id="rId2" Type="http://schemas.openxmlformats.org/officeDocument/2006/relationships/printerSettings" Target="../printerSettings/printerSettings12.bin"/><Relationship Id="rId16" Type="http://schemas.openxmlformats.org/officeDocument/2006/relationships/table" Target="../tables/table73.xml"/><Relationship Id="rId29" Type="http://schemas.openxmlformats.org/officeDocument/2006/relationships/table" Target="../tables/table86.xml"/><Relationship Id="rId1" Type="http://schemas.openxmlformats.org/officeDocument/2006/relationships/hyperlink" Target="http://www.eia.gov/dnav/ng/ng_cons_num_dcu_nus_a.htm" TargetMode="External"/><Relationship Id="rId6" Type="http://schemas.openxmlformats.org/officeDocument/2006/relationships/table" Target="../tables/table63.xml"/><Relationship Id="rId11" Type="http://schemas.openxmlformats.org/officeDocument/2006/relationships/table" Target="../tables/table68.xml"/><Relationship Id="rId24" Type="http://schemas.openxmlformats.org/officeDocument/2006/relationships/table" Target="../tables/table81.xml"/><Relationship Id="rId32" Type="http://schemas.openxmlformats.org/officeDocument/2006/relationships/table" Target="../tables/table89.xml"/><Relationship Id="rId37" Type="http://schemas.openxmlformats.org/officeDocument/2006/relationships/table" Target="../tables/table94.xml"/><Relationship Id="rId40" Type="http://schemas.openxmlformats.org/officeDocument/2006/relationships/table" Target="../tables/table97.xml"/><Relationship Id="rId45" Type="http://schemas.openxmlformats.org/officeDocument/2006/relationships/table" Target="../tables/table102.xml"/><Relationship Id="rId5" Type="http://schemas.openxmlformats.org/officeDocument/2006/relationships/table" Target="../tables/table62.xml"/><Relationship Id="rId15" Type="http://schemas.openxmlformats.org/officeDocument/2006/relationships/table" Target="../tables/table72.xml"/><Relationship Id="rId23" Type="http://schemas.openxmlformats.org/officeDocument/2006/relationships/table" Target="../tables/table80.xml"/><Relationship Id="rId28" Type="http://schemas.openxmlformats.org/officeDocument/2006/relationships/table" Target="../tables/table85.xml"/><Relationship Id="rId36" Type="http://schemas.openxmlformats.org/officeDocument/2006/relationships/table" Target="../tables/table93.xml"/><Relationship Id="rId10" Type="http://schemas.openxmlformats.org/officeDocument/2006/relationships/table" Target="../tables/table67.xml"/><Relationship Id="rId19" Type="http://schemas.openxmlformats.org/officeDocument/2006/relationships/table" Target="../tables/table76.xml"/><Relationship Id="rId31" Type="http://schemas.openxmlformats.org/officeDocument/2006/relationships/table" Target="../tables/table88.xml"/><Relationship Id="rId44" Type="http://schemas.openxmlformats.org/officeDocument/2006/relationships/table" Target="../tables/table101.xml"/><Relationship Id="rId4" Type="http://schemas.openxmlformats.org/officeDocument/2006/relationships/table" Target="../tables/table61.xml"/><Relationship Id="rId9" Type="http://schemas.openxmlformats.org/officeDocument/2006/relationships/table" Target="../tables/table66.xml"/><Relationship Id="rId14" Type="http://schemas.openxmlformats.org/officeDocument/2006/relationships/table" Target="../tables/table71.xml"/><Relationship Id="rId22" Type="http://schemas.openxmlformats.org/officeDocument/2006/relationships/table" Target="../tables/table79.xml"/><Relationship Id="rId27" Type="http://schemas.openxmlformats.org/officeDocument/2006/relationships/table" Target="../tables/table84.xml"/><Relationship Id="rId30" Type="http://schemas.openxmlformats.org/officeDocument/2006/relationships/table" Target="../tables/table87.xml"/><Relationship Id="rId35" Type="http://schemas.openxmlformats.org/officeDocument/2006/relationships/table" Target="../tables/table92.xml"/><Relationship Id="rId43" Type="http://schemas.openxmlformats.org/officeDocument/2006/relationships/table" Target="../tables/table100.xml"/><Relationship Id="rId8" Type="http://schemas.openxmlformats.org/officeDocument/2006/relationships/table" Target="../tables/table65.xml"/><Relationship Id="rId3" Type="http://schemas.openxmlformats.org/officeDocument/2006/relationships/drawing" Target="../drawings/drawing10.xml"/><Relationship Id="rId12" Type="http://schemas.openxmlformats.org/officeDocument/2006/relationships/table" Target="../tables/table69.xml"/><Relationship Id="rId17" Type="http://schemas.openxmlformats.org/officeDocument/2006/relationships/table" Target="../tables/table74.xml"/><Relationship Id="rId25" Type="http://schemas.openxmlformats.org/officeDocument/2006/relationships/table" Target="../tables/table82.xml"/><Relationship Id="rId33" Type="http://schemas.openxmlformats.org/officeDocument/2006/relationships/table" Target="../tables/table90.xml"/><Relationship Id="rId38" Type="http://schemas.openxmlformats.org/officeDocument/2006/relationships/table" Target="../tables/table95.xml"/><Relationship Id="rId46" Type="http://schemas.openxmlformats.org/officeDocument/2006/relationships/table" Target="../tables/table103.xml"/><Relationship Id="rId20" Type="http://schemas.openxmlformats.org/officeDocument/2006/relationships/table" Target="../tables/table77.xml"/><Relationship Id="rId41" Type="http://schemas.openxmlformats.org/officeDocument/2006/relationships/table" Target="../tables/table98.xml"/></Relationships>
</file>

<file path=xl/worksheets/_rels/sheet13.xml.rels><?xml version="1.0" encoding="UTF-8" standalone="yes"?>
<Relationships xmlns="http://schemas.openxmlformats.org/package/2006/relationships"><Relationship Id="rId13" Type="http://schemas.openxmlformats.org/officeDocument/2006/relationships/table" Target="../tables/table115.xml"/><Relationship Id="rId18" Type="http://schemas.openxmlformats.org/officeDocument/2006/relationships/table" Target="../tables/table120.xml"/><Relationship Id="rId26" Type="http://schemas.openxmlformats.org/officeDocument/2006/relationships/table" Target="../tables/table128.xml"/><Relationship Id="rId39" Type="http://schemas.openxmlformats.org/officeDocument/2006/relationships/table" Target="../tables/table141.xml"/><Relationship Id="rId21" Type="http://schemas.openxmlformats.org/officeDocument/2006/relationships/table" Target="../tables/table123.xml"/><Relationship Id="rId34" Type="http://schemas.openxmlformats.org/officeDocument/2006/relationships/table" Target="../tables/table136.xml"/><Relationship Id="rId42" Type="http://schemas.openxmlformats.org/officeDocument/2006/relationships/table" Target="../tables/table144.xml"/><Relationship Id="rId47" Type="http://schemas.openxmlformats.org/officeDocument/2006/relationships/table" Target="../tables/table149.xml"/><Relationship Id="rId7" Type="http://schemas.openxmlformats.org/officeDocument/2006/relationships/table" Target="../tables/table109.xml"/><Relationship Id="rId2" Type="http://schemas.openxmlformats.org/officeDocument/2006/relationships/drawing" Target="../drawings/drawing11.xml"/><Relationship Id="rId16" Type="http://schemas.openxmlformats.org/officeDocument/2006/relationships/table" Target="../tables/table118.xml"/><Relationship Id="rId29" Type="http://schemas.openxmlformats.org/officeDocument/2006/relationships/table" Target="../tables/table131.xml"/><Relationship Id="rId11" Type="http://schemas.openxmlformats.org/officeDocument/2006/relationships/table" Target="../tables/table113.xml"/><Relationship Id="rId24" Type="http://schemas.openxmlformats.org/officeDocument/2006/relationships/table" Target="../tables/table126.xml"/><Relationship Id="rId32" Type="http://schemas.openxmlformats.org/officeDocument/2006/relationships/table" Target="../tables/table134.xml"/><Relationship Id="rId37" Type="http://schemas.openxmlformats.org/officeDocument/2006/relationships/table" Target="../tables/table139.xml"/><Relationship Id="rId40" Type="http://schemas.openxmlformats.org/officeDocument/2006/relationships/table" Target="../tables/table142.xml"/><Relationship Id="rId45" Type="http://schemas.openxmlformats.org/officeDocument/2006/relationships/table" Target="../tables/table147.xml"/><Relationship Id="rId5" Type="http://schemas.openxmlformats.org/officeDocument/2006/relationships/table" Target="../tables/table107.xml"/><Relationship Id="rId15" Type="http://schemas.openxmlformats.org/officeDocument/2006/relationships/table" Target="../tables/table117.xml"/><Relationship Id="rId23" Type="http://schemas.openxmlformats.org/officeDocument/2006/relationships/table" Target="../tables/table125.xml"/><Relationship Id="rId28" Type="http://schemas.openxmlformats.org/officeDocument/2006/relationships/table" Target="../tables/table130.xml"/><Relationship Id="rId36" Type="http://schemas.openxmlformats.org/officeDocument/2006/relationships/table" Target="../tables/table138.xml"/><Relationship Id="rId49" Type="http://schemas.openxmlformats.org/officeDocument/2006/relationships/table" Target="../tables/table151.xml"/><Relationship Id="rId10" Type="http://schemas.openxmlformats.org/officeDocument/2006/relationships/table" Target="../tables/table112.xml"/><Relationship Id="rId19" Type="http://schemas.openxmlformats.org/officeDocument/2006/relationships/table" Target="../tables/table121.xml"/><Relationship Id="rId31" Type="http://schemas.openxmlformats.org/officeDocument/2006/relationships/table" Target="../tables/table133.xml"/><Relationship Id="rId44" Type="http://schemas.openxmlformats.org/officeDocument/2006/relationships/table" Target="../tables/table146.xml"/><Relationship Id="rId4" Type="http://schemas.openxmlformats.org/officeDocument/2006/relationships/table" Target="../tables/table106.xml"/><Relationship Id="rId9" Type="http://schemas.openxmlformats.org/officeDocument/2006/relationships/table" Target="../tables/table111.xml"/><Relationship Id="rId14" Type="http://schemas.openxmlformats.org/officeDocument/2006/relationships/table" Target="../tables/table116.xml"/><Relationship Id="rId22" Type="http://schemas.openxmlformats.org/officeDocument/2006/relationships/table" Target="../tables/table124.xml"/><Relationship Id="rId27" Type="http://schemas.openxmlformats.org/officeDocument/2006/relationships/table" Target="../tables/table129.xml"/><Relationship Id="rId30" Type="http://schemas.openxmlformats.org/officeDocument/2006/relationships/table" Target="../tables/table132.xml"/><Relationship Id="rId35" Type="http://schemas.openxmlformats.org/officeDocument/2006/relationships/table" Target="../tables/table137.xml"/><Relationship Id="rId43" Type="http://schemas.openxmlformats.org/officeDocument/2006/relationships/table" Target="../tables/table145.xml"/><Relationship Id="rId48" Type="http://schemas.openxmlformats.org/officeDocument/2006/relationships/table" Target="../tables/table150.xml"/><Relationship Id="rId8" Type="http://schemas.openxmlformats.org/officeDocument/2006/relationships/table" Target="../tables/table110.xml"/><Relationship Id="rId3" Type="http://schemas.openxmlformats.org/officeDocument/2006/relationships/table" Target="../tables/table105.xml"/><Relationship Id="rId12" Type="http://schemas.openxmlformats.org/officeDocument/2006/relationships/table" Target="../tables/table114.xml"/><Relationship Id="rId17" Type="http://schemas.openxmlformats.org/officeDocument/2006/relationships/table" Target="../tables/table119.xml"/><Relationship Id="rId25" Type="http://schemas.openxmlformats.org/officeDocument/2006/relationships/table" Target="../tables/table127.xml"/><Relationship Id="rId33" Type="http://schemas.openxmlformats.org/officeDocument/2006/relationships/table" Target="../tables/table135.xml"/><Relationship Id="rId38" Type="http://schemas.openxmlformats.org/officeDocument/2006/relationships/table" Target="../tables/table140.xml"/><Relationship Id="rId46" Type="http://schemas.openxmlformats.org/officeDocument/2006/relationships/table" Target="../tables/table148.xml"/><Relationship Id="rId20" Type="http://schemas.openxmlformats.org/officeDocument/2006/relationships/table" Target="../tables/table122.xml"/><Relationship Id="rId41" Type="http://schemas.openxmlformats.org/officeDocument/2006/relationships/table" Target="../tables/table143.xml"/><Relationship Id="rId1" Type="http://schemas.openxmlformats.org/officeDocument/2006/relationships/printerSettings" Target="../printerSettings/printerSettings13.bin"/><Relationship Id="rId6" Type="http://schemas.openxmlformats.org/officeDocument/2006/relationships/table" Target="../tables/table108.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52.x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table" Target="../tables/table153.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55.xml"/><Relationship Id="rId2" Type="http://schemas.openxmlformats.org/officeDocument/2006/relationships/table" Target="../tables/table154.xml"/><Relationship Id="rId1" Type="http://schemas.openxmlformats.org/officeDocument/2006/relationships/printerSettings" Target="../printerSettings/printerSettings15.bin"/><Relationship Id="rId6" Type="http://schemas.openxmlformats.org/officeDocument/2006/relationships/table" Target="../tables/table158.xml"/><Relationship Id="rId5" Type="http://schemas.openxmlformats.org/officeDocument/2006/relationships/table" Target="../tables/table157.xml"/><Relationship Id="rId4" Type="http://schemas.openxmlformats.org/officeDocument/2006/relationships/table" Target="../tables/table156.xml"/></Relationships>
</file>

<file path=xl/worksheets/_rels/sheet16.xml.rels><?xml version="1.0" encoding="UTF-8" standalone="yes"?>
<Relationships xmlns="http://schemas.openxmlformats.org/package/2006/relationships"><Relationship Id="rId8" Type="http://schemas.openxmlformats.org/officeDocument/2006/relationships/table" Target="../tables/table160.xml"/><Relationship Id="rId13" Type="http://schemas.openxmlformats.org/officeDocument/2006/relationships/table" Target="../tables/table165.xml"/><Relationship Id="rId3" Type="http://schemas.openxmlformats.org/officeDocument/2006/relationships/hyperlink" Target="https://www.epa.gov/system/files/documents/2023-04/US-GHG-Inventory-2023-Main-Text.pdf" TargetMode="External"/><Relationship Id="rId7" Type="http://schemas.openxmlformats.org/officeDocument/2006/relationships/table" Target="../tables/table159.xml"/><Relationship Id="rId12" Type="http://schemas.openxmlformats.org/officeDocument/2006/relationships/table" Target="../tables/table164.xml"/><Relationship Id="rId2" Type="http://schemas.openxmlformats.org/officeDocument/2006/relationships/hyperlink" Target="https://neiwpcc.org/wp-content/uploads/2022/10/NEIWPCC-Sludge-End-Use-Disposal-Estimate-Report_FINAL.pdf" TargetMode="External"/><Relationship Id="rId16" Type="http://schemas.openxmlformats.org/officeDocument/2006/relationships/table" Target="../tables/table168.xml"/><Relationship Id="rId1" Type="http://schemas.openxmlformats.org/officeDocument/2006/relationships/hyperlink" Target="https://neiwpcc.org/wp-content/uploads/2022/10/NEIWPCC-Sludge-End-Use-Disposal-Estimate-Report_FINAL.pdf" TargetMode="External"/><Relationship Id="rId6" Type="http://schemas.openxmlformats.org/officeDocument/2006/relationships/printerSettings" Target="../printerSettings/printerSettings16.bin"/><Relationship Id="rId11" Type="http://schemas.openxmlformats.org/officeDocument/2006/relationships/table" Target="../tables/table163.xml"/><Relationship Id="rId5" Type="http://schemas.openxmlformats.org/officeDocument/2006/relationships/hyperlink" Target="https://www.ipcc-nggip.iges.or.jp/public/2019rf/pdf/5_Volume5/19R_V5_6_Ch06_Wastewater.pdf" TargetMode="External"/><Relationship Id="rId15" Type="http://schemas.openxmlformats.org/officeDocument/2006/relationships/table" Target="../tables/table167.xml"/><Relationship Id="rId10" Type="http://schemas.openxmlformats.org/officeDocument/2006/relationships/table" Target="../tables/table162.xml"/><Relationship Id="rId4" Type="http://schemas.openxmlformats.org/officeDocument/2006/relationships/hyperlink" Target="https://www.ipcc-nggip.iges.or.jp/public/2019rf/pdf/5_Volume5/19R_V5_6_Ch06_Wastewater.pdf" TargetMode="External"/><Relationship Id="rId9" Type="http://schemas.openxmlformats.org/officeDocument/2006/relationships/table" Target="../tables/table161.xml"/><Relationship Id="rId14" Type="http://schemas.openxmlformats.org/officeDocument/2006/relationships/table" Target="../tables/table166.xml"/></Relationships>
</file>

<file path=xl/worksheets/_rels/sheet17.xml.rels><?xml version="1.0" encoding="UTF-8" standalone="yes"?>
<Relationships xmlns="http://schemas.openxmlformats.org/package/2006/relationships"><Relationship Id="rId8" Type="http://schemas.openxmlformats.org/officeDocument/2006/relationships/table" Target="../tables/table174.xml"/><Relationship Id="rId3" Type="http://schemas.openxmlformats.org/officeDocument/2006/relationships/table" Target="../tables/table169.xml"/><Relationship Id="rId7" Type="http://schemas.openxmlformats.org/officeDocument/2006/relationships/table" Target="../tables/table173.xml"/><Relationship Id="rId12" Type="http://schemas.openxmlformats.org/officeDocument/2006/relationships/table" Target="../tables/table178.xml"/><Relationship Id="rId2" Type="http://schemas.openxmlformats.org/officeDocument/2006/relationships/printerSettings" Target="../printerSettings/printerSettings17.bin"/><Relationship Id="rId1" Type="http://schemas.openxmlformats.org/officeDocument/2006/relationships/hyperlink" Target="http://www.ipcc-nggip.iges.or.jp/public/2006gl/pdf/2_Volume2/V2_2_Ch2_Stationary_Combustion.pdf" TargetMode="External"/><Relationship Id="rId6" Type="http://schemas.openxmlformats.org/officeDocument/2006/relationships/table" Target="../tables/table172.xml"/><Relationship Id="rId11" Type="http://schemas.openxmlformats.org/officeDocument/2006/relationships/table" Target="../tables/table177.xml"/><Relationship Id="rId5" Type="http://schemas.openxmlformats.org/officeDocument/2006/relationships/table" Target="../tables/table171.xml"/><Relationship Id="rId10" Type="http://schemas.openxmlformats.org/officeDocument/2006/relationships/table" Target="../tables/table176.xml"/><Relationship Id="rId4" Type="http://schemas.openxmlformats.org/officeDocument/2006/relationships/table" Target="../tables/table170.xml"/><Relationship Id="rId9" Type="http://schemas.openxmlformats.org/officeDocument/2006/relationships/table" Target="../tables/table175.xml"/></Relationships>
</file>

<file path=xl/worksheets/_rels/sheet18.xml.rels><?xml version="1.0" encoding="UTF-8" standalone="yes"?>
<Relationships xmlns="http://schemas.openxmlformats.org/package/2006/relationships"><Relationship Id="rId8" Type="http://schemas.openxmlformats.org/officeDocument/2006/relationships/table" Target="../tables/table182.xml"/><Relationship Id="rId13" Type="http://schemas.openxmlformats.org/officeDocument/2006/relationships/table" Target="../tables/table187.xml"/><Relationship Id="rId18" Type="http://schemas.openxmlformats.org/officeDocument/2006/relationships/table" Target="../tables/table192.xml"/><Relationship Id="rId26" Type="http://schemas.openxmlformats.org/officeDocument/2006/relationships/table" Target="../tables/table200.xml"/><Relationship Id="rId3" Type="http://schemas.openxmlformats.org/officeDocument/2006/relationships/hyperlink" Target="https://www.iso-ne.com/isoexpress/web/reports/load-and-demand/-/tree/net-ener-peak-load" TargetMode="External"/><Relationship Id="rId21" Type="http://schemas.openxmlformats.org/officeDocument/2006/relationships/table" Target="../tables/table195.xml"/><Relationship Id="rId7" Type="http://schemas.openxmlformats.org/officeDocument/2006/relationships/table" Target="../tables/table181.xml"/><Relationship Id="rId12" Type="http://schemas.openxmlformats.org/officeDocument/2006/relationships/table" Target="../tables/table186.xml"/><Relationship Id="rId17" Type="http://schemas.openxmlformats.org/officeDocument/2006/relationships/table" Target="../tables/table191.xml"/><Relationship Id="rId25" Type="http://schemas.openxmlformats.org/officeDocument/2006/relationships/table" Target="../tables/table199.xml"/><Relationship Id="rId2" Type="http://schemas.openxmlformats.org/officeDocument/2006/relationships/hyperlink" Target="http://unfccc.int/national_reports/annex_i_ghg_inventories/national_inventories_submissions/items/8812.php" TargetMode="External"/><Relationship Id="rId16" Type="http://schemas.openxmlformats.org/officeDocument/2006/relationships/table" Target="../tables/table190.xml"/><Relationship Id="rId20" Type="http://schemas.openxmlformats.org/officeDocument/2006/relationships/table" Target="../tables/table194.xml"/><Relationship Id="rId1" Type="http://schemas.openxmlformats.org/officeDocument/2006/relationships/hyperlink" Target="http://www.eia.gov/electricity/data/state/annual_generation_state.xls" TargetMode="External"/><Relationship Id="rId6" Type="http://schemas.openxmlformats.org/officeDocument/2006/relationships/table" Target="../tables/table180.xml"/><Relationship Id="rId11" Type="http://schemas.openxmlformats.org/officeDocument/2006/relationships/table" Target="../tables/table185.xml"/><Relationship Id="rId24" Type="http://schemas.openxmlformats.org/officeDocument/2006/relationships/table" Target="../tables/table198.xml"/><Relationship Id="rId5" Type="http://schemas.openxmlformats.org/officeDocument/2006/relationships/table" Target="../tables/table179.xml"/><Relationship Id="rId15" Type="http://schemas.openxmlformats.org/officeDocument/2006/relationships/table" Target="../tables/table189.xml"/><Relationship Id="rId23" Type="http://schemas.openxmlformats.org/officeDocument/2006/relationships/table" Target="../tables/table197.xml"/><Relationship Id="rId10" Type="http://schemas.openxmlformats.org/officeDocument/2006/relationships/table" Target="../tables/table184.xml"/><Relationship Id="rId19" Type="http://schemas.openxmlformats.org/officeDocument/2006/relationships/table" Target="../tables/table193.xml"/><Relationship Id="rId4" Type="http://schemas.openxmlformats.org/officeDocument/2006/relationships/printerSettings" Target="../printerSettings/printerSettings18.bin"/><Relationship Id="rId9" Type="http://schemas.openxmlformats.org/officeDocument/2006/relationships/table" Target="../tables/table183.xml"/><Relationship Id="rId14" Type="http://schemas.openxmlformats.org/officeDocument/2006/relationships/table" Target="../tables/table188.xml"/><Relationship Id="rId22" Type="http://schemas.openxmlformats.org/officeDocument/2006/relationships/table" Target="../tables/table196.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201.xml"/><Relationship Id="rId2" Type="http://schemas.openxmlformats.org/officeDocument/2006/relationships/drawing" Target="../drawings/drawing13.xml"/><Relationship Id="rId1" Type="http://schemas.openxmlformats.org/officeDocument/2006/relationships/printerSettings" Target="../printerSettings/printerSettings19.bin"/><Relationship Id="rId4" Type="http://schemas.openxmlformats.org/officeDocument/2006/relationships/table" Target="../tables/table20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table" Target="../tables/table207.xml"/><Relationship Id="rId13" Type="http://schemas.openxmlformats.org/officeDocument/2006/relationships/table" Target="../tables/table212.xml"/><Relationship Id="rId18" Type="http://schemas.openxmlformats.org/officeDocument/2006/relationships/table" Target="../tables/table217.xml"/><Relationship Id="rId3" Type="http://schemas.openxmlformats.org/officeDocument/2006/relationships/printerSettings" Target="../printerSettings/printerSettings20.bin"/><Relationship Id="rId7" Type="http://schemas.openxmlformats.org/officeDocument/2006/relationships/table" Target="../tables/table206.xml"/><Relationship Id="rId12" Type="http://schemas.openxmlformats.org/officeDocument/2006/relationships/table" Target="../tables/table211.xml"/><Relationship Id="rId17" Type="http://schemas.openxmlformats.org/officeDocument/2006/relationships/table" Target="../tables/table216.xml"/><Relationship Id="rId2" Type="http://schemas.openxmlformats.org/officeDocument/2006/relationships/hyperlink" Target="https://www.govinfo.gov/content/pkg/CFR-2023-title40-vol23/pdf/CFR-2023-title40-vol23-part98-subpartC-appC-id531.pdf" TargetMode="External"/><Relationship Id="rId16" Type="http://schemas.openxmlformats.org/officeDocument/2006/relationships/table" Target="../tables/table215.xml"/><Relationship Id="rId20" Type="http://schemas.openxmlformats.org/officeDocument/2006/relationships/table" Target="../tables/table219.xml"/><Relationship Id="rId1" Type="http://schemas.openxmlformats.org/officeDocument/2006/relationships/hyperlink" Target="https://www.govinfo.gov/content/pkg/CFR-2023-title40-vol23/pdf/CFR-2023-title40-vol23-part98-subpartC-appC.pdf" TargetMode="External"/><Relationship Id="rId6" Type="http://schemas.openxmlformats.org/officeDocument/2006/relationships/table" Target="../tables/table205.xml"/><Relationship Id="rId11" Type="http://schemas.openxmlformats.org/officeDocument/2006/relationships/table" Target="../tables/table210.xml"/><Relationship Id="rId5" Type="http://schemas.openxmlformats.org/officeDocument/2006/relationships/table" Target="../tables/table204.xml"/><Relationship Id="rId15" Type="http://schemas.openxmlformats.org/officeDocument/2006/relationships/table" Target="../tables/table214.xml"/><Relationship Id="rId10" Type="http://schemas.openxmlformats.org/officeDocument/2006/relationships/table" Target="../tables/table209.xml"/><Relationship Id="rId19" Type="http://schemas.openxmlformats.org/officeDocument/2006/relationships/table" Target="../tables/table218.xml"/><Relationship Id="rId4" Type="http://schemas.openxmlformats.org/officeDocument/2006/relationships/table" Target="../tables/table203.xml"/><Relationship Id="rId9" Type="http://schemas.openxmlformats.org/officeDocument/2006/relationships/table" Target="../tables/table208.xml"/><Relationship Id="rId14" Type="http://schemas.openxmlformats.org/officeDocument/2006/relationships/table" Target="../tables/table213.xml"/></Relationships>
</file>

<file path=xl/worksheets/_rels/sheet21.xml.rels><?xml version="1.0" encoding="UTF-8" standalone="yes"?>
<Relationships xmlns="http://schemas.openxmlformats.org/package/2006/relationships"><Relationship Id="rId3" Type="http://schemas.openxmlformats.org/officeDocument/2006/relationships/hyperlink" Target="https://www.epa.gov/ghgemissions/inventory-us-greenhouse-gas-emissions-and-sinks-1990-2021" TargetMode="External"/><Relationship Id="rId7" Type="http://schemas.openxmlformats.org/officeDocument/2006/relationships/table" Target="../tables/table221.xml"/><Relationship Id="rId2" Type="http://schemas.openxmlformats.org/officeDocument/2006/relationships/hyperlink" Target="https://www.epa.gov/ghgemissions/methodology-report-inventory-us-greenhouse-gas-emissions-and-sinks-state-1990-2022" TargetMode="External"/><Relationship Id="rId1" Type="http://schemas.openxmlformats.org/officeDocument/2006/relationships/hyperlink" Target="https://www.mass.gov/doc/appendices-to-the-clean-energy-and-climate-plan-for-2025-and-2030/download" TargetMode="External"/><Relationship Id="rId6" Type="http://schemas.openxmlformats.org/officeDocument/2006/relationships/table" Target="../tables/table220.xml"/><Relationship Id="rId5" Type="http://schemas.openxmlformats.org/officeDocument/2006/relationships/printerSettings" Target="../printerSettings/printerSettings21.bin"/><Relationship Id="rId4" Type="http://schemas.openxmlformats.org/officeDocument/2006/relationships/hyperlink" Target="https://www.epa.gov/ghgemissions/state-ghg-emissions-and-removal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3.xml"/><Relationship Id="rId5" Type="http://schemas.openxmlformats.org/officeDocument/2006/relationships/table" Target="../tables/table12.xml"/><Relationship Id="rId4" Type="http://schemas.openxmlformats.org/officeDocument/2006/relationships/table" Target="../tables/table11.xml"/></Relationships>
</file>

<file path=xl/worksheets/_rels/sheet6.xml.rels><?xml version="1.0" encoding="UTF-8" standalone="yes"?>
<Relationships xmlns="http://schemas.openxmlformats.org/package/2006/relationships"><Relationship Id="rId8" Type="http://schemas.openxmlformats.org/officeDocument/2006/relationships/table" Target="../tables/table19.xml"/><Relationship Id="rId3" Type="http://schemas.openxmlformats.org/officeDocument/2006/relationships/table" Target="../tables/table14.xml"/><Relationship Id="rId7" Type="http://schemas.openxmlformats.org/officeDocument/2006/relationships/table" Target="../tables/table18.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17.xml"/><Relationship Id="rId11" Type="http://schemas.openxmlformats.org/officeDocument/2006/relationships/table" Target="../tables/table22.xml"/><Relationship Id="rId5" Type="http://schemas.openxmlformats.org/officeDocument/2006/relationships/table" Target="../tables/table16.xml"/><Relationship Id="rId10" Type="http://schemas.openxmlformats.org/officeDocument/2006/relationships/table" Target="../tables/table21.xml"/><Relationship Id="rId4" Type="http://schemas.openxmlformats.org/officeDocument/2006/relationships/table" Target="../tables/table15.xml"/><Relationship Id="rId9" Type="http://schemas.openxmlformats.org/officeDocument/2006/relationships/table" Target="../tables/table20.xml"/></Relationships>
</file>

<file path=xl/worksheets/_rels/sheet7.xml.rels><?xml version="1.0" encoding="UTF-8" standalone="yes"?>
<Relationships xmlns="http://schemas.openxmlformats.org/package/2006/relationships"><Relationship Id="rId8" Type="http://schemas.openxmlformats.org/officeDocument/2006/relationships/table" Target="../tables/table28.xml"/><Relationship Id="rId3" Type="http://schemas.openxmlformats.org/officeDocument/2006/relationships/table" Target="../tables/table23.xml"/><Relationship Id="rId7" Type="http://schemas.openxmlformats.org/officeDocument/2006/relationships/table" Target="../tables/table27.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26.xml"/><Relationship Id="rId5" Type="http://schemas.openxmlformats.org/officeDocument/2006/relationships/table" Target="../tables/table25.xml"/><Relationship Id="rId4" Type="http://schemas.openxmlformats.org/officeDocument/2006/relationships/table" Target="../tables/table24.xml"/></Relationships>
</file>

<file path=xl/worksheets/_rels/sheet8.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34.xml"/><Relationship Id="rId13" Type="http://schemas.openxmlformats.org/officeDocument/2006/relationships/table" Target="../tables/table39.xml"/><Relationship Id="rId3" Type="http://schemas.openxmlformats.org/officeDocument/2006/relationships/drawing" Target="../drawings/drawing8.xml"/><Relationship Id="rId7" Type="http://schemas.openxmlformats.org/officeDocument/2006/relationships/table" Target="../tables/table33.xml"/><Relationship Id="rId12" Type="http://schemas.openxmlformats.org/officeDocument/2006/relationships/table" Target="../tables/table38.xml"/><Relationship Id="rId2" Type="http://schemas.openxmlformats.org/officeDocument/2006/relationships/printerSettings" Target="../printerSettings/printerSettings9.bin"/><Relationship Id="rId1" Type="http://schemas.openxmlformats.org/officeDocument/2006/relationships/hyperlink" Target="https://www.epa.gov/sites/default/files/2015-07/documents/catalog_of_chp_technologies_section_6._technology_characterization_-_fuel_cells.pdf" TargetMode="External"/><Relationship Id="rId6" Type="http://schemas.openxmlformats.org/officeDocument/2006/relationships/table" Target="../tables/table32.xml"/><Relationship Id="rId11" Type="http://schemas.openxmlformats.org/officeDocument/2006/relationships/table" Target="../tables/table37.xml"/><Relationship Id="rId5" Type="http://schemas.openxmlformats.org/officeDocument/2006/relationships/table" Target="../tables/table31.xml"/><Relationship Id="rId10" Type="http://schemas.openxmlformats.org/officeDocument/2006/relationships/table" Target="../tables/table36.xml"/><Relationship Id="rId4" Type="http://schemas.openxmlformats.org/officeDocument/2006/relationships/table" Target="../tables/table30.xml"/><Relationship Id="rId9" Type="http://schemas.openxmlformats.org/officeDocument/2006/relationships/table" Target="../tables/table35.xml"/><Relationship Id="rId14" Type="http://schemas.openxmlformats.org/officeDocument/2006/relationships/table" Target="../tables/table4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056D2-7DC5-4919-909D-E91D76C71541}">
  <sheetPr>
    <pageSetUpPr fitToPage="1"/>
  </sheetPr>
  <dimension ref="A1:BC59"/>
  <sheetViews>
    <sheetView tabSelected="1" zoomScale="113" zoomScaleNormal="100" workbookViewId="0"/>
  </sheetViews>
  <sheetFormatPr defaultColWidth="8.7265625" defaultRowHeight="16" x14ac:dyDescent="0.4"/>
  <cols>
    <col min="1" max="1" width="89" style="3" bestFit="1" customWidth="1"/>
    <col min="2" max="2" width="92.453125" style="3" customWidth="1"/>
    <col min="3" max="6" width="10.453125" style="3" customWidth="1"/>
    <col min="7" max="17" width="8.7265625" style="3"/>
    <col min="18" max="18" width="12" style="3" bestFit="1" customWidth="1"/>
    <col min="19" max="16384" width="8.7265625" style="3"/>
  </cols>
  <sheetData>
    <row r="1" spans="1:55" ht="21" x14ac:dyDescent="0.5">
      <c r="A1" s="401" t="s">
        <v>1169</v>
      </c>
    </row>
    <row r="2" spans="1:55" s="1324" customFormat="1" x14ac:dyDescent="0.4">
      <c r="A2" s="1183" t="s">
        <v>1277</v>
      </c>
      <c r="B2" s="1337"/>
      <c r="C2" s="1367"/>
    </row>
    <row r="3" spans="1:55" x14ac:dyDescent="0.4">
      <c r="A3" s="1341" t="s">
        <v>1166</v>
      </c>
      <c r="B3" s="1312"/>
      <c r="C3" s="1312"/>
    </row>
    <row r="4" spans="1:55" x14ac:dyDescent="0.4">
      <c r="A4" s="1401" t="s">
        <v>1294</v>
      </c>
      <c r="B4" s="1312"/>
      <c r="C4" s="1312"/>
    </row>
    <row r="5" spans="1:55" x14ac:dyDescent="0.4">
      <c r="A5" s="1322" t="s">
        <v>1157</v>
      </c>
      <c r="B5" s="1182"/>
      <c r="C5" s="1182"/>
    </row>
    <row r="6" spans="1:55" x14ac:dyDescent="0.4">
      <c r="A6" s="1401" t="s">
        <v>1289</v>
      </c>
      <c r="B6" s="1182"/>
      <c r="C6" s="1182"/>
    </row>
    <row r="7" spans="1:55" x14ac:dyDescent="0.4">
      <c r="A7" s="1330" t="s">
        <v>1158</v>
      </c>
      <c r="B7" s="1182"/>
      <c r="C7" s="1182"/>
    </row>
    <row r="8" spans="1:55" x14ac:dyDescent="0.4">
      <c r="A8" s="1401" t="s">
        <v>1392</v>
      </c>
      <c r="B8" s="1182"/>
      <c r="C8" s="1182"/>
    </row>
    <row r="9" spans="1:55" x14ac:dyDescent="0.4">
      <c r="A9" s="1323"/>
      <c r="B9" s="1182"/>
      <c r="C9" s="1182"/>
    </row>
    <row r="10" spans="1:55" x14ac:dyDescent="0.4">
      <c r="A10" s="42" t="s">
        <v>1120</v>
      </c>
      <c r="B10" s="1162"/>
      <c r="C10" s="1162"/>
    </row>
    <row r="11" spans="1:55" s="1182" customFormat="1" x14ac:dyDescent="0.4">
      <c r="A11" s="42" t="s">
        <v>1119</v>
      </c>
      <c r="B11" s="1183" t="s">
        <v>1118</v>
      </c>
      <c r="C11" s="1183"/>
    </row>
    <row r="12" spans="1:55" x14ac:dyDescent="0.4">
      <c r="A12" s="1324" t="s">
        <v>1164</v>
      </c>
      <c r="B12" s="1012" t="s">
        <v>731</v>
      </c>
      <c r="C12" s="1012"/>
      <c r="D12"/>
    </row>
    <row r="13" spans="1:55" x14ac:dyDescent="0.4">
      <c r="A13" s="1389" t="s">
        <v>1116</v>
      </c>
      <c r="B13" s="5" t="s">
        <v>1117</v>
      </c>
      <c r="C13" s="5"/>
      <c r="D13"/>
    </row>
    <row r="14" spans="1:55" x14ac:dyDescent="0.4">
      <c r="A14" s="1389" t="s">
        <v>1113</v>
      </c>
      <c r="B14" s="5" t="s">
        <v>1112</v>
      </c>
      <c r="C14" s="5"/>
      <c r="D14" s="265"/>
      <c r="E14" s="265"/>
      <c r="F14" s="265"/>
      <c r="BC14" s="11"/>
    </row>
    <row r="15" spans="1:55" x14ac:dyDescent="0.4">
      <c r="A15" s="1324" t="s">
        <v>1165</v>
      </c>
      <c r="B15" s="1012" t="s">
        <v>753</v>
      </c>
      <c r="C15" s="1012"/>
      <c r="D15" s="265"/>
      <c r="E15" s="265"/>
      <c r="F15" s="265"/>
      <c r="BC15" s="11"/>
    </row>
    <row r="16" spans="1:55" x14ac:dyDescent="0.4">
      <c r="A16" s="1182" t="s">
        <v>759</v>
      </c>
      <c r="B16" s="1012" t="s">
        <v>746</v>
      </c>
      <c r="C16" s="1012"/>
      <c r="D16" s="265"/>
      <c r="E16" s="265"/>
      <c r="F16" s="265"/>
      <c r="BC16" s="11"/>
    </row>
    <row r="17" spans="1:55" x14ac:dyDescent="0.4">
      <c r="A17" s="1182" t="s">
        <v>756</v>
      </c>
      <c r="B17" s="1012" t="s">
        <v>758</v>
      </c>
      <c r="C17" s="1012"/>
      <c r="D17" s="265"/>
      <c r="E17" s="265"/>
      <c r="F17" s="265"/>
      <c r="BC17" s="11"/>
    </row>
    <row r="18" spans="1:55" x14ac:dyDescent="0.4">
      <c r="A18" s="1182" t="s">
        <v>755</v>
      </c>
      <c r="B18" s="5" t="s">
        <v>757</v>
      </c>
      <c r="C18" s="5"/>
      <c r="E18" s="265"/>
      <c r="F18" s="265"/>
      <c r="BC18" s="11"/>
    </row>
    <row r="19" spans="1:55" x14ac:dyDescent="0.4">
      <c r="A19" s="1324" t="s">
        <v>1111</v>
      </c>
      <c r="B19" s="5"/>
      <c r="C19" s="5"/>
      <c r="E19" s="265"/>
      <c r="F19" s="265"/>
      <c r="BC19" s="11"/>
    </row>
    <row r="20" spans="1:55" x14ac:dyDescent="0.4">
      <c r="A20" s="1182"/>
      <c r="B20" s="5"/>
      <c r="C20" s="5"/>
      <c r="E20" s="265"/>
      <c r="F20" s="265"/>
      <c r="BC20" s="11"/>
    </row>
    <row r="21" spans="1:55" x14ac:dyDescent="0.4">
      <c r="A21" s="42" t="s">
        <v>1114</v>
      </c>
      <c r="B21" s="265"/>
      <c r="C21" s="265"/>
      <c r="E21" s="265"/>
      <c r="F21" s="265"/>
      <c r="BC21" s="11"/>
    </row>
    <row r="22" spans="1:55" x14ac:dyDescent="0.4">
      <c r="A22" s="42" t="s">
        <v>1002</v>
      </c>
      <c r="B22" s="42" t="s">
        <v>688</v>
      </c>
      <c r="C22" s="42"/>
    </row>
    <row r="23" spans="1:55" x14ac:dyDescent="0.4">
      <c r="A23" s="5" t="s">
        <v>969</v>
      </c>
      <c r="B23" s="1320" t="s">
        <v>1098</v>
      </c>
      <c r="C23" s="1320"/>
    </row>
    <row r="24" spans="1:55" x14ac:dyDescent="0.4">
      <c r="A24" s="5" t="s">
        <v>947</v>
      </c>
      <c r="B24" s="1320" t="s">
        <v>1099</v>
      </c>
      <c r="C24" s="1320"/>
    </row>
    <row r="25" spans="1:55" x14ac:dyDescent="0.4">
      <c r="A25" s="5" t="s">
        <v>732</v>
      </c>
      <c r="B25" s="1182" t="s">
        <v>1060</v>
      </c>
      <c r="C25" s="1182"/>
    </row>
    <row r="26" spans="1:55" x14ac:dyDescent="0.4">
      <c r="A26" s="5" t="s">
        <v>733</v>
      </c>
      <c r="B26" s="1182" t="s">
        <v>1060</v>
      </c>
      <c r="C26" s="1182"/>
    </row>
    <row r="27" spans="1:55" x14ac:dyDescent="0.4">
      <c r="A27" s="5" t="s">
        <v>734</v>
      </c>
      <c r="B27" s="1182" t="s">
        <v>1060</v>
      </c>
      <c r="C27" s="1182"/>
    </row>
    <row r="28" spans="1:55" x14ac:dyDescent="0.4">
      <c r="A28" s="5" t="s">
        <v>735</v>
      </c>
      <c r="B28" s="1182" t="s">
        <v>1060</v>
      </c>
      <c r="C28" s="1182"/>
    </row>
    <row r="29" spans="1:55" x14ac:dyDescent="0.4">
      <c r="A29" s="5" t="s">
        <v>736</v>
      </c>
      <c r="B29" s="1182" t="s">
        <v>760</v>
      </c>
      <c r="C29" s="1182"/>
    </row>
    <row r="30" spans="1:55" x14ac:dyDescent="0.4">
      <c r="A30" s="5" t="s">
        <v>737</v>
      </c>
      <c r="B30" s="1182" t="s">
        <v>1061</v>
      </c>
      <c r="C30" s="1182"/>
    </row>
    <row r="31" spans="1:55" x14ac:dyDescent="0.4">
      <c r="A31" s="5" t="s">
        <v>738</v>
      </c>
      <c r="B31" s="1182" t="s">
        <v>1061</v>
      </c>
      <c r="C31" s="1182"/>
    </row>
    <row r="32" spans="1:55" x14ac:dyDescent="0.4">
      <c r="A32" s="762" t="s">
        <v>739</v>
      </c>
      <c r="B32" s="1182" t="s">
        <v>761</v>
      </c>
      <c r="C32" s="1182"/>
    </row>
    <row r="33" spans="1:3" x14ac:dyDescent="0.4">
      <c r="A33" s="5" t="s">
        <v>945</v>
      </c>
      <c r="B33" s="1324" t="s">
        <v>1163</v>
      </c>
      <c r="C33" s="1255"/>
    </row>
    <row r="34" spans="1:3" x14ac:dyDescent="0.4">
      <c r="A34" s="5" t="s">
        <v>946</v>
      </c>
      <c r="B34" s="1324" t="s">
        <v>1162</v>
      </c>
      <c r="C34" s="1182"/>
    </row>
    <row r="35" spans="1:3" x14ac:dyDescent="0.4">
      <c r="A35" s="5" t="s">
        <v>740</v>
      </c>
      <c r="B35" s="1182" t="s">
        <v>1062</v>
      </c>
      <c r="C35" s="1182"/>
    </row>
    <row r="36" spans="1:3" x14ac:dyDescent="0.4">
      <c r="A36" s="5" t="s">
        <v>741</v>
      </c>
      <c r="B36" s="1182" t="s">
        <v>762</v>
      </c>
      <c r="C36" s="1182"/>
    </row>
    <row r="37" spans="1:3" x14ac:dyDescent="0.4">
      <c r="A37" s="5" t="s">
        <v>742</v>
      </c>
      <c r="B37" s="1182" t="s">
        <v>763</v>
      </c>
      <c r="C37" s="1182"/>
    </row>
    <row r="38" spans="1:3" x14ac:dyDescent="0.4">
      <c r="A38" s="5" t="s">
        <v>743</v>
      </c>
      <c r="B38" s="1182" t="s">
        <v>763</v>
      </c>
      <c r="C38" s="1182"/>
    </row>
    <row r="39" spans="1:3" x14ac:dyDescent="0.4">
      <c r="A39" s="5" t="s">
        <v>948</v>
      </c>
      <c r="B39" s="1255" t="s">
        <v>841</v>
      </c>
      <c r="C39" s="1255"/>
    </row>
    <row r="40" spans="1:3" x14ac:dyDescent="0.4">
      <c r="A40" s="5" t="s">
        <v>744</v>
      </c>
      <c r="B40" s="1182" t="s">
        <v>1060</v>
      </c>
      <c r="C40" s="1182"/>
    </row>
    <row r="41" spans="1:3" x14ac:dyDescent="0.4">
      <c r="A41" s="5" t="s">
        <v>745</v>
      </c>
      <c r="B41" s="1182" t="s">
        <v>763</v>
      </c>
      <c r="C41" s="1182"/>
    </row>
    <row r="42" spans="1:3" x14ac:dyDescent="0.4">
      <c r="A42" s="5" t="s">
        <v>972</v>
      </c>
      <c r="B42" s="1182" t="s">
        <v>761</v>
      </c>
      <c r="C42" s="1182"/>
    </row>
    <row r="43" spans="1:3" x14ac:dyDescent="0.4">
      <c r="A43" s="1325" t="s">
        <v>1111</v>
      </c>
      <c r="B43" s="1324"/>
      <c r="C43" s="1324"/>
    </row>
    <row r="44" spans="1:3" x14ac:dyDescent="0.4">
      <c r="A44" s="12"/>
    </row>
    <row r="45" spans="1:3" x14ac:dyDescent="0.4">
      <c r="A45" s="108" t="s">
        <v>1161</v>
      </c>
    </row>
    <row r="46" spans="1:3" x14ac:dyDescent="0.4">
      <c r="A46" s="42" t="s">
        <v>942</v>
      </c>
      <c r="B46" s="112" t="s">
        <v>1109</v>
      </c>
      <c r="C46" s="112"/>
    </row>
    <row r="47" spans="1:3" x14ac:dyDescent="0.4">
      <c r="A47" s="1320" t="s">
        <v>1104</v>
      </c>
      <c r="B47" s="1386" t="s">
        <v>1266</v>
      </c>
      <c r="C47" s="1329"/>
    </row>
    <row r="48" spans="1:3" x14ac:dyDescent="0.4">
      <c r="A48" s="3" t="s">
        <v>910</v>
      </c>
      <c r="B48" s="1327" t="s">
        <v>1115</v>
      </c>
      <c r="C48" s="1327"/>
    </row>
    <row r="49" spans="1:3" x14ac:dyDescent="0.4">
      <c r="A49" s="1292" t="s">
        <v>1000</v>
      </c>
      <c r="B49" s="1327" t="s">
        <v>1134</v>
      </c>
      <c r="C49" s="1327"/>
    </row>
    <row r="50" spans="1:3" ht="32" x14ac:dyDescent="0.4">
      <c r="A50" s="1292" t="s">
        <v>1001</v>
      </c>
      <c r="B50" s="1327" t="s">
        <v>1135</v>
      </c>
      <c r="C50" s="1327"/>
    </row>
    <row r="51" spans="1:3" ht="32" x14ac:dyDescent="0.4">
      <c r="A51" s="1320" t="s">
        <v>1105</v>
      </c>
      <c r="B51" s="1328" t="s">
        <v>1110</v>
      </c>
      <c r="C51" s="1328"/>
    </row>
    <row r="52" spans="1:3" ht="64" x14ac:dyDescent="0.4">
      <c r="A52" s="1403" t="s">
        <v>1426</v>
      </c>
      <c r="B52" s="1402" t="s">
        <v>1290</v>
      </c>
      <c r="C52" s="1327"/>
    </row>
    <row r="53" spans="1:3" ht="32" x14ac:dyDescent="0.4">
      <c r="A53" s="1324" t="s">
        <v>1136</v>
      </c>
      <c r="B53" s="1402" t="s">
        <v>1291</v>
      </c>
      <c r="C53" s="1327"/>
    </row>
    <row r="54" spans="1:3" ht="32" x14ac:dyDescent="0.4">
      <c r="A54" s="1276" t="s">
        <v>1071</v>
      </c>
      <c r="B54" s="1402" t="s">
        <v>1402</v>
      </c>
      <c r="C54" s="1328"/>
    </row>
    <row r="55" spans="1:3" ht="48" x14ac:dyDescent="0.4">
      <c r="A55" s="1108" t="s">
        <v>1066</v>
      </c>
      <c r="B55" s="1402" t="s">
        <v>1292</v>
      </c>
      <c r="C55" s="1328"/>
    </row>
    <row r="56" spans="1:3" x14ac:dyDescent="0.4">
      <c r="A56" s="1324" t="s">
        <v>1111</v>
      </c>
      <c r="B56" s="1327"/>
      <c r="C56" s="1327"/>
    </row>
    <row r="57" spans="1:3" x14ac:dyDescent="0.4">
      <c r="A57" s="1108"/>
    </row>
    <row r="58" spans="1:3" x14ac:dyDescent="0.4">
      <c r="A58" s="395" t="s">
        <v>1064</v>
      </c>
    </row>
    <row r="59" spans="1:3" x14ac:dyDescent="0.4">
      <c r="A59" s="1182"/>
    </row>
  </sheetData>
  <hyperlinks>
    <hyperlink ref="A37" location="Wastewater!A1" display="Wastewater" xr:uid="{9619F2A7-2B51-418F-8080-B13DB3725AB4}"/>
    <hyperlink ref="A28" location="'Sector Sublimits'!A1" display="Sector Sublimits" xr:uid="{2FF87742-6AF6-49CC-9764-DA39B4D3C8D1}"/>
    <hyperlink ref="A42" location="'Natural and Working Lands'!A1" display="Natural and Working Lands Worksheet" xr:uid="{5E380D8C-62D6-44DF-AB49-EBF07BE96137}"/>
    <hyperlink ref="A24" location="'1990-2023 Sector Charts'!A1" display="1990-2023 Sector Charts Worksheet" xr:uid="{D82F8ADD-9575-417B-9CB2-F5254BFAC0E4}"/>
    <hyperlink ref="A25" location="Summary!A1" display="Summary" xr:uid="{7FD50622-720E-4354-BF16-7CEEA57EF526}"/>
    <hyperlink ref="A27" location="'Summary by Gas'!A1" display="Summary by Gas" xr:uid="{7A5C4A8C-62F9-499B-AAB2-772EA3DBE0E5}"/>
    <hyperlink ref="A29" location="Process!A1" display="Process" xr:uid="{D4B46C68-1871-43AE-9273-CB7426C44AA7}"/>
    <hyperlink ref="A30" location="'Combustion CO2'!A1" display="Combustion CO2" xr:uid="{CA24516E-AC71-41AA-B7DB-6801A8AA8880}"/>
    <hyperlink ref="A31" location="'Stationary CH4 and N2O'!A1" display="Stationary CH4 and N2O Worksheet" xr:uid="{0A11A801-1D85-461B-BF65-914BDD63C537}"/>
    <hyperlink ref="A40" location="'Biogenic Summary'!A1" display="Biogenic Summary" xr:uid="{A71E77B0-BF48-41B3-AE60-9F597602A0E5}"/>
    <hyperlink ref="A36" location="Agriculture!A1" display="Agriculture" xr:uid="{B2CAE19F-68B8-4F0D-96B7-2C5800E4675E}"/>
    <hyperlink ref="A26" location="'Adjustable GWP Summary'!A1" display="Adjustable GWP Summary" xr:uid="{AF225A6A-A43A-4ABF-AE81-87D23E028E27}"/>
    <hyperlink ref="B12" r:id="rId1" location="greenhouse-gas-baseline-&amp;-inventory-" xr:uid="{63963C3E-6517-4DE4-B6B1-DF567DF9AAB2}"/>
    <hyperlink ref="A32" location="'Mobile CH4 and N2O'!A1" display="Mobile CH4 and N2O Worksheet" xr:uid="{3AD47F76-FB73-4CA5-89F5-D9EFCCC61178}"/>
    <hyperlink ref="A35" location="'Industrial Process'!A1" display="Industrial Process" xr:uid="{CC26FD48-F4FC-4606-B7DA-ECBC460C4D51}"/>
    <hyperlink ref="A38" location="'Solid Waste'!A1" display="Solid Waste" xr:uid="{F230D90A-C0B8-47AF-9AEF-17C76EC3EE69}"/>
    <hyperlink ref="A39" location="'Electricity Imports'!A1" display="Electricity Imports Worksheet" xr:uid="{43BD53CB-072F-4895-A4D0-991A6DE03B03}"/>
    <hyperlink ref="A41" location="'Biogenic Combustion'!A1" display="Biogenic Combustion" xr:uid="{69900A11-4912-4FCB-9AC5-FB5C858C4A92}"/>
    <hyperlink ref="A33" location="'NG Sum Distribution PostMeter'!A1" display="NG Sum Distribution PostMeter Worksheet" xr:uid="{7B9EB2F0-02AD-407B-9A66-CD87C81B81FB}"/>
    <hyperlink ref="A34" location="'NG Transmission Storage'!A1" display="NG Transmission Storage Worksheet" xr:uid="{849F37D4-06E4-4A26-A476-91367A482E0B}"/>
    <hyperlink ref="A23" location="'MA 1990-2023 Total Chart'!A1" display="MA 1990-2023 Total Chart Worksheet" xr:uid="{9CB405F6-72C5-4831-88AF-4467690B32F7}"/>
    <hyperlink ref="B16" r:id="rId2" display="https://www.mass.gov/doc/2025-and-2030-ghg-emissions-limit-letter-of-determination/download" xr:uid="{6B035E63-47A2-4502-AA89-8E4AB9FA8E01}"/>
    <hyperlink ref="B17" r:id="rId3" display="https://www.mass.gov/doc/clean-energy-and-climate-plan-for-2025-and-2030/download" xr:uid="{9DEE1E7F-FC86-425D-B6AC-3E60070A1A95}"/>
    <hyperlink ref="B15" r:id="rId4" display="https://www.mass.gov/doc/statement-of-compliance-with-2020-greenhouse-gas-emissions-limit/download?_gl=1*ydbimt*_ga*NDY4MzY4NjgyLjE3NzM0MTI4NTg.*_ga_MCLPEGW7WM*czE3NzM2NzYyNzkkbzEkZzEkdDE3NzM2NzY0NzMkajYwJGwwJGgw&amp;_ga=2.132773134.18170839.1773667952-468368682.1773412858" xr:uid="{49F003AB-71B8-4C00-95EA-F5930C6897CA}"/>
    <hyperlink ref="B18" r:id="rId5" display="https://www.mass.gov/doc/2050-clean-energy-and-climate-plan/download" xr:uid="{6369AFFE-CF4A-4202-BFE3-5EE0571B2F12}"/>
    <hyperlink ref="B14" r:id="rId6" display="https://www.mass.gov/report/2025-massachusetts-climate-report-card?_ga=2.60243885.1098243606.1774884604-519638264.1774621606&amp;_gl=1*1ixieju*_ga*NTE5NjM4MjY0LjE3NzQ2MjE2MDY.*_ga_MCLPEGW7WM*czE3NzUwNTk0NDAkbzMkZzEkdDE3NzUwNTk0NDEkajU5JGwwJGgw" xr:uid="{86D9DF11-59AC-4205-8206-E8565A9F5710}"/>
    <hyperlink ref="B13" r:id="rId7" display="https://www.mass.gov/info-details/massachusetts-clean-energy-and-climate-metrics" xr:uid="{B3D15523-B933-4182-A0D3-9D42983DF500}"/>
  </hyperlinks>
  <pageMargins left="0.7" right="0.7" top="0.75" bottom="0.75" header="0.3" footer="0.3"/>
  <pageSetup scale="34" orientation="portrait" r:id="rId8"/>
  <headerFooter>
    <oddFooter>&amp;L&amp;F&amp;A&amp;R&amp;P of &amp;N</oddFooter>
  </headerFooter>
  <tableParts count="3">
    <tablePart r:id="rId9"/>
    <tablePart r:id="rId10"/>
    <tablePart r:id="rId1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AR180"/>
  <sheetViews>
    <sheetView zoomScaleNormal="100" workbookViewId="0"/>
  </sheetViews>
  <sheetFormatPr defaultColWidth="8.81640625" defaultRowHeight="16" x14ac:dyDescent="0.4"/>
  <cols>
    <col min="1" max="1" width="63.54296875" style="3" customWidth="1"/>
    <col min="2" max="2" width="15.1796875" style="3" customWidth="1"/>
    <col min="3" max="3" width="14.1796875" style="3" customWidth="1"/>
    <col min="4" max="4" width="15.26953125" style="3" customWidth="1"/>
    <col min="5" max="27" width="9.26953125" style="3" bestFit="1" customWidth="1"/>
    <col min="28" max="28" width="9.54296875" style="3" bestFit="1" customWidth="1"/>
    <col min="29" max="35" width="9.26953125" style="3" bestFit="1" customWidth="1"/>
    <col min="36" max="36" width="8.81640625" style="3" bestFit="1" customWidth="1"/>
    <col min="37" max="16384" width="8.81640625" style="3"/>
  </cols>
  <sheetData>
    <row r="1" spans="1:22" ht="24" x14ac:dyDescent="0.65">
      <c r="A1" s="332" t="s">
        <v>1032</v>
      </c>
      <c r="B1" s="28"/>
      <c r="C1" s="28"/>
      <c r="D1" s="28"/>
      <c r="E1" s="108"/>
      <c r="F1" s="28"/>
      <c r="G1" s="28"/>
      <c r="H1" s="28"/>
      <c r="I1" s="28"/>
      <c r="J1" s="27"/>
      <c r="L1" s="116"/>
      <c r="M1" s="28"/>
      <c r="N1" s="117"/>
      <c r="O1" s="108"/>
      <c r="P1" s="118"/>
      <c r="Q1" s="28"/>
      <c r="R1" s="28"/>
      <c r="S1" s="28"/>
      <c r="T1" s="28"/>
      <c r="U1" s="108"/>
      <c r="V1" s="28"/>
    </row>
    <row r="2" spans="1:22" x14ac:dyDescent="0.4">
      <c r="A2" s="1011" t="s">
        <v>730</v>
      </c>
      <c r="B2" s="28"/>
      <c r="C2" s="28"/>
      <c r="D2" s="28"/>
      <c r="E2" s="108"/>
      <c r="F2" s="28"/>
      <c r="G2" s="28"/>
      <c r="H2" s="28"/>
      <c r="I2" s="28"/>
      <c r="J2" s="27"/>
      <c r="L2" s="116"/>
      <c r="M2" s="28"/>
      <c r="N2" s="117"/>
      <c r="O2" s="108"/>
      <c r="P2" s="118"/>
      <c r="Q2" s="28"/>
      <c r="R2" s="28"/>
      <c r="S2" s="28"/>
      <c r="T2" s="28"/>
      <c r="U2" s="108"/>
      <c r="V2" s="28"/>
    </row>
    <row r="3" spans="1:22" x14ac:dyDescent="0.4">
      <c r="A3" s="1265" t="s">
        <v>754</v>
      </c>
      <c r="B3" s="28"/>
      <c r="C3" s="28"/>
      <c r="D3" s="28"/>
      <c r="E3" s="108"/>
      <c r="F3" s="28"/>
      <c r="G3" s="28"/>
      <c r="H3" s="28"/>
      <c r="I3" s="28"/>
      <c r="J3" s="27"/>
      <c r="L3" s="116"/>
      <c r="M3" s="28"/>
      <c r="N3" s="117"/>
      <c r="O3" s="108"/>
      <c r="P3" s="118"/>
      <c r="Q3" s="28"/>
      <c r="R3" s="28"/>
      <c r="S3" s="28"/>
      <c r="T3" s="28"/>
      <c r="U3" s="108"/>
      <c r="V3" s="28"/>
    </row>
    <row r="4" spans="1:22" x14ac:dyDescent="0.4">
      <c r="A4" s="1052"/>
      <c r="B4" s="28"/>
      <c r="C4" s="28"/>
      <c r="D4" s="28"/>
      <c r="E4" s="108"/>
      <c r="F4" s="28"/>
      <c r="G4" s="28"/>
      <c r="H4" s="28"/>
      <c r="I4" s="28"/>
      <c r="J4" s="27"/>
      <c r="L4" s="116"/>
      <c r="M4" s="28"/>
      <c r="N4" s="117"/>
      <c r="O4" s="108"/>
      <c r="P4" s="118"/>
      <c r="Q4" s="28"/>
      <c r="R4" s="28"/>
      <c r="S4" s="28"/>
      <c r="T4" s="28"/>
      <c r="U4" s="108"/>
      <c r="V4" s="28"/>
    </row>
    <row r="5" spans="1:22" x14ac:dyDescent="0.4">
      <c r="A5" s="108" t="s">
        <v>1431</v>
      </c>
      <c r="B5" s="28"/>
      <c r="C5" s="28"/>
      <c r="D5" s="28"/>
      <c r="E5" s="108"/>
      <c r="F5" s="28"/>
      <c r="G5" s="28"/>
      <c r="H5" s="28"/>
      <c r="I5" s="28"/>
      <c r="J5" s="27"/>
      <c r="L5" s="116"/>
      <c r="M5" s="28"/>
      <c r="N5" s="117"/>
      <c r="O5" s="108"/>
      <c r="P5" s="118"/>
      <c r="Q5" s="28"/>
      <c r="R5" s="28"/>
      <c r="S5" s="28"/>
      <c r="T5" s="28"/>
      <c r="U5" s="108"/>
      <c r="V5" s="28"/>
    </row>
    <row r="6" spans="1:22" ht="17" x14ac:dyDescent="0.4">
      <c r="A6" s="1308" t="s">
        <v>1033</v>
      </c>
      <c r="B6" s="28"/>
      <c r="C6" s="28"/>
      <c r="D6" s="28"/>
      <c r="E6" s="108"/>
      <c r="F6" s="28"/>
      <c r="G6" s="28"/>
      <c r="H6" s="28"/>
      <c r="I6" s="28"/>
      <c r="J6" s="27"/>
      <c r="L6" s="116"/>
      <c r="M6" s="28"/>
      <c r="N6" s="117"/>
      <c r="O6" s="108"/>
      <c r="P6" s="118"/>
      <c r="Q6" s="28"/>
      <c r="R6" s="28"/>
      <c r="S6" s="28"/>
      <c r="T6" s="28"/>
      <c r="U6" s="108"/>
      <c r="V6" s="28"/>
    </row>
    <row r="7" spans="1:22" ht="17" x14ac:dyDescent="0.4">
      <c r="A7" s="1308" t="s">
        <v>1100</v>
      </c>
      <c r="B7" s="28"/>
      <c r="C7" s="28"/>
      <c r="D7" s="28"/>
      <c r="E7" s="108"/>
      <c r="F7" s="28"/>
      <c r="G7" s="28"/>
      <c r="H7" s="28"/>
      <c r="I7" s="28"/>
      <c r="J7" s="27"/>
      <c r="L7" s="116"/>
      <c r="M7" s="28"/>
      <c r="N7" s="117"/>
      <c r="O7" s="108"/>
      <c r="P7" s="118"/>
      <c r="Q7" s="28"/>
      <c r="R7" s="28"/>
      <c r="S7" s="28"/>
      <c r="T7" s="28"/>
      <c r="U7" s="108"/>
      <c r="V7" s="28"/>
    </row>
    <row r="8" spans="1:22" x14ac:dyDescent="0.4">
      <c r="A8" s="1308" t="s">
        <v>1101</v>
      </c>
      <c r="B8" s="28"/>
      <c r="C8" s="28"/>
      <c r="D8" s="28"/>
      <c r="E8" s="108"/>
      <c r="F8" s="28"/>
      <c r="G8" s="28"/>
      <c r="H8" s="28"/>
      <c r="I8" s="28"/>
      <c r="J8" s="27"/>
      <c r="L8" s="116"/>
      <c r="M8" s="28"/>
      <c r="N8" s="117"/>
      <c r="O8" s="108"/>
      <c r="P8" s="118"/>
      <c r="Q8" s="28"/>
      <c r="R8" s="28"/>
      <c r="S8" s="28"/>
      <c r="T8" s="28"/>
      <c r="U8" s="108"/>
      <c r="V8" s="28"/>
    </row>
    <row r="9" spans="1:22" x14ac:dyDescent="0.4">
      <c r="A9" s="1308"/>
      <c r="B9" s="28"/>
      <c r="C9" s="28"/>
      <c r="D9" s="28"/>
      <c r="E9" s="108"/>
      <c r="F9" s="28"/>
      <c r="G9" s="28"/>
      <c r="H9" s="28"/>
      <c r="I9" s="28"/>
      <c r="J9" s="27"/>
      <c r="L9" s="116"/>
      <c r="M9" s="28"/>
      <c r="N9" s="117"/>
      <c r="O9" s="108"/>
      <c r="P9" s="118"/>
      <c r="Q9" s="28"/>
      <c r="R9" s="28"/>
      <c r="S9" s="28"/>
      <c r="T9" s="28"/>
      <c r="U9" s="108"/>
      <c r="V9" s="28"/>
    </row>
    <row r="10" spans="1:22" x14ac:dyDescent="0.4">
      <c r="A10" s="1308"/>
      <c r="B10" s="28"/>
      <c r="C10" s="28"/>
      <c r="D10" s="28"/>
      <c r="E10" s="108"/>
      <c r="F10" s="28"/>
      <c r="G10" s="28"/>
      <c r="H10" s="28"/>
      <c r="I10" s="28"/>
      <c r="J10" s="27"/>
      <c r="L10" s="116"/>
      <c r="M10" s="28"/>
      <c r="N10" s="117"/>
      <c r="O10" s="108"/>
      <c r="P10" s="118"/>
      <c r="Q10" s="28"/>
      <c r="R10" s="28"/>
      <c r="S10" s="28"/>
      <c r="T10" s="28"/>
      <c r="U10" s="108"/>
      <c r="V10" s="28"/>
    </row>
    <row r="11" spans="1:22" x14ac:dyDescent="0.4">
      <c r="A11" s="1308"/>
      <c r="B11" s="28"/>
      <c r="C11" s="28"/>
      <c r="D11" s="28"/>
      <c r="E11" s="108"/>
      <c r="F11" s="28"/>
      <c r="G11" s="28"/>
      <c r="H11" s="28"/>
      <c r="I11" s="28"/>
      <c r="J11" s="27"/>
      <c r="L11" s="116"/>
      <c r="M11" s="28"/>
      <c r="N11" s="117"/>
      <c r="O11" s="108"/>
      <c r="P11" s="118"/>
      <c r="Q11" s="28"/>
      <c r="R11" s="28"/>
      <c r="S11" s="28"/>
      <c r="T11" s="28"/>
      <c r="U11" s="108"/>
      <c r="V11" s="28"/>
    </row>
    <row r="12" spans="1:22" x14ac:dyDescent="0.4">
      <c r="A12" s="1308"/>
      <c r="B12" s="28"/>
      <c r="C12" s="28"/>
      <c r="D12" s="28"/>
      <c r="E12" s="108"/>
      <c r="F12" s="28"/>
      <c r="G12" s="28"/>
      <c r="H12" s="28"/>
      <c r="I12" s="28"/>
      <c r="J12" s="27"/>
      <c r="L12" s="116"/>
      <c r="M12" s="28"/>
      <c r="N12" s="117"/>
      <c r="O12" s="108"/>
      <c r="P12" s="118"/>
      <c r="Q12" s="28"/>
      <c r="R12" s="28"/>
      <c r="S12" s="28"/>
      <c r="T12" s="28"/>
      <c r="U12" s="108"/>
      <c r="V12" s="28"/>
    </row>
    <row r="13" spans="1:22" x14ac:dyDescent="0.4">
      <c r="A13" s="1308"/>
      <c r="B13" s="28"/>
      <c r="C13" s="28"/>
      <c r="D13" s="28"/>
      <c r="E13" s="108"/>
      <c r="F13" s="28"/>
      <c r="G13" s="28"/>
      <c r="H13" s="28"/>
      <c r="I13" s="28"/>
      <c r="J13" s="27"/>
      <c r="L13" s="116"/>
      <c r="M13" s="28"/>
      <c r="N13" s="117"/>
      <c r="O13" s="108"/>
      <c r="P13" s="118"/>
      <c r="Q13" s="28"/>
      <c r="R13" s="28"/>
      <c r="S13" s="28"/>
      <c r="T13" s="28"/>
      <c r="U13" s="108"/>
      <c r="V13" s="28"/>
    </row>
    <row r="14" spans="1:22" x14ac:dyDescent="0.4">
      <c r="A14" s="1308"/>
      <c r="B14" s="28"/>
      <c r="C14" s="28"/>
      <c r="D14" s="28"/>
      <c r="E14" s="108"/>
      <c r="F14" s="28"/>
      <c r="G14" s="28"/>
      <c r="H14" s="28"/>
      <c r="I14" s="28"/>
      <c r="J14" s="27"/>
      <c r="L14" s="116"/>
      <c r="M14" s="28"/>
      <c r="N14" s="117"/>
      <c r="O14" s="108"/>
      <c r="P14" s="118"/>
      <c r="Q14" s="28"/>
      <c r="R14" s="28"/>
      <c r="S14" s="28"/>
      <c r="T14" s="28"/>
      <c r="U14" s="108"/>
      <c r="V14" s="28"/>
    </row>
    <row r="15" spans="1:22" x14ac:dyDescent="0.4">
      <c r="A15" s="1308"/>
      <c r="B15" s="28"/>
      <c r="C15" s="28"/>
      <c r="D15" s="28"/>
      <c r="E15" s="108"/>
      <c r="F15" s="28"/>
      <c r="G15" s="28"/>
      <c r="H15" s="28"/>
      <c r="I15" s="28"/>
      <c r="J15" s="27"/>
      <c r="L15" s="116"/>
      <c r="M15" s="28"/>
      <c r="N15" s="117"/>
      <c r="O15" s="108"/>
      <c r="P15" s="118"/>
      <c r="Q15" s="28"/>
      <c r="R15" s="28"/>
      <c r="S15" s="28"/>
      <c r="T15" s="28"/>
      <c r="U15" s="108"/>
      <c r="V15" s="28"/>
    </row>
    <row r="16" spans="1:22" x14ac:dyDescent="0.4">
      <c r="A16" s="1308"/>
      <c r="B16" s="28"/>
      <c r="C16" s="28"/>
      <c r="D16" s="28"/>
      <c r="E16" s="108"/>
      <c r="F16" s="28"/>
      <c r="G16" s="28"/>
      <c r="H16" s="28"/>
      <c r="I16" s="28"/>
      <c r="J16" s="27"/>
      <c r="L16" s="116"/>
      <c r="M16" s="28"/>
      <c r="N16" s="117"/>
      <c r="O16" s="108"/>
      <c r="P16" s="118"/>
      <c r="Q16" s="28"/>
      <c r="R16" s="28"/>
      <c r="S16" s="28"/>
      <c r="T16" s="28"/>
      <c r="U16" s="108"/>
      <c r="V16" s="28"/>
    </row>
    <row r="17" spans="1:22" x14ac:dyDescent="0.4">
      <c r="A17" s="1308"/>
      <c r="B17" s="28"/>
      <c r="C17" s="28"/>
      <c r="D17" s="28"/>
      <c r="E17" s="108"/>
      <c r="F17" s="28"/>
      <c r="G17" s="28"/>
      <c r="H17" s="28"/>
      <c r="I17" s="28"/>
      <c r="J17" s="27"/>
      <c r="L17" s="116"/>
      <c r="M17" s="28"/>
      <c r="N17" s="117"/>
      <c r="O17" s="108"/>
      <c r="P17" s="118"/>
      <c r="Q17" s="28"/>
      <c r="R17" s="28"/>
      <c r="S17" s="28"/>
      <c r="T17" s="28"/>
      <c r="U17" s="108"/>
      <c r="V17" s="28"/>
    </row>
    <row r="18" spans="1:22" x14ac:dyDescent="0.4">
      <c r="A18" s="1308"/>
      <c r="B18" s="28"/>
      <c r="C18" s="28"/>
      <c r="D18" s="28"/>
      <c r="E18" s="108"/>
      <c r="F18" s="28"/>
      <c r="G18" s="28"/>
      <c r="H18" s="28"/>
      <c r="I18" s="28"/>
      <c r="J18" s="27"/>
      <c r="L18" s="116"/>
      <c r="M18" s="28"/>
      <c r="N18" s="117"/>
      <c r="O18" s="108"/>
      <c r="P18" s="118"/>
      <c r="Q18" s="28"/>
      <c r="R18" s="28"/>
      <c r="S18" s="28"/>
      <c r="T18" s="28"/>
      <c r="U18" s="108"/>
      <c r="V18" s="28"/>
    </row>
    <row r="19" spans="1:22" x14ac:dyDescent="0.4">
      <c r="A19" s="1308"/>
      <c r="B19" s="28"/>
      <c r="C19" s="28"/>
      <c r="D19" s="28"/>
      <c r="E19" s="108"/>
      <c r="F19" s="28"/>
      <c r="G19" s="28"/>
      <c r="H19" s="28"/>
      <c r="I19" s="28"/>
      <c r="J19" s="27"/>
      <c r="L19" s="116"/>
      <c r="M19" s="28"/>
      <c r="N19" s="117"/>
      <c r="O19" s="108"/>
      <c r="P19" s="118"/>
      <c r="Q19" s="28"/>
      <c r="R19" s="28"/>
      <c r="S19" s="28"/>
      <c r="T19" s="28"/>
      <c r="U19" s="108"/>
      <c r="V19" s="28"/>
    </row>
    <row r="20" spans="1:22" x14ac:dyDescent="0.4">
      <c r="A20" s="1308"/>
      <c r="B20" s="28"/>
      <c r="C20" s="28"/>
      <c r="D20" s="28"/>
      <c r="E20" s="108"/>
      <c r="F20" s="28"/>
      <c r="G20" s="28"/>
      <c r="H20" s="28"/>
      <c r="I20" s="28"/>
      <c r="J20" s="27"/>
      <c r="L20" s="116"/>
      <c r="M20" s="28"/>
      <c r="N20" s="117"/>
      <c r="O20" s="108"/>
      <c r="P20" s="118"/>
      <c r="Q20" s="28"/>
      <c r="R20" s="28"/>
      <c r="S20" s="28"/>
      <c r="T20" s="28"/>
      <c r="U20" s="108"/>
      <c r="V20" s="28"/>
    </row>
    <row r="21" spans="1:22" x14ac:dyDescent="0.4">
      <c r="A21" s="1308"/>
      <c r="B21" s="28"/>
      <c r="C21" s="28"/>
      <c r="D21" s="28"/>
      <c r="E21" s="108"/>
      <c r="F21" s="28"/>
      <c r="G21" s="28"/>
      <c r="H21" s="28"/>
      <c r="I21" s="28"/>
      <c r="J21" s="27"/>
      <c r="L21" s="116"/>
      <c r="M21" s="28"/>
      <c r="N21" s="117"/>
      <c r="O21" s="108"/>
      <c r="P21" s="118"/>
      <c r="Q21" s="28"/>
      <c r="R21" s="28"/>
      <c r="S21" s="28"/>
      <c r="T21" s="28"/>
      <c r="U21" s="108"/>
      <c r="V21" s="28"/>
    </row>
    <row r="22" spans="1:22" x14ac:dyDescent="0.4">
      <c r="A22" s="1308"/>
      <c r="B22" s="28"/>
      <c r="C22" s="28"/>
      <c r="D22" s="28"/>
      <c r="E22" s="108"/>
      <c r="F22" s="28"/>
      <c r="G22" s="28"/>
      <c r="H22" s="28"/>
      <c r="I22" s="28"/>
      <c r="J22" s="27"/>
      <c r="L22" s="116"/>
      <c r="M22" s="28"/>
      <c r="N22" s="117"/>
      <c r="O22" s="108"/>
      <c r="P22" s="118"/>
      <c r="Q22" s="28"/>
      <c r="R22" s="28"/>
      <c r="S22" s="28"/>
      <c r="T22" s="28"/>
      <c r="U22" s="108"/>
      <c r="V22" s="28"/>
    </row>
    <row r="23" spans="1:22" ht="17" x14ac:dyDescent="0.45">
      <c r="A23" s="108" t="s">
        <v>1075</v>
      </c>
      <c r="B23" s="28"/>
      <c r="C23" s="28"/>
      <c r="D23" s="28"/>
      <c r="E23" s="108"/>
      <c r="F23" s="28"/>
      <c r="G23" s="28"/>
      <c r="H23" s="28"/>
      <c r="I23" s="28"/>
      <c r="J23" s="27"/>
      <c r="L23" s="116"/>
      <c r="M23" s="28"/>
      <c r="N23" s="117"/>
      <c r="O23" s="108"/>
      <c r="P23" s="118"/>
      <c r="Q23" s="28"/>
      <c r="R23" s="28"/>
      <c r="S23" s="28"/>
      <c r="T23" s="28"/>
      <c r="U23" s="108"/>
      <c r="V23" s="28"/>
    </row>
    <row r="24" spans="1:22" x14ac:dyDescent="0.4">
      <c r="A24" s="1173" t="s">
        <v>912</v>
      </c>
      <c r="B24" s="1174" t="s">
        <v>676</v>
      </c>
      <c r="C24" s="1174" t="s">
        <v>673</v>
      </c>
      <c r="D24" s="1274" t="s">
        <v>888</v>
      </c>
      <c r="E24" s="108"/>
      <c r="F24" s="28"/>
      <c r="G24" s="28"/>
      <c r="H24" s="28"/>
      <c r="I24" s="28"/>
      <c r="J24" s="27"/>
      <c r="L24" s="116"/>
      <c r="M24" s="28"/>
      <c r="N24" s="117"/>
      <c r="O24" s="108"/>
      <c r="P24" s="118"/>
      <c r="Q24" s="28"/>
      <c r="R24" s="28"/>
      <c r="S24" s="28"/>
      <c r="T24" s="28"/>
      <c r="U24" s="108"/>
      <c r="V24" s="28"/>
    </row>
    <row r="25" spans="1:22" x14ac:dyDescent="0.4">
      <c r="A25" s="1004">
        <v>1990</v>
      </c>
      <c r="B25" s="1005" t="s">
        <v>701</v>
      </c>
      <c r="C25" s="1313" t="s">
        <v>1052</v>
      </c>
      <c r="D25" s="1061">
        <v>44916</v>
      </c>
      <c r="E25" s="108"/>
      <c r="F25" s="28"/>
      <c r="G25" s="28"/>
      <c r="H25" s="28"/>
      <c r="I25" s="28"/>
      <c r="J25" s="27"/>
      <c r="L25" s="116"/>
      <c r="M25" s="28"/>
      <c r="N25" s="117"/>
      <c r="O25" s="108"/>
      <c r="P25" s="118"/>
      <c r="Q25" s="28"/>
      <c r="R25" s="28"/>
      <c r="S25" s="28"/>
      <c r="T25" s="28"/>
      <c r="U25" s="108"/>
      <c r="V25" s="28"/>
    </row>
    <row r="26" spans="1:22" x14ac:dyDescent="0.4">
      <c r="A26" s="1003" t="s">
        <v>675</v>
      </c>
      <c r="B26" s="1006" t="s">
        <v>701</v>
      </c>
      <c r="C26" s="1006" t="s">
        <v>671</v>
      </c>
      <c r="D26" s="1007">
        <v>46101</v>
      </c>
      <c r="E26" s="108"/>
      <c r="F26" s="28"/>
      <c r="G26" s="28"/>
      <c r="H26" s="28"/>
      <c r="I26" s="28"/>
      <c r="J26" s="27"/>
      <c r="L26" s="116"/>
      <c r="M26" s="28"/>
      <c r="N26" s="117"/>
      <c r="O26" s="108"/>
      <c r="P26" s="118"/>
      <c r="Q26" s="28"/>
      <c r="R26" s="28"/>
      <c r="S26" s="28"/>
      <c r="T26" s="28"/>
      <c r="U26" s="108"/>
      <c r="V26" s="28"/>
    </row>
    <row r="27" spans="1:22" x14ac:dyDescent="0.4">
      <c r="A27" s="1052" t="s">
        <v>1063</v>
      </c>
      <c r="B27" s="28"/>
      <c r="C27" s="28"/>
      <c r="D27" s="28"/>
      <c r="E27" s="108"/>
      <c r="F27" s="28"/>
      <c r="G27" s="28"/>
      <c r="H27" s="28"/>
      <c r="I27" s="28"/>
      <c r="J27" s="27"/>
      <c r="L27" s="116"/>
      <c r="M27" s="28"/>
      <c r="N27" s="117"/>
      <c r="O27" s="108"/>
      <c r="P27" s="118"/>
      <c r="Q27" s="28"/>
      <c r="R27" s="28"/>
      <c r="S27" s="28"/>
      <c r="T27" s="28"/>
      <c r="U27" s="108"/>
      <c r="V27" s="28"/>
    </row>
    <row r="28" spans="1:22" x14ac:dyDescent="0.4">
      <c r="A28" s="1052"/>
      <c r="B28" s="28"/>
      <c r="C28" s="28"/>
      <c r="D28" s="28"/>
      <c r="E28" s="108"/>
      <c r="F28" s="28"/>
      <c r="G28" s="28"/>
      <c r="H28" s="28"/>
      <c r="I28" s="28"/>
      <c r="J28" s="27"/>
      <c r="L28" s="116"/>
      <c r="M28" s="28"/>
      <c r="N28" s="117"/>
      <c r="O28" s="108"/>
      <c r="P28" s="118"/>
      <c r="Q28" s="28"/>
      <c r="R28" s="28"/>
      <c r="S28" s="28"/>
      <c r="T28" s="28"/>
      <c r="U28" s="108"/>
      <c r="V28" s="28"/>
    </row>
    <row r="29" spans="1:22" x14ac:dyDescent="0.4">
      <c r="A29" s="1297"/>
      <c r="B29" s="28"/>
      <c r="C29" s="28"/>
      <c r="D29" s="28"/>
      <c r="E29" s="108"/>
      <c r="F29" s="28"/>
      <c r="G29" s="28"/>
      <c r="H29" s="28"/>
      <c r="I29" s="28"/>
      <c r="J29" s="27"/>
      <c r="K29" s="28"/>
      <c r="L29" s="116"/>
      <c r="M29" s="28"/>
      <c r="N29" s="117"/>
      <c r="O29" s="108"/>
      <c r="P29" s="118"/>
      <c r="Q29" s="28"/>
      <c r="R29" s="28"/>
      <c r="S29" s="28"/>
      <c r="T29" s="28"/>
      <c r="U29" s="108"/>
      <c r="V29" s="28"/>
    </row>
    <row r="30" spans="1:22" x14ac:dyDescent="0.4">
      <c r="A30" s="28"/>
      <c r="B30" s="28"/>
      <c r="C30" s="28"/>
      <c r="E30" s="108"/>
      <c r="F30" s="28"/>
      <c r="G30" s="28"/>
      <c r="H30" s="28"/>
      <c r="I30" s="28"/>
      <c r="J30" s="27"/>
      <c r="K30" s="28"/>
      <c r="L30" s="116"/>
      <c r="M30" s="28"/>
      <c r="N30" s="117"/>
      <c r="O30" s="108"/>
      <c r="P30" s="118"/>
      <c r="Q30" s="28"/>
      <c r="R30" s="28"/>
      <c r="S30" s="28"/>
      <c r="T30" s="28"/>
      <c r="U30" s="108"/>
      <c r="V30" s="28"/>
    </row>
    <row r="31" spans="1:22" x14ac:dyDescent="0.4">
      <c r="A31" s="108" t="s">
        <v>1066</v>
      </c>
      <c r="B31" s="28"/>
      <c r="D31" s="28"/>
      <c r="F31" s="28"/>
      <c r="G31" s="28"/>
      <c r="H31" s="28"/>
      <c r="I31" s="28"/>
      <c r="J31" s="27"/>
      <c r="K31" s="28"/>
      <c r="L31" s="116"/>
      <c r="M31" s="28"/>
      <c r="N31" s="117"/>
      <c r="O31" s="108"/>
      <c r="P31" s="118"/>
      <c r="Q31" s="28"/>
      <c r="R31" s="28"/>
      <c r="S31" s="28"/>
      <c r="T31" s="28"/>
      <c r="U31" s="108"/>
      <c r="V31" s="28"/>
    </row>
    <row r="32" spans="1:22" ht="17" x14ac:dyDescent="0.45">
      <c r="A32" s="1297" t="s">
        <v>1034</v>
      </c>
      <c r="B32" s="28"/>
      <c r="F32" s="28"/>
      <c r="G32" s="28"/>
      <c r="H32" s="28"/>
      <c r="I32" s="28"/>
      <c r="J32" s="27"/>
      <c r="K32" s="28"/>
      <c r="L32" s="116"/>
      <c r="M32" s="28"/>
      <c r="N32" s="117"/>
      <c r="O32" s="108"/>
      <c r="P32" s="118"/>
      <c r="Q32" s="28"/>
      <c r="R32" s="28"/>
      <c r="S32" s="28"/>
      <c r="T32" s="28"/>
      <c r="U32" s="108"/>
      <c r="V32" s="28"/>
    </row>
    <row r="33" spans="1:44" ht="17" x14ac:dyDescent="0.45">
      <c r="A33" s="1297" t="s">
        <v>1035</v>
      </c>
      <c r="B33" s="28"/>
      <c r="F33" s="28"/>
      <c r="G33" s="28"/>
      <c r="H33" s="28"/>
      <c r="I33" s="28"/>
      <c r="J33" s="27"/>
      <c r="K33" s="28"/>
      <c r="L33" s="116"/>
      <c r="M33" s="28"/>
      <c r="N33" s="117"/>
      <c r="O33" s="108"/>
      <c r="P33" s="118"/>
      <c r="Q33" s="28"/>
      <c r="R33" s="28"/>
      <c r="S33" s="28"/>
      <c r="T33" s="28"/>
      <c r="U33" s="108"/>
      <c r="V33" s="28"/>
    </row>
    <row r="34" spans="1:44" ht="17" x14ac:dyDescent="0.45">
      <c r="A34" s="1297" t="s">
        <v>1036</v>
      </c>
      <c r="B34" s="28"/>
      <c r="F34" s="28"/>
      <c r="G34" s="28"/>
      <c r="H34" s="28"/>
      <c r="I34" s="28"/>
      <c r="J34" s="27"/>
      <c r="K34" s="28"/>
      <c r="L34" s="116"/>
      <c r="M34" s="28"/>
      <c r="N34" s="117"/>
      <c r="O34" s="108"/>
      <c r="P34" s="118"/>
      <c r="Q34" s="28"/>
      <c r="R34" s="28"/>
      <c r="S34" s="28"/>
      <c r="T34" s="28"/>
      <c r="U34" s="108"/>
      <c r="V34" s="28"/>
    </row>
    <row r="35" spans="1:44" ht="17" x14ac:dyDescent="0.45">
      <c r="A35" s="1326" t="s">
        <v>1037</v>
      </c>
      <c r="B35" s="28"/>
      <c r="C35" s="28"/>
      <c r="D35" s="28"/>
      <c r="E35" s="108"/>
      <c r="F35" s="28"/>
      <c r="G35" s="28"/>
      <c r="H35" s="28"/>
      <c r="I35" s="28"/>
      <c r="J35" s="27"/>
      <c r="K35" s="28"/>
      <c r="L35" s="116"/>
      <c r="M35" s="28"/>
      <c r="N35" s="117"/>
      <c r="O35" s="108"/>
      <c r="P35" s="118"/>
      <c r="Q35" s="28"/>
      <c r="R35" s="28"/>
      <c r="S35" s="28"/>
      <c r="T35" s="28"/>
      <c r="U35" s="108"/>
      <c r="V35" s="28"/>
    </row>
    <row r="36" spans="1:44" x14ac:dyDescent="0.4">
      <c r="A36" s="1354" t="s">
        <v>1177</v>
      </c>
      <c r="B36" s="28"/>
      <c r="C36" s="28"/>
      <c r="D36" s="28"/>
      <c r="E36" s="108"/>
      <c r="F36" s="28"/>
      <c r="G36" s="28"/>
      <c r="H36" s="28"/>
      <c r="I36" s="28"/>
      <c r="J36" s="27"/>
      <c r="K36" s="28"/>
      <c r="L36" s="116"/>
      <c r="M36" s="28"/>
      <c r="N36" s="117"/>
      <c r="O36" s="108"/>
      <c r="P36" s="118"/>
      <c r="Q36" s="28"/>
      <c r="R36" s="28"/>
      <c r="S36" s="28"/>
      <c r="T36" s="28"/>
      <c r="U36" s="108"/>
      <c r="V36" s="28"/>
    </row>
    <row r="37" spans="1:44" ht="17" x14ac:dyDescent="0.45">
      <c r="A37" s="1297" t="s">
        <v>1038</v>
      </c>
      <c r="B37" s="28"/>
      <c r="C37" s="28"/>
      <c r="D37" s="28"/>
      <c r="E37" s="108"/>
      <c r="F37" s="28"/>
      <c r="G37" s="28"/>
      <c r="H37" s="28"/>
      <c r="I37" s="28"/>
      <c r="J37" s="27"/>
      <c r="K37" s="28"/>
      <c r="L37" s="116"/>
      <c r="M37" s="28"/>
      <c r="N37" s="117"/>
      <c r="O37" s="108"/>
      <c r="P37" s="118"/>
      <c r="Q37" s="28"/>
      <c r="R37" s="28"/>
      <c r="S37" s="28"/>
      <c r="T37" s="28"/>
      <c r="U37" s="108"/>
      <c r="V37" s="28"/>
    </row>
    <row r="38" spans="1:44" ht="17" x14ac:dyDescent="0.45">
      <c r="A38" s="1297" t="s">
        <v>1039</v>
      </c>
      <c r="B38" s="28"/>
      <c r="C38" s="28"/>
      <c r="D38" s="28"/>
      <c r="E38" s="108"/>
      <c r="F38" s="28"/>
      <c r="G38" s="28"/>
      <c r="H38" s="28"/>
      <c r="I38" s="28"/>
      <c r="J38" s="27"/>
      <c r="K38" s="28"/>
      <c r="L38" s="116"/>
      <c r="M38" s="28"/>
      <c r="N38" s="117"/>
      <c r="O38" s="108"/>
      <c r="P38" s="118"/>
      <c r="Q38" s="28"/>
      <c r="R38" s="28"/>
      <c r="S38" s="28"/>
      <c r="T38" s="28"/>
      <c r="U38" s="108"/>
      <c r="V38" s="28"/>
    </row>
    <row r="39" spans="1:44" x14ac:dyDescent="0.4">
      <c r="B39" s="119"/>
      <c r="C39" s="120"/>
      <c r="D39" s="119"/>
      <c r="E39" s="119"/>
      <c r="F39" s="98"/>
      <c r="G39" s="98"/>
      <c r="H39" s="98"/>
      <c r="I39" s="98"/>
      <c r="J39" s="98"/>
      <c r="K39" s="98"/>
      <c r="L39" s="98"/>
      <c r="M39" s="98"/>
      <c r="O39" s="121"/>
      <c r="P39" s="121"/>
      <c r="Q39" s="121"/>
      <c r="R39" s="121"/>
      <c r="S39" s="121"/>
      <c r="T39" s="121"/>
      <c r="U39" s="121"/>
      <c r="V39" s="121"/>
    </row>
    <row r="40" spans="1:44" ht="17.5" thickBot="1" x14ac:dyDescent="0.5">
      <c r="A40" s="108" t="s">
        <v>1040</v>
      </c>
      <c r="B40" s="29"/>
      <c r="C40" s="29"/>
      <c r="D40" s="98"/>
      <c r="E40" s="98"/>
      <c r="F40" s="98"/>
      <c r="G40" s="98"/>
      <c r="H40" s="98"/>
      <c r="I40" s="98"/>
      <c r="J40" s="98"/>
      <c r="K40" s="98"/>
      <c r="L40" s="98"/>
      <c r="M40" s="98"/>
      <c r="N40" s="121"/>
      <c r="O40" s="121"/>
      <c r="P40" s="121"/>
      <c r="Q40" s="121"/>
      <c r="R40" s="121"/>
      <c r="S40" s="121"/>
      <c r="T40" s="121"/>
      <c r="U40" s="30"/>
      <c r="V40" s="30"/>
      <c r="W40" s="30"/>
      <c r="X40" s="30"/>
      <c r="AA40" s="12"/>
      <c r="AB40" s="12"/>
      <c r="AC40" s="12"/>
      <c r="AD40" s="12"/>
      <c r="AE40" s="12"/>
      <c r="AF40" s="12"/>
      <c r="AG40" s="12"/>
      <c r="AI40" s="12"/>
    </row>
    <row r="41" spans="1:44" s="86" customFormat="1" ht="16.5" thickBot="1" x14ac:dyDescent="0.45">
      <c r="A41" s="976" t="s">
        <v>669</v>
      </c>
      <c r="B41" s="984" t="s">
        <v>391</v>
      </c>
      <c r="C41" s="983" t="s">
        <v>392</v>
      </c>
      <c r="D41" s="983" t="s">
        <v>393</v>
      </c>
      <c r="E41" s="983" t="s">
        <v>394</v>
      </c>
      <c r="F41" s="983" t="s">
        <v>395</v>
      </c>
      <c r="G41" s="983" t="s">
        <v>396</v>
      </c>
      <c r="H41" s="983" t="s">
        <v>397</v>
      </c>
      <c r="I41" s="983" t="s">
        <v>398</v>
      </c>
      <c r="J41" s="983" t="s">
        <v>399</v>
      </c>
      <c r="K41" s="983" t="s">
        <v>400</v>
      </c>
      <c r="L41" s="983" t="s">
        <v>401</v>
      </c>
      <c r="M41" s="983" t="s">
        <v>402</v>
      </c>
      <c r="N41" s="983" t="s">
        <v>403</v>
      </c>
      <c r="O41" s="983" t="s">
        <v>404</v>
      </c>
      <c r="P41" s="983" t="s">
        <v>405</v>
      </c>
      <c r="Q41" s="983" t="s">
        <v>406</v>
      </c>
      <c r="R41" s="983" t="s">
        <v>407</v>
      </c>
      <c r="S41" s="983" t="s">
        <v>408</v>
      </c>
      <c r="T41" s="983" t="s">
        <v>409</v>
      </c>
      <c r="U41" s="983" t="s">
        <v>410</v>
      </c>
      <c r="V41" s="983" t="s">
        <v>411</v>
      </c>
      <c r="W41" s="983" t="s">
        <v>412</v>
      </c>
      <c r="X41" s="983" t="s">
        <v>413</v>
      </c>
      <c r="Y41" s="983" t="s">
        <v>414</v>
      </c>
      <c r="Z41" s="983" t="s">
        <v>415</v>
      </c>
      <c r="AA41" s="983" t="s">
        <v>416</v>
      </c>
      <c r="AB41" s="983" t="s">
        <v>417</v>
      </c>
      <c r="AC41" s="983" t="s">
        <v>418</v>
      </c>
      <c r="AD41" s="983" t="s">
        <v>419</v>
      </c>
      <c r="AE41" s="983" t="s">
        <v>420</v>
      </c>
      <c r="AF41" s="983" t="s">
        <v>421</v>
      </c>
      <c r="AG41" s="983" t="s">
        <v>422</v>
      </c>
      <c r="AH41" s="983" t="s">
        <v>423</v>
      </c>
      <c r="AI41" s="983" t="s">
        <v>424</v>
      </c>
      <c r="AJ41" s="3"/>
      <c r="AK41" s="3"/>
    </row>
    <row r="42" spans="1:44" x14ac:dyDescent="0.4">
      <c r="A42" s="245" t="s">
        <v>59</v>
      </c>
      <c r="B42" s="97">
        <v>0.22146311499000002</v>
      </c>
      <c r="C42" s="98">
        <v>0.22319701900000005</v>
      </c>
      <c r="D42" s="98">
        <v>0.24130316051999992</v>
      </c>
      <c r="E42" s="98">
        <v>0.24692919239</v>
      </c>
      <c r="F42" s="98">
        <v>0.23707447087999997</v>
      </c>
      <c r="G42" s="98">
        <v>0.23013408960999995</v>
      </c>
      <c r="H42" s="98">
        <v>0.23386723920999997</v>
      </c>
      <c r="I42" s="98">
        <v>0.18572004491999994</v>
      </c>
      <c r="J42" s="98">
        <v>0.16721576863999998</v>
      </c>
      <c r="K42" s="98">
        <v>0.17373373315999999</v>
      </c>
      <c r="L42" s="98">
        <v>0.18965812091999995</v>
      </c>
      <c r="M42" s="98">
        <v>0.17000827832999996</v>
      </c>
      <c r="N42" s="98">
        <v>0.17220449556999998</v>
      </c>
      <c r="O42" s="98">
        <v>0.17685470509999995</v>
      </c>
      <c r="P42" s="98">
        <v>0.17275927904999999</v>
      </c>
      <c r="Q42" s="98">
        <v>9.725975466999999E-2</v>
      </c>
      <c r="R42" s="98">
        <v>8.4088409529999991E-2</v>
      </c>
      <c r="S42" s="98">
        <v>8.9126212139999994E-2</v>
      </c>
      <c r="T42" s="98">
        <v>9.4392754039999971E-2</v>
      </c>
      <c r="U42" s="98">
        <v>0.14267631338999998</v>
      </c>
      <c r="V42" s="98">
        <v>0.14835719638999997</v>
      </c>
      <c r="W42" s="98">
        <v>0.14534448443999998</v>
      </c>
      <c r="X42" s="98">
        <v>0.12247753235</v>
      </c>
      <c r="Y42" s="98">
        <v>0.14757754009999999</v>
      </c>
      <c r="Z42" s="98">
        <v>0.15498866813999998</v>
      </c>
      <c r="AA42" s="98">
        <v>0.14464620175999998</v>
      </c>
      <c r="AB42" s="98">
        <v>0.11677646152999999</v>
      </c>
      <c r="AC42" s="126">
        <v>0.12038076349</v>
      </c>
      <c r="AD42" s="126">
        <v>0.12456735533999998</v>
      </c>
      <c r="AE42" s="126">
        <v>0.14122168139999999</v>
      </c>
      <c r="AF42" s="126">
        <v>0.12870063267999998</v>
      </c>
      <c r="AG42" s="126">
        <v>0.13306650541999998</v>
      </c>
      <c r="AH42" s="126">
        <v>0.15485862174999998</v>
      </c>
      <c r="AI42" s="126">
        <v>0.13646282426999998</v>
      </c>
    </row>
    <row r="43" spans="1:44" ht="17" x14ac:dyDescent="0.45">
      <c r="A43" s="1309" t="s">
        <v>1041</v>
      </c>
      <c r="B43" s="97">
        <v>4.5917890239999988E-2</v>
      </c>
      <c r="C43" s="98">
        <v>4.5307249499999994E-2</v>
      </c>
      <c r="D43" s="98">
        <v>4.971481551999999E-2</v>
      </c>
      <c r="E43" s="98">
        <v>5.0596505139999984E-2</v>
      </c>
      <c r="F43" s="98">
        <v>4.933890937999999E-2</v>
      </c>
      <c r="G43" s="98">
        <v>4.6910510359999991E-2</v>
      </c>
      <c r="H43" s="98">
        <v>4.6404565959999991E-2</v>
      </c>
      <c r="I43" s="98">
        <v>3.975857591999999E-2</v>
      </c>
      <c r="J43" s="98">
        <v>3.6152147139999993E-2</v>
      </c>
      <c r="K43" s="98">
        <v>3.767082665999999E-2</v>
      </c>
      <c r="L43" s="98">
        <v>4.1927270919999995E-2</v>
      </c>
      <c r="M43" s="98">
        <v>4.0406404079999993E-2</v>
      </c>
      <c r="N43" s="98">
        <v>4.0247906819999991E-2</v>
      </c>
      <c r="O43" s="98">
        <v>4.0487233599999992E-2</v>
      </c>
      <c r="P43" s="98">
        <v>3.8757760799999999E-2</v>
      </c>
      <c r="Q43" s="98">
        <v>2.7943322919999999E-2</v>
      </c>
      <c r="R43" s="98">
        <v>2.4057498279999992E-2</v>
      </c>
      <c r="S43" s="98">
        <v>2.4913375139999992E-2</v>
      </c>
      <c r="T43" s="98">
        <v>2.5718958539999996E-2</v>
      </c>
      <c r="U43" s="98">
        <v>3.1269193639999998E-2</v>
      </c>
      <c r="V43" s="98">
        <v>3.2170643639999996E-2</v>
      </c>
      <c r="W43" s="98">
        <v>3.1568862439999998E-2</v>
      </c>
      <c r="X43" s="98">
        <v>2.6531446600000001E-2</v>
      </c>
      <c r="Y43" s="98">
        <v>3.0699796099999999E-2</v>
      </c>
      <c r="Z43" s="98">
        <v>3.3153224139999993E-2</v>
      </c>
      <c r="AA43" s="98">
        <v>3.1581256259999996E-2</v>
      </c>
      <c r="AB43" s="98">
        <v>2.5360428779999993E-2</v>
      </c>
      <c r="AC43" s="126">
        <v>2.6728180239999996E-2</v>
      </c>
      <c r="AD43" s="126">
        <v>2.8160576839999996E-2</v>
      </c>
      <c r="AE43" s="126">
        <v>3.060088989999999E-2</v>
      </c>
      <c r="AF43" s="126">
        <v>2.7636716679999999E-2</v>
      </c>
      <c r="AG43" s="126">
        <v>2.8629542419999994E-2</v>
      </c>
      <c r="AH43" s="126">
        <v>3.1550973499999996E-2</v>
      </c>
      <c r="AI43" s="126">
        <v>2.8898025519999992E-2</v>
      </c>
    </row>
    <row r="44" spans="1:44" ht="17" x14ac:dyDescent="0.45">
      <c r="A44" s="1309" t="s">
        <v>1042</v>
      </c>
      <c r="B44" s="97">
        <v>0.17554522475000001</v>
      </c>
      <c r="C44" s="98">
        <v>0.17788976950000004</v>
      </c>
      <c r="D44" s="98">
        <v>0.19158834499999994</v>
      </c>
      <c r="E44" s="98">
        <v>0.19633268725</v>
      </c>
      <c r="F44" s="98">
        <v>0.18773556149999998</v>
      </c>
      <c r="G44" s="98">
        <v>0.18322357924999996</v>
      </c>
      <c r="H44" s="98">
        <v>0.18746267324999999</v>
      </c>
      <c r="I44" s="98">
        <v>0.14596146899999995</v>
      </c>
      <c r="J44" s="98">
        <v>0.13106362149999998</v>
      </c>
      <c r="K44" s="98">
        <v>0.1360629065</v>
      </c>
      <c r="L44" s="98">
        <v>0.14773084999999997</v>
      </c>
      <c r="M44" s="98">
        <v>0.12960187424999997</v>
      </c>
      <c r="N44" s="98">
        <v>0.13195658874999999</v>
      </c>
      <c r="O44" s="98">
        <v>0.13636747149999998</v>
      </c>
      <c r="P44" s="98">
        <v>0.13400151824999998</v>
      </c>
      <c r="Q44" s="98">
        <v>6.931643174999999E-2</v>
      </c>
      <c r="R44" s="98">
        <v>6.0030911249999992E-2</v>
      </c>
      <c r="S44" s="98">
        <v>6.4212836999999995E-2</v>
      </c>
      <c r="T44" s="98">
        <v>6.8673795499999982E-2</v>
      </c>
      <c r="U44" s="98">
        <v>0.11140711974999998</v>
      </c>
      <c r="V44" s="98">
        <v>0.11618655274999998</v>
      </c>
      <c r="W44" s="98">
        <v>0.11377562199999998</v>
      </c>
      <c r="X44" s="98">
        <v>9.5946085749999993E-2</v>
      </c>
      <c r="Y44" s="98">
        <v>0.11687774399999998</v>
      </c>
      <c r="Z44" s="98">
        <v>0.12183544399999999</v>
      </c>
      <c r="AA44" s="98">
        <v>0.11306494549999999</v>
      </c>
      <c r="AB44" s="98">
        <v>9.1416032749999987E-2</v>
      </c>
      <c r="AC44" s="126">
        <v>9.3652583250000004E-2</v>
      </c>
      <c r="AD44" s="126">
        <v>9.6406778499999984E-2</v>
      </c>
      <c r="AE44" s="126">
        <v>0.1106207915</v>
      </c>
      <c r="AF44" s="126">
        <v>0.10106391599999998</v>
      </c>
      <c r="AG44" s="126">
        <v>0.10443696299999999</v>
      </c>
      <c r="AH44" s="126">
        <v>0.12330764824999997</v>
      </c>
      <c r="AI44" s="126">
        <v>0.10756479874999998</v>
      </c>
    </row>
    <row r="45" spans="1:44" x14ac:dyDescent="0.4">
      <c r="A45" s="246" t="s">
        <v>74</v>
      </c>
      <c r="B45" s="97">
        <v>5.6637423469999996E-2</v>
      </c>
      <c r="C45" s="98">
        <v>6.1309964569999993E-2</v>
      </c>
      <c r="D45" s="98">
        <v>5.9076519639999991E-2</v>
      </c>
      <c r="E45" s="98">
        <v>5.8319693029999994E-2</v>
      </c>
      <c r="F45" s="98">
        <v>5.9352809769999994E-2</v>
      </c>
      <c r="G45" s="98">
        <v>6.0476406299999994E-2</v>
      </c>
      <c r="H45" s="98">
        <v>5.9672558659999993E-2</v>
      </c>
      <c r="I45" s="98">
        <v>5.7526248299999992E-2</v>
      </c>
      <c r="J45" s="98">
        <v>4.9716922049999987E-2</v>
      </c>
      <c r="K45" s="98">
        <v>4.3382592259999991E-2</v>
      </c>
      <c r="L45" s="98">
        <v>4.8339800660000001E-2</v>
      </c>
      <c r="M45" s="98">
        <v>3.9798255599999992E-2</v>
      </c>
      <c r="N45" s="98">
        <v>4.0673450859999995E-2</v>
      </c>
      <c r="O45" s="98">
        <v>4.8785097749999992E-2</v>
      </c>
      <c r="P45" s="98">
        <v>4.5861672029999995E-2</v>
      </c>
      <c r="Q45" s="98">
        <v>3.4333987519999998E-2</v>
      </c>
      <c r="R45" s="98">
        <v>2.5074594689999993E-2</v>
      </c>
      <c r="S45" s="98">
        <v>2.5754540579999999E-2</v>
      </c>
      <c r="T45" s="98">
        <v>2.5650203579999996E-2</v>
      </c>
      <c r="U45" s="98">
        <v>3.3656842239999998E-2</v>
      </c>
      <c r="V45" s="98">
        <v>3.8726783609999996E-2</v>
      </c>
      <c r="W45" s="98">
        <v>3.4639570329999994E-2</v>
      </c>
      <c r="X45" s="98">
        <v>2.8163892189999998E-2</v>
      </c>
      <c r="Y45" s="98">
        <v>3.4174257019999994E-2</v>
      </c>
      <c r="Z45" s="98">
        <v>3.5601296889999995E-2</v>
      </c>
      <c r="AA45" s="98">
        <v>3.8239902659999991E-2</v>
      </c>
      <c r="AB45" s="98">
        <v>3.3941849779999991E-2</v>
      </c>
      <c r="AC45" s="126">
        <v>3.5421734969999993E-2</v>
      </c>
      <c r="AD45" s="126">
        <v>3.5083170164271926E-2</v>
      </c>
      <c r="AE45" s="126">
        <v>3.7249767359637996E-2</v>
      </c>
      <c r="AF45" s="126">
        <v>3.9612458308448728E-2</v>
      </c>
      <c r="AG45" s="126">
        <v>4.1454792182907194E-2</v>
      </c>
      <c r="AH45" s="126">
        <v>4.3553628392306858E-2</v>
      </c>
      <c r="AI45" s="126">
        <v>4.17648305542948E-2</v>
      </c>
    </row>
    <row r="46" spans="1:44" ht="17" x14ac:dyDescent="0.45">
      <c r="A46" s="1309" t="s">
        <v>1041</v>
      </c>
      <c r="B46" s="97">
        <v>1.7459787219999998E-2</v>
      </c>
      <c r="C46" s="98">
        <v>1.8995366319999998E-2</v>
      </c>
      <c r="D46" s="98">
        <v>1.7514631139999997E-2</v>
      </c>
      <c r="E46" s="98">
        <v>1.5742106279999998E-2</v>
      </c>
      <c r="F46" s="98">
        <v>1.5752128019999999E-2</v>
      </c>
      <c r="G46" s="98">
        <v>1.6254365299999997E-2</v>
      </c>
      <c r="H46" s="98">
        <v>1.5220326159999997E-2</v>
      </c>
      <c r="I46" s="98">
        <v>1.4817111299999998E-2</v>
      </c>
      <c r="J46" s="98">
        <v>1.2826024299999999E-2</v>
      </c>
      <c r="K46" s="98">
        <v>1.0733101759999999E-2</v>
      </c>
      <c r="L46" s="98">
        <v>1.2440284159999999E-2</v>
      </c>
      <c r="M46" s="98">
        <v>9.7886890999999976E-3</v>
      </c>
      <c r="N46" s="98">
        <v>1.0195867359999998E-2</v>
      </c>
      <c r="O46" s="98">
        <v>1.3343843999999997E-2</v>
      </c>
      <c r="P46" s="98">
        <v>1.2382007279999999E-2</v>
      </c>
      <c r="Q46" s="98">
        <v>1.1187289519999997E-2</v>
      </c>
      <c r="R46" s="98">
        <v>7.4868864399999981E-3</v>
      </c>
      <c r="S46" s="98">
        <v>7.3917290799999985E-3</v>
      </c>
      <c r="T46" s="98">
        <v>6.8306695799999987E-3</v>
      </c>
      <c r="U46" s="98">
        <v>8.2027867399999989E-3</v>
      </c>
      <c r="V46" s="98">
        <v>1.0331159359999998E-2</v>
      </c>
      <c r="W46" s="98">
        <v>8.4491075799999985E-3</v>
      </c>
      <c r="X46" s="98">
        <v>6.4104359399999988E-3</v>
      </c>
      <c r="Y46" s="98">
        <v>7.54282402E-3</v>
      </c>
      <c r="Z46" s="98">
        <v>7.9582926399999997E-3</v>
      </c>
      <c r="AA46" s="98">
        <v>9.0184246599999997E-3</v>
      </c>
      <c r="AB46" s="98">
        <v>7.494434779999999E-3</v>
      </c>
      <c r="AC46" s="126">
        <v>7.8796832199999993E-3</v>
      </c>
      <c r="AD46" s="126">
        <v>7.9748889895635989E-3</v>
      </c>
      <c r="AE46" s="126">
        <v>8.3345188933879981E-3</v>
      </c>
      <c r="AF46" s="126">
        <v>8.3605426802403991E-3</v>
      </c>
      <c r="AG46" s="126">
        <v>9.3532452439071979E-3</v>
      </c>
      <c r="AH46" s="126">
        <v>9.7572074047651974E-3</v>
      </c>
      <c r="AI46" s="126">
        <v>9.3604147845447998E-3</v>
      </c>
    </row>
    <row r="47" spans="1:44" ht="17" x14ac:dyDescent="0.45">
      <c r="A47" s="1309" t="s">
        <v>1042</v>
      </c>
      <c r="B47" s="97">
        <v>3.9177636249999995E-2</v>
      </c>
      <c r="C47" s="98">
        <v>4.2314598249999995E-2</v>
      </c>
      <c r="D47" s="98">
        <v>4.1561888499999991E-2</v>
      </c>
      <c r="E47" s="98">
        <v>4.2577586749999993E-2</v>
      </c>
      <c r="F47" s="98">
        <v>4.3600681749999995E-2</v>
      </c>
      <c r="G47" s="98">
        <v>4.4222040999999997E-2</v>
      </c>
      <c r="H47" s="98">
        <v>4.4452232499999994E-2</v>
      </c>
      <c r="I47" s="98">
        <v>4.2709136999999994E-2</v>
      </c>
      <c r="J47" s="98">
        <v>3.6890897749999992E-2</v>
      </c>
      <c r="K47" s="98">
        <v>3.2649490499999996E-2</v>
      </c>
      <c r="L47" s="98">
        <v>3.5899516499999999E-2</v>
      </c>
      <c r="M47" s="98">
        <v>3.0009566499999994E-2</v>
      </c>
      <c r="N47" s="98">
        <v>3.0477583499999995E-2</v>
      </c>
      <c r="O47" s="98">
        <v>3.5441253749999992E-2</v>
      </c>
      <c r="P47" s="98">
        <v>3.3479664749999999E-2</v>
      </c>
      <c r="Q47" s="98">
        <v>2.3146697999999997E-2</v>
      </c>
      <c r="R47" s="98">
        <v>1.7587708249999997E-2</v>
      </c>
      <c r="S47" s="98">
        <v>1.8362811499999999E-2</v>
      </c>
      <c r="T47" s="98">
        <v>1.8819533999999995E-2</v>
      </c>
      <c r="U47" s="98">
        <v>2.5454055499999996E-2</v>
      </c>
      <c r="V47" s="98">
        <v>2.8395624249999994E-2</v>
      </c>
      <c r="W47" s="98">
        <v>2.6190462749999997E-2</v>
      </c>
      <c r="X47" s="98">
        <v>2.1753456249999997E-2</v>
      </c>
      <c r="Y47" s="98">
        <v>2.6631432999999996E-2</v>
      </c>
      <c r="Z47" s="98">
        <v>2.7643004249999995E-2</v>
      </c>
      <c r="AA47" s="98">
        <v>2.9221477999999995E-2</v>
      </c>
      <c r="AB47" s="98">
        <v>2.6447414999999995E-2</v>
      </c>
      <c r="AC47" s="126">
        <v>2.7542051749999998E-2</v>
      </c>
      <c r="AD47" s="126">
        <v>2.7108281174708329E-2</v>
      </c>
      <c r="AE47" s="126">
        <v>2.8915248466249998E-2</v>
      </c>
      <c r="AF47" s="126">
        <v>3.1251915628208331E-2</v>
      </c>
      <c r="AG47" s="126">
        <v>3.2101546938999997E-2</v>
      </c>
      <c r="AH47" s="126">
        <v>3.379642098754166E-2</v>
      </c>
      <c r="AI47" s="126">
        <v>3.2404415769749999E-2</v>
      </c>
      <c r="AL47" s="12"/>
      <c r="AM47" s="12"/>
      <c r="AN47" s="12"/>
      <c r="AO47" s="12"/>
      <c r="AP47" s="12"/>
      <c r="AQ47" s="12"/>
      <c r="AR47" s="12"/>
    </row>
    <row r="48" spans="1:44" x14ac:dyDescent="0.4">
      <c r="A48" s="247" t="s">
        <v>76</v>
      </c>
      <c r="B48" s="97">
        <v>2.19391063196166E-2</v>
      </c>
      <c r="C48" s="98">
        <v>1.8804278893775218E-2</v>
      </c>
      <c r="D48" s="98">
        <v>2.2056999012336577E-2</v>
      </c>
      <c r="E48" s="98">
        <v>2.2613327546758041E-2</v>
      </c>
      <c r="F48" s="98">
        <v>2.0959623605712303E-2</v>
      </c>
      <c r="G48" s="98">
        <v>2.0664401566270606E-2</v>
      </c>
      <c r="H48" s="98">
        <v>2.055429936983752E-2</v>
      </c>
      <c r="I48" s="98">
        <v>2.1758184382740957E-2</v>
      </c>
      <c r="J48" s="98">
        <v>1.9170090193242201E-2</v>
      </c>
      <c r="K48" s="98">
        <v>1.957597393398583E-2</v>
      </c>
      <c r="L48" s="98">
        <v>1.946333915198022E-2</v>
      </c>
      <c r="M48" s="98">
        <v>1.9251449816890667E-2</v>
      </c>
      <c r="N48" s="98">
        <v>1.5284731408067982E-2</v>
      </c>
      <c r="O48" s="98">
        <v>1.3991531211882279E-2</v>
      </c>
      <c r="P48" s="98">
        <v>1.4129648923568997E-2</v>
      </c>
      <c r="Q48" s="98">
        <v>1.4678522310258769E-2</v>
      </c>
      <c r="R48" s="98">
        <v>1.4661717459428451E-2</v>
      </c>
      <c r="S48" s="98">
        <v>1.428620827253799E-2</v>
      </c>
      <c r="T48" s="98">
        <v>1.3427357048192496E-2</v>
      </c>
      <c r="U48" s="98">
        <v>1.0583728595565774E-2</v>
      </c>
      <c r="V48" s="98">
        <v>1.5617036954401203E-2</v>
      </c>
      <c r="W48" s="98">
        <v>1.9338251338103081E-2</v>
      </c>
      <c r="X48" s="98">
        <v>1.8150526899342635E-2</v>
      </c>
      <c r="Y48" s="98">
        <v>1.8233118870129385E-2</v>
      </c>
      <c r="Z48" s="98">
        <v>1.7628177278004635E-2</v>
      </c>
      <c r="AA48" s="98">
        <v>1.7677321125210303E-2</v>
      </c>
      <c r="AB48" s="98">
        <v>1.6848346107429885E-2</v>
      </c>
      <c r="AC48" s="126">
        <v>9.7249941062509133E-3</v>
      </c>
      <c r="AD48" s="126">
        <v>9.5250069746183573E-3</v>
      </c>
      <c r="AE48" s="126">
        <v>9.5566155885917336E-3</v>
      </c>
      <c r="AF48" s="126">
        <v>9.2797784333590507E-3</v>
      </c>
      <c r="AG48" s="126">
        <v>9.5875611311539537E-3</v>
      </c>
      <c r="AH48" s="126">
        <v>1.0404922369114713E-2</v>
      </c>
      <c r="AI48" s="126">
        <v>1.0266741043878145E-2</v>
      </c>
    </row>
    <row r="49" spans="1:36" ht="17" x14ac:dyDescent="0.45">
      <c r="A49" s="1309" t="s">
        <v>1041</v>
      </c>
      <c r="B49" s="97">
        <v>1.4096739613452437E-2</v>
      </c>
      <c r="C49" s="98">
        <v>1.1756584827612063E-2</v>
      </c>
      <c r="D49" s="98">
        <v>1.3932457908201697E-2</v>
      </c>
      <c r="E49" s="98">
        <v>1.4320692274321846E-2</v>
      </c>
      <c r="F49" s="98">
        <v>1.3193347778291301E-2</v>
      </c>
      <c r="G49" s="98">
        <v>1.2848785840725721E-2</v>
      </c>
      <c r="H49" s="98">
        <v>1.2801953631410097E-2</v>
      </c>
      <c r="I49" s="98">
        <v>1.3518159502413878E-2</v>
      </c>
      <c r="J49" s="98">
        <v>1.1906826526759021E-2</v>
      </c>
      <c r="K49" s="98">
        <v>1.2015472240598834E-2</v>
      </c>
      <c r="L49" s="98">
        <v>1.1970860163146458E-2</v>
      </c>
      <c r="M49" s="98">
        <v>1.2047102403748735E-2</v>
      </c>
      <c r="N49" s="98">
        <v>9.4988896291697648E-3</v>
      </c>
      <c r="O49" s="98">
        <v>8.9180105653255647E-3</v>
      </c>
      <c r="P49" s="98">
        <v>8.980302355149395E-3</v>
      </c>
      <c r="Q49" s="98">
        <v>9.3132116928533772E-3</v>
      </c>
      <c r="R49" s="98">
        <v>9.3126433167180847E-3</v>
      </c>
      <c r="S49" s="98">
        <v>8.992435871181495E-3</v>
      </c>
      <c r="T49" s="98">
        <v>8.4253000088586744E-3</v>
      </c>
      <c r="U49" s="98">
        <v>6.5694060803741655E-3</v>
      </c>
      <c r="V49" s="98">
        <v>9.7038345574104456E-3</v>
      </c>
      <c r="W49" s="98">
        <v>1.199035763276321E-2</v>
      </c>
      <c r="X49" s="98">
        <v>1.1182655104091391E-2</v>
      </c>
      <c r="Y49" s="98">
        <v>1.1218748842879454E-2</v>
      </c>
      <c r="Z49" s="98">
        <v>1.084434554709417E-2</v>
      </c>
      <c r="AA49" s="98">
        <v>1.0901681274028489E-2</v>
      </c>
      <c r="AB49" s="98">
        <v>1.0353670391295885E-2</v>
      </c>
      <c r="AC49" s="126">
        <v>5.9951524798851925E-3</v>
      </c>
      <c r="AD49" s="126">
        <v>5.8582304069410927E-3</v>
      </c>
      <c r="AE49" s="126">
        <v>5.8682101342128349E-3</v>
      </c>
      <c r="AF49" s="126">
        <v>5.7005251673093735E-3</v>
      </c>
      <c r="AG49" s="126">
        <v>5.9009730993666298E-3</v>
      </c>
      <c r="AH49" s="126">
        <v>6.4066957214672735E-3</v>
      </c>
      <c r="AI49" s="126">
        <v>6.332691859819925E-3</v>
      </c>
    </row>
    <row r="50" spans="1:36" ht="17" x14ac:dyDescent="0.45">
      <c r="A50" s="1309" t="s">
        <v>1042</v>
      </c>
      <c r="B50" s="97">
        <v>7.842366706164167E-3</v>
      </c>
      <c r="C50" s="98">
        <v>7.047694066163155E-3</v>
      </c>
      <c r="D50" s="98">
        <v>8.1245411041348786E-3</v>
      </c>
      <c r="E50" s="98">
        <v>8.2926352724361947E-3</v>
      </c>
      <c r="F50" s="98">
        <v>7.7662758274210028E-3</v>
      </c>
      <c r="G50" s="98">
        <v>7.8156157255448826E-3</v>
      </c>
      <c r="H50" s="98">
        <v>7.7523457384274207E-3</v>
      </c>
      <c r="I50" s="98">
        <v>8.2400248803270806E-3</v>
      </c>
      <c r="J50" s="98">
        <v>7.263263666483181E-3</v>
      </c>
      <c r="K50" s="98">
        <v>7.5605016933869961E-3</v>
      </c>
      <c r="L50" s="98">
        <v>7.4924789888337609E-3</v>
      </c>
      <c r="M50" s="98">
        <v>7.204347413141932E-3</v>
      </c>
      <c r="N50" s="98">
        <v>5.7858417788982167E-3</v>
      </c>
      <c r="O50" s="98">
        <v>5.0735206465567142E-3</v>
      </c>
      <c r="P50" s="98">
        <v>5.1493465684196021E-3</v>
      </c>
      <c r="Q50" s="98">
        <v>5.3653106174053923E-3</v>
      </c>
      <c r="R50" s="98">
        <v>5.3490741427103666E-3</v>
      </c>
      <c r="S50" s="98">
        <v>5.2937724013564953E-3</v>
      </c>
      <c r="T50" s="98">
        <v>5.0020570393338216E-3</v>
      </c>
      <c r="U50" s="98">
        <v>4.0143225151916097E-3</v>
      </c>
      <c r="V50" s="98">
        <v>5.9132023969907573E-3</v>
      </c>
      <c r="W50" s="98">
        <v>7.3478937053398693E-3</v>
      </c>
      <c r="X50" s="98">
        <v>6.9678717952512429E-3</v>
      </c>
      <c r="Y50" s="98">
        <v>7.0143700272499304E-3</v>
      </c>
      <c r="Z50" s="98">
        <v>6.7838317309104664E-3</v>
      </c>
      <c r="AA50" s="98">
        <v>6.775639851181816E-3</v>
      </c>
      <c r="AB50" s="98">
        <v>6.4946757161340003E-3</v>
      </c>
      <c r="AC50" s="126">
        <v>3.7298416263657204E-3</v>
      </c>
      <c r="AD50" s="126">
        <v>3.6667765676772646E-3</v>
      </c>
      <c r="AE50" s="126">
        <v>3.6884054543788992E-3</v>
      </c>
      <c r="AF50" s="126">
        <v>3.5792532660496772E-3</v>
      </c>
      <c r="AG50" s="126">
        <v>3.6865880317873247E-3</v>
      </c>
      <c r="AH50" s="126">
        <v>3.9982266476474397E-3</v>
      </c>
      <c r="AI50" s="126">
        <v>3.9340491840582203E-3</v>
      </c>
    </row>
    <row r="51" spans="1:36" x14ac:dyDescent="0.4">
      <c r="A51" s="256" t="s">
        <v>14</v>
      </c>
      <c r="B51" s="97">
        <v>9.3884288699999999E-2</v>
      </c>
      <c r="C51" s="98">
        <v>9.6822959449999968E-2</v>
      </c>
      <c r="D51" s="98">
        <v>9.0914300149999988E-2</v>
      </c>
      <c r="E51" s="98">
        <v>8.0968274290000003E-2</v>
      </c>
      <c r="F51" s="98">
        <v>8.0141949439999985E-2</v>
      </c>
      <c r="G51" s="98">
        <v>7.4410357890000001E-2</v>
      </c>
      <c r="H51" s="98">
        <v>7.7208636349999998E-2</v>
      </c>
      <c r="I51" s="98">
        <v>9.464468308E-2</v>
      </c>
      <c r="J51" s="98">
        <v>9.7751476769999984E-2</v>
      </c>
      <c r="K51" s="98">
        <v>8.8358784709999985E-2</v>
      </c>
      <c r="L51" s="98">
        <v>8.329262925E-2</v>
      </c>
      <c r="M51" s="98">
        <v>8.0602514299999983E-2</v>
      </c>
      <c r="N51" s="98">
        <v>8.0620520639999999E-2</v>
      </c>
      <c r="O51" s="98">
        <v>8.150813992E-2</v>
      </c>
      <c r="P51" s="98">
        <v>7.7900124000000001E-2</v>
      </c>
      <c r="Q51" s="98">
        <v>8.3379175529999988E-2</v>
      </c>
      <c r="R51" s="98">
        <v>7.0483499379999995E-2</v>
      </c>
      <c r="S51" s="98">
        <v>7.637341520999999E-2</v>
      </c>
      <c r="T51" s="98">
        <v>6.6561128449999993E-2</v>
      </c>
      <c r="U51" s="98">
        <v>5.6023901600000002E-2</v>
      </c>
      <c r="V51" s="98">
        <v>5.2000805640000002E-2</v>
      </c>
      <c r="W51" s="98">
        <v>3.2640806059999999E-2</v>
      </c>
      <c r="X51" s="98">
        <v>2.3186098119999998E-2</v>
      </c>
      <c r="Y51" s="98">
        <v>3.0803675749999995E-2</v>
      </c>
      <c r="Z51" s="98">
        <v>2.7060503099999998E-2</v>
      </c>
      <c r="AA51" s="98">
        <v>2.4717739169999996E-2</v>
      </c>
      <c r="AB51" s="98">
        <v>2.2673979039999997E-2</v>
      </c>
      <c r="AC51" s="126">
        <v>1.9232342219999997E-2</v>
      </c>
      <c r="AD51" s="126">
        <v>1.1824468089999998E-2</v>
      </c>
      <c r="AE51" s="126">
        <v>9.5259709299999988E-3</v>
      </c>
      <c r="AF51" s="126">
        <v>9.4215021799999993E-3</v>
      </c>
      <c r="AG51" s="126">
        <v>8.6309824299999997E-3</v>
      </c>
      <c r="AH51" s="126">
        <v>9.3795677599999988E-3</v>
      </c>
      <c r="AI51" s="126">
        <v>7.2759398299999997E-3</v>
      </c>
    </row>
    <row r="52" spans="1:36" ht="17" x14ac:dyDescent="0.45">
      <c r="A52" s="1309" t="s">
        <v>1041</v>
      </c>
      <c r="B52" s="97">
        <v>7.8214987199999988E-2</v>
      </c>
      <c r="C52" s="98">
        <v>8.0808928199999977E-2</v>
      </c>
      <c r="D52" s="98">
        <v>7.5352592899999987E-2</v>
      </c>
      <c r="E52" s="98">
        <v>6.7036658540000002E-2</v>
      </c>
      <c r="F52" s="98">
        <v>6.6667078939999985E-2</v>
      </c>
      <c r="G52" s="98">
        <v>6.2822849139999998E-2</v>
      </c>
      <c r="H52" s="98">
        <v>6.5963328099999996E-2</v>
      </c>
      <c r="I52" s="98">
        <v>7.9168754080000001E-2</v>
      </c>
      <c r="J52" s="98">
        <v>7.9885527519999985E-2</v>
      </c>
      <c r="K52" s="98">
        <v>7.395995545999999E-2</v>
      </c>
      <c r="L52" s="98">
        <v>7.0481097499999992E-2</v>
      </c>
      <c r="M52" s="98">
        <v>6.7872584299999983E-2</v>
      </c>
      <c r="N52" s="98">
        <v>6.8537520640000002E-2</v>
      </c>
      <c r="O52" s="98">
        <v>6.7759028420000006E-2</v>
      </c>
      <c r="P52" s="98">
        <v>6.4901420000000001E-2</v>
      </c>
      <c r="Q52" s="98">
        <v>7.0352468779999983E-2</v>
      </c>
      <c r="R52" s="98">
        <v>6.0361929379999998E-2</v>
      </c>
      <c r="S52" s="98">
        <v>6.5263942959999988E-2</v>
      </c>
      <c r="T52" s="98">
        <v>5.7153166699999994E-2</v>
      </c>
      <c r="U52" s="98">
        <v>4.8211766100000004E-2</v>
      </c>
      <c r="V52" s="98">
        <v>4.408349164E-2</v>
      </c>
      <c r="W52" s="98">
        <v>2.5766784560000002E-2</v>
      </c>
      <c r="X52" s="98">
        <v>1.7000211619999997E-2</v>
      </c>
      <c r="Y52" s="98">
        <v>2.4711575499999996E-2</v>
      </c>
      <c r="Z52" s="98">
        <v>2.0697798599999997E-2</v>
      </c>
      <c r="AA52" s="98">
        <v>1.8281417919999998E-2</v>
      </c>
      <c r="AB52" s="98">
        <v>1.6468144539999997E-2</v>
      </c>
      <c r="AC52" s="126">
        <v>1.3097737719999999E-2</v>
      </c>
      <c r="AD52" s="126">
        <v>6.78205684E-3</v>
      </c>
      <c r="AE52" s="126">
        <v>5.3816296799999996E-3</v>
      </c>
      <c r="AF52" s="126">
        <v>5.3381961799999992E-3</v>
      </c>
      <c r="AG52" s="126">
        <v>4.8333096799999999E-3</v>
      </c>
      <c r="AH52" s="126">
        <v>5.4131312599999988E-3</v>
      </c>
      <c r="AI52" s="126">
        <v>4.0220195799999994E-3</v>
      </c>
    </row>
    <row r="53" spans="1:36" ht="17.5" thickBot="1" x14ac:dyDescent="0.5">
      <c r="A53" s="1310" t="s">
        <v>1042</v>
      </c>
      <c r="B53" s="143">
        <v>1.56693015E-2</v>
      </c>
      <c r="C53" s="129">
        <v>1.6014031249999998E-2</v>
      </c>
      <c r="D53" s="129">
        <v>1.5561707249999999E-2</v>
      </c>
      <c r="E53" s="129">
        <v>1.3931615749999999E-2</v>
      </c>
      <c r="F53" s="129">
        <v>1.3474870499999998E-2</v>
      </c>
      <c r="G53" s="129">
        <v>1.1587508749999998E-2</v>
      </c>
      <c r="H53" s="129">
        <v>1.1245308250000001E-2</v>
      </c>
      <c r="I53" s="129">
        <v>1.5475928999999996E-2</v>
      </c>
      <c r="J53" s="129">
        <v>1.7865949250000002E-2</v>
      </c>
      <c r="K53" s="129">
        <v>1.439882925E-2</v>
      </c>
      <c r="L53" s="129">
        <v>1.2811531750000001E-2</v>
      </c>
      <c r="M53" s="129">
        <v>1.272993E-2</v>
      </c>
      <c r="N53" s="129">
        <v>1.2082999999999998E-2</v>
      </c>
      <c r="O53" s="129">
        <v>1.3749111499999998E-2</v>
      </c>
      <c r="P53" s="129">
        <v>1.2998704E-2</v>
      </c>
      <c r="Q53" s="129">
        <v>1.302670675E-2</v>
      </c>
      <c r="R53" s="129">
        <v>1.012157E-2</v>
      </c>
      <c r="S53" s="129">
        <v>1.1109472249999999E-2</v>
      </c>
      <c r="T53" s="129">
        <v>9.407961749999999E-3</v>
      </c>
      <c r="U53" s="129">
        <v>7.8121354999999993E-3</v>
      </c>
      <c r="V53" s="129">
        <v>7.9173139999999999E-3</v>
      </c>
      <c r="W53" s="129">
        <v>6.874021499999999E-3</v>
      </c>
      <c r="X53" s="129">
        <v>6.1858865000000004E-3</v>
      </c>
      <c r="Y53" s="129">
        <v>6.0921002499999995E-3</v>
      </c>
      <c r="Z53" s="129">
        <v>6.3627045E-3</v>
      </c>
      <c r="AA53" s="129">
        <v>6.4363212499999999E-3</v>
      </c>
      <c r="AB53" s="129">
        <v>6.2058345000000001E-3</v>
      </c>
      <c r="AC53" s="130">
        <v>6.1346044999999998E-3</v>
      </c>
      <c r="AD53" s="130">
        <v>5.0424112499999991E-3</v>
      </c>
      <c r="AE53" s="130">
        <v>4.1443412499999992E-3</v>
      </c>
      <c r="AF53" s="130">
        <v>4.0833059999999992E-3</v>
      </c>
      <c r="AG53" s="130">
        <v>3.7976727499999998E-3</v>
      </c>
      <c r="AH53" s="130">
        <v>3.9664365E-3</v>
      </c>
      <c r="AI53" s="130">
        <v>3.2539202499999999E-3</v>
      </c>
    </row>
    <row r="54" spans="1:36" x14ac:dyDescent="0.4">
      <c r="A54" s="108" t="s">
        <v>20</v>
      </c>
      <c r="B54" s="97">
        <v>0.39392393347961657</v>
      </c>
      <c r="C54" s="98">
        <v>0.40013422191377523</v>
      </c>
      <c r="D54" s="98">
        <v>0.41335097932233644</v>
      </c>
      <c r="E54" s="98">
        <v>0.40883048725675802</v>
      </c>
      <c r="F54" s="98">
        <v>0.39752885369571223</v>
      </c>
      <c r="G54" s="98">
        <v>0.38568525536627052</v>
      </c>
      <c r="H54" s="98">
        <v>0.39130273358983747</v>
      </c>
      <c r="I54" s="98">
        <v>0.35964916068274089</v>
      </c>
      <c r="J54" s="98">
        <v>0.33385425765324217</v>
      </c>
      <c r="K54" s="98">
        <v>0.32505108406398575</v>
      </c>
      <c r="L54" s="98">
        <v>0.3407538899819802</v>
      </c>
      <c r="M54" s="98">
        <v>0.30966049804689061</v>
      </c>
      <c r="N54" s="98">
        <v>0.30878319847806796</v>
      </c>
      <c r="O54" s="98">
        <v>0.32113947398188225</v>
      </c>
      <c r="P54" s="98">
        <v>0.31065072400356897</v>
      </c>
      <c r="Q54" s="98">
        <v>0.22965144003025872</v>
      </c>
      <c r="R54" s="98">
        <v>0.19430822105942841</v>
      </c>
      <c r="S54" s="98">
        <v>0.20554037620253796</v>
      </c>
      <c r="T54" s="98">
        <v>0.20003144311819246</v>
      </c>
      <c r="U54" s="98">
        <v>0.24294078582556575</v>
      </c>
      <c r="V54" s="98">
        <v>0.25470182259440116</v>
      </c>
      <c r="W54" s="98">
        <v>0.23196311216810306</v>
      </c>
      <c r="X54" s="98">
        <v>0.19197804955934264</v>
      </c>
      <c r="Y54" s="98">
        <v>0.23078859174012936</v>
      </c>
      <c r="Z54" s="98">
        <v>0.23527864540800461</v>
      </c>
      <c r="AA54" s="98">
        <v>0.22528116471521026</v>
      </c>
      <c r="AB54" s="98">
        <v>0.19024063645742986</v>
      </c>
      <c r="AC54" s="126">
        <v>0.18475983478625091</v>
      </c>
      <c r="AD54" s="126">
        <v>0.18100000056889026</v>
      </c>
      <c r="AE54" s="126">
        <v>0.19755403527822973</v>
      </c>
      <c r="AF54" s="126">
        <v>0.18701437160180776</v>
      </c>
      <c r="AG54" s="126">
        <v>0.19273984116406112</v>
      </c>
      <c r="AH54" s="126">
        <v>0.21819674027142155</v>
      </c>
      <c r="AI54" s="126">
        <v>0.19577033569817293</v>
      </c>
    </row>
    <row r="55" spans="1:36" x14ac:dyDescent="0.4">
      <c r="A55" s="1055" t="s">
        <v>1063</v>
      </c>
      <c r="B55" s="1078"/>
      <c r="C55" s="1077"/>
      <c r="D55" s="1077"/>
      <c r="E55" s="1077"/>
      <c r="F55" s="1077"/>
      <c r="G55" s="1077"/>
      <c r="H55" s="1077"/>
      <c r="I55" s="1077"/>
      <c r="J55" s="1077"/>
      <c r="K55" s="1077"/>
      <c r="L55" s="1077"/>
      <c r="M55" s="1077"/>
      <c r="N55" s="1077"/>
      <c r="O55" s="1077"/>
      <c r="P55" s="1077"/>
      <c r="Q55" s="1077"/>
      <c r="R55" s="1077"/>
      <c r="S55" s="1077"/>
      <c r="T55" s="1077"/>
      <c r="U55" s="1077"/>
      <c r="V55" s="1077"/>
      <c r="W55" s="1077"/>
      <c r="X55" s="1077"/>
      <c r="Y55" s="1077"/>
      <c r="Z55" s="1077"/>
      <c r="AA55" s="1077"/>
      <c r="AB55" s="1077"/>
      <c r="AC55" s="1079"/>
      <c r="AD55" s="1079"/>
      <c r="AE55" s="1079"/>
      <c r="AF55" s="1079"/>
      <c r="AG55" s="1079"/>
      <c r="AH55" s="1079"/>
      <c r="AI55" s="1079"/>
    </row>
    <row r="56" spans="1:36" x14ac:dyDescent="0.4">
      <c r="B56" s="131"/>
      <c r="C56" s="131"/>
      <c r="D56" s="131"/>
      <c r="E56" s="131"/>
      <c r="F56" s="131"/>
      <c r="G56" s="131"/>
      <c r="H56" s="131"/>
      <c r="I56" s="131"/>
      <c r="J56" s="131"/>
      <c r="K56" s="131"/>
      <c r="L56" s="131"/>
      <c r="M56" s="131"/>
      <c r="N56" s="131"/>
      <c r="O56" s="131"/>
      <c r="P56" s="131"/>
      <c r="Q56" s="131"/>
      <c r="R56" s="131"/>
      <c r="S56" s="131"/>
      <c r="T56" s="131"/>
      <c r="U56" s="28"/>
      <c r="AI56" s="28"/>
    </row>
    <row r="57" spans="1:36" ht="17.5" thickBot="1" x14ac:dyDescent="0.5">
      <c r="A57" s="108" t="s">
        <v>1043</v>
      </c>
      <c r="B57" s="98"/>
      <c r="D57" s="132"/>
      <c r="E57" s="98"/>
      <c r="F57" s="98"/>
      <c r="G57" s="98"/>
      <c r="H57" s="98"/>
      <c r="I57" s="98"/>
      <c r="J57" s="98"/>
      <c r="K57" s="98"/>
      <c r="L57" s="98"/>
      <c r="M57" s="98"/>
      <c r="N57" s="121"/>
      <c r="O57" s="121"/>
      <c r="P57" s="121"/>
      <c r="Q57" s="121"/>
      <c r="R57" s="121"/>
      <c r="S57" s="121"/>
      <c r="T57" s="121"/>
      <c r="U57" s="121"/>
      <c r="V57" s="121"/>
      <c r="X57" s="121"/>
      <c r="AB57" s="12"/>
      <c r="AC57" s="12"/>
      <c r="AD57" s="12"/>
      <c r="AE57" s="12"/>
      <c r="AF57" s="12"/>
      <c r="AG57" s="12"/>
      <c r="AI57" s="28"/>
    </row>
    <row r="58" spans="1:36" s="86" customFormat="1" ht="16.5" thickBot="1" x14ac:dyDescent="0.45">
      <c r="A58" s="976" t="s">
        <v>669</v>
      </c>
      <c r="B58" s="984" t="s">
        <v>391</v>
      </c>
      <c r="C58" s="983" t="s">
        <v>392</v>
      </c>
      <c r="D58" s="983" t="s">
        <v>393</v>
      </c>
      <c r="E58" s="983" t="s">
        <v>394</v>
      </c>
      <c r="F58" s="983" t="s">
        <v>395</v>
      </c>
      <c r="G58" s="983" t="s">
        <v>396</v>
      </c>
      <c r="H58" s="983" t="s">
        <v>397</v>
      </c>
      <c r="I58" s="983" t="s">
        <v>398</v>
      </c>
      <c r="J58" s="983" t="s">
        <v>399</v>
      </c>
      <c r="K58" s="983" t="s">
        <v>400</v>
      </c>
      <c r="L58" s="983" t="s">
        <v>401</v>
      </c>
      <c r="M58" s="983" t="s">
        <v>402</v>
      </c>
      <c r="N58" s="983" t="s">
        <v>403</v>
      </c>
      <c r="O58" s="983" t="s">
        <v>404</v>
      </c>
      <c r="P58" s="983" t="s">
        <v>405</v>
      </c>
      <c r="Q58" s="983" t="s">
        <v>406</v>
      </c>
      <c r="R58" s="983" t="s">
        <v>407</v>
      </c>
      <c r="S58" s="983" t="s">
        <v>408</v>
      </c>
      <c r="T58" s="983" t="s">
        <v>409</v>
      </c>
      <c r="U58" s="983" t="s">
        <v>410</v>
      </c>
      <c r="V58" s="983" t="s">
        <v>411</v>
      </c>
      <c r="W58" s="983" t="s">
        <v>412</v>
      </c>
      <c r="X58" s="983" t="s">
        <v>413</v>
      </c>
      <c r="Y58" s="983" t="s">
        <v>414</v>
      </c>
      <c r="Z58" s="983" t="s">
        <v>415</v>
      </c>
      <c r="AA58" s="983" t="s">
        <v>416</v>
      </c>
      <c r="AB58" s="983" t="s">
        <v>417</v>
      </c>
      <c r="AC58" s="983" t="s">
        <v>418</v>
      </c>
      <c r="AD58" s="983" t="s">
        <v>419</v>
      </c>
      <c r="AE58" s="983" t="s">
        <v>420</v>
      </c>
      <c r="AF58" s="983" t="s">
        <v>421</v>
      </c>
      <c r="AG58" s="983" t="s">
        <v>422</v>
      </c>
      <c r="AH58" s="983" t="s">
        <v>423</v>
      </c>
      <c r="AI58" s="983" t="s">
        <v>424</v>
      </c>
      <c r="AJ58" s="3"/>
    </row>
    <row r="59" spans="1:36" x14ac:dyDescent="0.4">
      <c r="A59" s="245" t="s">
        <v>59</v>
      </c>
      <c r="B59" s="97">
        <f>B60+B61</f>
        <v>0</v>
      </c>
      <c r="C59" s="98">
        <f t="shared" ref="C59:X59" si="0">C60+C61</f>
        <v>0</v>
      </c>
      <c r="D59" s="98">
        <f t="shared" si="0"/>
        <v>0</v>
      </c>
      <c r="E59" s="98">
        <f t="shared" si="0"/>
        <v>0</v>
      </c>
      <c r="F59" s="98">
        <f t="shared" si="0"/>
        <v>0</v>
      </c>
      <c r="G59" s="98">
        <f t="shared" si="0"/>
        <v>0</v>
      </c>
      <c r="H59" s="98">
        <f t="shared" si="0"/>
        <v>0</v>
      </c>
      <c r="I59" s="98">
        <f t="shared" si="0"/>
        <v>0</v>
      </c>
      <c r="J59" s="98">
        <f t="shared" si="0"/>
        <v>0</v>
      </c>
      <c r="K59" s="98">
        <f t="shared" si="0"/>
        <v>0</v>
      </c>
      <c r="L59" s="98">
        <f t="shared" si="0"/>
        <v>0</v>
      </c>
      <c r="M59" s="98">
        <f t="shared" si="0"/>
        <v>4.2196E-7</v>
      </c>
      <c r="N59" s="98">
        <f t="shared" si="0"/>
        <v>6.6307999999999993E-7</v>
      </c>
      <c r="O59" s="98">
        <f t="shared" si="0"/>
        <v>5.4252000000000002E-7</v>
      </c>
      <c r="P59" s="98">
        <f t="shared" si="0"/>
        <v>1.08504E-6</v>
      </c>
      <c r="Q59" s="98">
        <f t="shared" si="0"/>
        <v>3.64694E-6</v>
      </c>
      <c r="R59" s="98">
        <f t="shared" si="0"/>
        <v>1.048872E-5</v>
      </c>
      <c r="S59" s="98">
        <f t="shared" si="0"/>
        <v>1.4226079999999998E-5</v>
      </c>
      <c r="T59" s="98">
        <f t="shared" si="0"/>
        <v>1.22067E-5</v>
      </c>
      <c r="U59" s="98">
        <f t="shared" si="0"/>
        <v>1.2930060000000001E-5</v>
      </c>
      <c r="V59" s="98">
        <f t="shared" si="0"/>
        <v>1.0458579999999999E-5</v>
      </c>
      <c r="W59" s="98">
        <f t="shared" si="0"/>
        <v>3.547478E-5</v>
      </c>
      <c r="X59" s="98">
        <f t="shared" si="0"/>
        <v>3.4269179999999999E-5</v>
      </c>
      <c r="Y59" s="98">
        <f t="shared" ref="Y59:AD59" si="1">Y60+Y61</f>
        <v>7.6555600000000003E-5</v>
      </c>
      <c r="Z59" s="98">
        <f t="shared" si="1"/>
        <v>5.3136819999999997E-5</v>
      </c>
      <c r="AA59" s="98">
        <f t="shared" si="1"/>
        <v>5.5397319999999994E-5</v>
      </c>
      <c r="AB59" s="133">
        <f t="shared" si="1"/>
        <v>8.3638499999999996E-5</v>
      </c>
      <c r="AC59" s="133">
        <f t="shared" si="1"/>
        <v>7.0497459999999991E-5</v>
      </c>
      <c r="AD59" s="133">
        <f t="shared" si="1"/>
        <v>6.2570639999999996E-5</v>
      </c>
      <c r="AE59" s="98">
        <f t="shared" ref="AE59:AF59" si="2">AE60+AE61</f>
        <v>5.2534019999999997E-5</v>
      </c>
      <c r="AF59" s="98">
        <f t="shared" si="2"/>
        <v>5.6904319999999991E-5</v>
      </c>
      <c r="AG59" s="98">
        <f t="shared" ref="AG59:AH59" si="3">AG60+AG61</f>
        <v>4.4577059999999994E-5</v>
      </c>
      <c r="AH59" s="98">
        <f t="shared" si="3"/>
        <v>4.1713759999999998E-5</v>
      </c>
      <c r="AI59" s="98">
        <f t="shared" ref="AI59" si="4">AI60+AI61</f>
        <v>5.6391939999999994E-5</v>
      </c>
    </row>
    <row r="60" spans="1:36" ht="17" x14ac:dyDescent="0.45">
      <c r="A60" s="1309" t="s">
        <v>1041</v>
      </c>
      <c r="B60" s="97">
        <f>'Biogenic Combustion'!C177</f>
        <v>0</v>
      </c>
      <c r="C60" s="98">
        <f>'Biogenic Combustion'!D177</f>
        <v>0</v>
      </c>
      <c r="D60" s="98">
        <f>'Biogenic Combustion'!E177</f>
        <v>0</v>
      </c>
      <c r="E60" s="98">
        <f>'Biogenic Combustion'!F177</f>
        <v>0</v>
      </c>
      <c r="F60" s="98">
        <f>'Biogenic Combustion'!G177</f>
        <v>0</v>
      </c>
      <c r="G60" s="98">
        <f>'Biogenic Combustion'!H177</f>
        <v>0</v>
      </c>
      <c r="H60" s="98">
        <f>'Biogenic Combustion'!I177</f>
        <v>0</v>
      </c>
      <c r="I60" s="98">
        <f>'Biogenic Combustion'!J177</f>
        <v>0</v>
      </c>
      <c r="J60" s="98">
        <f>'Biogenic Combustion'!K177</f>
        <v>0</v>
      </c>
      <c r="K60" s="98">
        <f>'Biogenic Combustion'!L177</f>
        <v>0</v>
      </c>
      <c r="L60" s="98">
        <f>'Biogenic Combustion'!M177</f>
        <v>0</v>
      </c>
      <c r="M60" s="98">
        <f>'Biogenic Combustion'!N177</f>
        <v>2.2945999999999999E-7</v>
      </c>
      <c r="N60" s="98">
        <f>'Biogenic Combustion'!O177</f>
        <v>3.6057999999999996E-7</v>
      </c>
      <c r="O60" s="98">
        <f>'Biogenic Combustion'!P177</f>
        <v>2.9501999999999995E-7</v>
      </c>
      <c r="P60" s="98">
        <f>'Biogenic Combustion'!Q177</f>
        <v>5.900399999999999E-7</v>
      </c>
      <c r="Q60" s="98">
        <f>'Biogenic Combustion'!R177</f>
        <v>1.9831900000000001E-6</v>
      </c>
      <c r="R60" s="98">
        <f>'Biogenic Combustion'!S177</f>
        <v>5.7037199999999998E-6</v>
      </c>
      <c r="S60" s="98">
        <f>'Biogenic Combustion'!T177</f>
        <v>7.736079999999999E-6</v>
      </c>
      <c r="T60" s="98">
        <f>'Biogenic Combustion'!U177</f>
        <v>6.6379499999999997E-6</v>
      </c>
      <c r="U60" s="98">
        <f>'Biogenic Combustion'!V177</f>
        <v>7.0313099999999998E-6</v>
      </c>
      <c r="V60" s="98">
        <f>'Biogenic Combustion'!W177</f>
        <v>5.6873299999999993E-6</v>
      </c>
      <c r="W60" s="98">
        <f>'Biogenic Combustion'!X177</f>
        <v>1.9291030000000001E-5</v>
      </c>
      <c r="X60" s="98">
        <f>'Biogenic Combustion'!Y177</f>
        <v>1.863543E-5</v>
      </c>
      <c r="Y60" s="98">
        <f>'Biogenic Combustion'!Z177</f>
        <v>4.1630600000000001E-5</v>
      </c>
      <c r="Z60" s="98">
        <f>'Biogenic Combustion'!AA177</f>
        <v>2.8895569999999996E-5</v>
      </c>
      <c r="AA60" s="98">
        <f>'Biogenic Combustion'!AB177</f>
        <v>3.0124819999999998E-5</v>
      </c>
      <c r="AB60" s="98">
        <f>'Biogenic Combustion'!AC177</f>
        <v>4.548225E-5</v>
      </c>
      <c r="AC60" s="98">
        <f>'Biogenic Combustion'!AD177</f>
        <v>3.8336209999999995E-5</v>
      </c>
      <c r="AD60" s="133">
        <f>'Biogenic Combustion'!AE177</f>
        <v>3.4025639999999998E-5</v>
      </c>
      <c r="AE60" s="98">
        <f>'Biogenic Combustion'!AF177</f>
        <v>2.8567769999999999E-5</v>
      </c>
      <c r="AF60" s="98">
        <f>'Biogenic Combustion'!AG177</f>
        <v>3.0944319999999996E-5</v>
      </c>
      <c r="AG60" s="98">
        <f>'Biogenic Combustion'!AH177</f>
        <v>2.4240809999999997E-5</v>
      </c>
      <c r="AH60" s="98">
        <f>'Biogenic Combustion'!AI177</f>
        <v>2.2683759999999998E-5</v>
      </c>
      <c r="AI60" s="98">
        <f>'Biogenic Combustion'!AJ177</f>
        <v>3.0665689999999993E-5</v>
      </c>
    </row>
    <row r="61" spans="1:36" ht="17" x14ac:dyDescent="0.45">
      <c r="A61" s="1309" t="s">
        <v>1042</v>
      </c>
      <c r="B61" s="97">
        <f>'Biogenic Combustion'!C174</f>
        <v>0</v>
      </c>
      <c r="C61" s="98">
        <f>'Biogenic Combustion'!D174</f>
        <v>0</v>
      </c>
      <c r="D61" s="98">
        <f>'Biogenic Combustion'!E174</f>
        <v>0</v>
      </c>
      <c r="E61" s="98">
        <f>'Biogenic Combustion'!F174</f>
        <v>0</v>
      </c>
      <c r="F61" s="98">
        <f>'Biogenic Combustion'!G174</f>
        <v>0</v>
      </c>
      <c r="G61" s="98">
        <f>'Biogenic Combustion'!H174</f>
        <v>0</v>
      </c>
      <c r="H61" s="98">
        <f>'Biogenic Combustion'!I174</f>
        <v>0</v>
      </c>
      <c r="I61" s="98">
        <f>'Biogenic Combustion'!J174</f>
        <v>0</v>
      </c>
      <c r="J61" s="98">
        <f>'Biogenic Combustion'!K174</f>
        <v>0</v>
      </c>
      <c r="K61" s="98">
        <f>'Biogenic Combustion'!L174</f>
        <v>0</v>
      </c>
      <c r="L61" s="98">
        <f>'Biogenic Combustion'!M174</f>
        <v>0</v>
      </c>
      <c r="M61" s="98">
        <f>'Biogenic Combustion'!N174</f>
        <v>1.9250000000000001E-7</v>
      </c>
      <c r="N61" s="98">
        <f>'Biogenic Combustion'!O174</f>
        <v>3.0250000000000002E-7</v>
      </c>
      <c r="O61" s="98">
        <f>'Biogenic Combustion'!P174</f>
        <v>2.4750000000000001E-7</v>
      </c>
      <c r="P61" s="98">
        <f>'Biogenic Combustion'!Q174</f>
        <v>4.9500000000000003E-7</v>
      </c>
      <c r="Q61" s="98">
        <f>'Biogenic Combustion'!R174</f>
        <v>1.66375E-6</v>
      </c>
      <c r="R61" s="98">
        <f>'Biogenic Combustion'!S174</f>
        <v>4.7849999999999999E-6</v>
      </c>
      <c r="S61" s="98">
        <f>'Biogenic Combustion'!T174</f>
        <v>6.4899999999999997E-6</v>
      </c>
      <c r="T61" s="98">
        <f>'Biogenic Combustion'!U174</f>
        <v>5.5687499999999998E-6</v>
      </c>
      <c r="U61" s="98">
        <f>'Biogenic Combustion'!V174</f>
        <v>5.8987500000000001E-6</v>
      </c>
      <c r="V61" s="98">
        <f>'Biogenic Combustion'!W174</f>
        <v>4.7712499999999994E-6</v>
      </c>
      <c r="W61" s="98">
        <f>'Biogenic Combustion'!X174</f>
        <v>1.6183749999999999E-5</v>
      </c>
      <c r="X61" s="98">
        <f>'Biogenic Combustion'!Y174</f>
        <v>1.5633749999999999E-5</v>
      </c>
      <c r="Y61" s="98">
        <f>'Biogenic Combustion'!Z174</f>
        <v>3.4925000000000002E-5</v>
      </c>
      <c r="Z61" s="98">
        <f>'Biogenic Combustion'!AA174</f>
        <v>2.4241250000000001E-5</v>
      </c>
      <c r="AA61" s="98">
        <f>'Biogenic Combustion'!AB174</f>
        <v>2.5272499999999999E-5</v>
      </c>
      <c r="AB61" s="98">
        <f>'Biogenic Combustion'!AC174</f>
        <v>3.8156249999999996E-5</v>
      </c>
      <c r="AC61" s="98">
        <f>'Biogenic Combustion'!AD174</f>
        <v>3.2161249999999996E-5</v>
      </c>
      <c r="AD61" s="133">
        <f>'Biogenic Combustion'!AE174</f>
        <v>2.8545000000000002E-5</v>
      </c>
      <c r="AE61" s="98">
        <f>'Biogenic Combustion'!AF174</f>
        <v>2.3966250000000001E-5</v>
      </c>
      <c r="AF61" s="98">
        <f>'Biogenic Combustion'!AG174</f>
        <v>2.5959999999999999E-5</v>
      </c>
      <c r="AG61" s="98">
        <f>'Biogenic Combustion'!AH174</f>
        <v>2.033625E-5</v>
      </c>
      <c r="AH61" s="98">
        <f>'Biogenic Combustion'!AI174</f>
        <v>1.9029999999999999E-5</v>
      </c>
      <c r="AI61" s="98">
        <f>'Biogenic Combustion'!AJ174</f>
        <v>2.5726250000000001E-5</v>
      </c>
    </row>
    <row r="62" spans="1:36" x14ac:dyDescent="0.4">
      <c r="A62" s="246" t="s">
        <v>74</v>
      </c>
      <c r="B62" s="97">
        <f>B63+B64</f>
        <v>0</v>
      </c>
      <c r="C62" s="98">
        <f t="shared" ref="C62:X62" si="5">C63+C64</f>
        <v>0</v>
      </c>
      <c r="D62" s="98">
        <f t="shared" si="5"/>
        <v>0</v>
      </c>
      <c r="E62" s="98">
        <f t="shared" si="5"/>
        <v>0</v>
      </c>
      <c r="F62" s="98">
        <f t="shared" si="5"/>
        <v>0</v>
      </c>
      <c r="G62" s="98">
        <f t="shared" si="5"/>
        <v>0</v>
      </c>
      <c r="H62" s="98">
        <f t="shared" si="5"/>
        <v>0</v>
      </c>
      <c r="I62" s="98">
        <f t="shared" si="5"/>
        <v>0</v>
      </c>
      <c r="J62" s="98">
        <f t="shared" si="5"/>
        <v>0</v>
      </c>
      <c r="K62" s="98">
        <f t="shared" si="5"/>
        <v>0</v>
      </c>
      <c r="L62" s="98">
        <f t="shared" si="5"/>
        <v>1.4308594000000002E-3</v>
      </c>
      <c r="M62" s="98">
        <f t="shared" si="5"/>
        <v>1.2840543999999999E-3</v>
      </c>
      <c r="N62" s="98">
        <f t="shared" si="5"/>
        <v>1.6970657999999998E-3</v>
      </c>
      <c r="O62" s="98">
        <f t="shared" si="5"/>
        <v>1.4778370000000001E-3</v>
      </c>
      <c r="P62" s="98">
        <f t="shared" si="5"/>
        <v>3.3941918799999995E-3</v>
      </c>
      <c r="Q62" s="98">
        <f t="shared" si="5"/>
        <v>1.8081427325504593E-3</v>
      </c>
      <c r="R62" s="98">
        <f t="shared" si="5"/>
        <v>1.930340980168099E-3</v>
      </c>
      <c r="S62" s="98">
        <f t="shared" si="5"/>
        <v>1.8500258015776969E-3</v>
      </c>
      <c r="T62" s="98">
        <f t="shared" si="5"/>
        <v>1.8694024900107607E-3</v>
      </c>
      <c r="U62" s="98">
        <f t="shared" si="5"/>
        <v>1.9417859778827901E-3</v>
      </c>
      <c r="V62" s="98">
        <f t="shared" si="5"/>
        <v>1.8225159451011274E-3</v>
      </c>
      <c r="W62" s="98">
        <f t="shared" si="5"/>
        <v>1.96326753398592E-3</v>
      </c>
      <c r="X62" s="98">
        <f t="shared" si="5"/>
        <v>1.8976091821568571E-3</v>
      </c>
      <c r="Y62" s="98">
        <f t="shared" ref="Y62:AD62" si="6">Y63+Y64</f>
        <v>1.988531026612313E-3</v>
      </c>
      <c r="Z62" s="98">
        <f t="shared" si="6"/>
        <v>2.0039387686210577E-3</v>
      </c>
      <c r="AA62" s="98">
        <f t="shared" si="6"/>
        <v>1.9984368143573278E-3</v>
      </c>
      <c r="AB62" s="98">
        <f t="shared" si="6"/>
        <v>2.0334255302494227E-3</v>
      </c>
      <c r="AC62" s="98">
        <f t="shared" si="6"/>
        <v>2.0751169493624924E-3</v>
      </c>
      <c r="AD62" s="133">
        <f t="shared" si="6"/>
        <v>2.0934783102778973E-3</v>
      </c>
      <c r="AE62" s="98">
        <f t="shared" ref="AE62:AF62" si="7">AE63+AE64</f>
        <v>2.1010340311255382E-3</v>
      </c>
      <c r="AF62" s="98">
        <f t="shared" si="7"/>
        <v>1.8858209171263845E-3</v>
      </c>
      <c r="AG62" s="98">
        <f t="shared" ref="AG62:AH62" si="8">AG63+AG64</f>
        <v>1.8777172134419801E-3</v>
      </c>
      <c r="AH62" s="98">
        <f t="shared" si="8"/>
        <v>1.8020966909137635E-3</v>
      </c>
      <c r="AI62" s="98">
        <f t="shared" ref="AI62" si="9">AI63+AI64</f>
        <v>1.8985276978371538E-3</v>
      </c>
    </row>
    <row r="63" spans="1:36" ht="17" x14ac:dyDescent="0.45">
      <c r="A63" s="1309" t="s">
        <v>1041</v>
      </c>
      <c r="B63" s="97">
        <f>'Biogenic Combustion'!C107+'Biogenic Combustion'!C93</f>
        <v>0</v>
      </c>
      <c r="C63" s="98">
        <f>'Biogenic Combustion'!D107+'Biogenic Combustion'!D93</f>
        <v>0</v>
      </c>
      <c r="D63" s="98">
        <f>'Biogenic Combustion'!E107+'Biogenic Combustion'!E93</f>
        <v>0</v>
      </c>
      <c r="E63" s="98">
        <f>'Biogenic Combustion'!F107+'Biogenic Combustion'!F93</f>
        <v>0</v>
      </c>
      <c r="F63" s="98">
        <f>'Biogenic Combustion'!G107+'Biogenic Combustion'!G93</f>
        <v>0</v>
      </c>
      <c r="G63" s="98">
        <f>'Biogenic Combustion'!H107+'Biogenic Combustion'!H93</f>
        <v>0</v>
      </c>
      <c r="H63" s="98">
        <f>'Biogenic Combustion'!I107+'Biogenic Combustion'!I93</f>
        <v>0</v>
      </c>
      <c r="I63" s="98">
        <f>'Biogenic Combustion'!J107+'Biogenic Combustion'!J93</f>
        <v>0</v>
      </c>
      <c r="J63" s="98">
        <f>'Biogenic Combustion'!K107+'Biogenic Combustion'!K93</f>
        <v>0</v>
      </c>
      <c r="K63" s="98">
        <f>'Biogenic Combustion'!L107+'Biogenic Combustion'!L93</f>
        <v>0</v>
      </c>
      <c r="L63" s="98">
        <f>'Biogenic Combustion'!M107+'Biogenic Combustion'!M93</f>
        <v>1.3723794000000001E-3</v>
      </c>
      <c r="M63" s="98">
        <f>'Biogenic Combustion'!N107+'Biogenic Combustion'!N93</f>
        <v>1.2315744E-3</v>
      </c>
      <c r="N63" s="98">
        <f>'Biogenic Combustion'!O107+'Biogenic Combustion'!O93</f>
        <v>1.6277057999999997E-3</v>
      </c>
      <c r="O63" s="98">
        <f>'Biogenic Combustion'!P107+'Biogenic Combustion'!P93</f>
        <v>1.4174370000000001E-3</v>
      </c>
      <c r="P63" s="98">
        <f>'Biogenic Combustion'!Q107+'Biogenic Combustion'!Q93</f>
        <v>3.2554443799999995E-3</v>
      </c>
      <c r="Q63" s="98">
        <f>'Biogenic Combustion'!R107+'Biogenic Combustion'!R93</f>
        <v>1.734117776433142E-3</v>
      </c>
      <c r="R63" s="98">
        <f>'Biogenic Combustion'!S107+'Biogenic Combustion'!S93</f>
        <v>1.8509962431631701E-3</v>
      </c>
      <c r="S63" s="98">
        <f>'Biogenic Combustion'!T107+'Biogenic Combustion'!T93</f>
        <v>1.773813371555108E-3</v>
      </c>
      <c r="T63" s="98">
        <f>'Biogenic Combustion'!U107+'Biogenic Combustion'!U93</f>
        <v>1.7924732331900492E-3</v>
      </c>
      <c r="U63" s="98">
        <f>'Biogenic Combustion'!V107+'Biogenic Combustion'!V93</f>
        <v>1.8618232596695362E-3</v>
      </c>
      <c r="V63" s="98">
        <f>'Biogenic Combustion'!W107+'Biogenic Combustion'!W93</f>
        <v>1.747578075780554E-3</v>
      </c>
      <c r="W63" s="98">
        <f>'Biogenic Combustion'!X107+'Biogenic Combustion'!X93</f>
        <v>1.8817258358563226E-3</v>
      </c>
      <c r="X63" s="98">
        <f>'Biogenic Combustion'!Y107+'Biogenic Combustion'!Y93</f>
        <v>1.8196773204665799E-3</v>
      </c>
      <c r="Y63" s="98">
        <f>'Biogenic Combustion'!Z107+'Biogenic Combustion'!Z93</f>
        <v>1.9068330671615185E-3</v>
      </c>
      <c r="Z63" s="98">
        <f>'Biogenic Combustion'!AA107+'Biogenic Combustion'!AA93</f>
        <v>1.921611086394796E-3</v>
      </c>
      <c r="AA63" s="98">
        <f>'Biogenic Combustion'!AB107+'Biogenic Combustion'!AB93</f>
        <v>1.9041913829950176E-3</v>
      </c>
      <c r="AB63" s="98">
        <f>'Biogenic Combustion'!AC107+'Biogenic Combustion'!AC93</f>
        <v>1.9377250547615542E-3</v>
      </c>
      <c r="AC63" s="98">
        <f>'Biogenic Combustion'!AD107+'Biogenic Combustion'!AD93</f>
        <v>1.9774871960422718E-3</v>
      </c>
      <c r="AD63" s="133">
        <f>'Biogenic Combustion'!AE107+'Biogenic Combustion'!AE93</f>
        <v>1.9952483361171578E-3</v>
      </c>
      <c r="AE63" s="98">
        <f>'Biogenic Combustion'!AF107+'Biogenic Combustion'!AF93</f>
        <v>2.0021948146700138E-3</v>
      </c>
      <c r="AF63" s="98">
        <f>'Biogenic Combustion'!AG107+'Biogenic Combustion'!AG93</f>
        <v>1.7955522504920171E-3</v>
      </c>
      <c r="AG63" s="98">
        <f>'Biogenic Combustion'!AH107+'Biogenic Combustion'!AH93</f>
        <v>1.7875293863369641E-3</v>
      </c>
      <c r="AH63" s="98">
        <f>'Biogenic Combustion'!AI107+'Biogenic Combustion'!AI93</f>
        <v>1.7135474088185857E-3</v>
      </c>
      <c r="AI63" s="98">
        <f>'Biogenic Combustion'!AJ107+'Biogenic Combustion'!AJ93</f>
        <v>1.8067632815568983E-3</v>
      </c>
    </row>
    <row r="64" spans="1:36" ht="17" x14ac:dyDescent="0.45">
      <c r="A64" s="1309" t="s">
        <v>1042</v>
      </c>
      <c r="B64" s="97">
        <f>'Biogenic Combustion'!C104+'Biogenic Combustion'!C90</f>
        <v>0</v>
      </c>
      <c r="C64" s="98">
        <f>'Biogenic Combustion'!D104+'Biogenic Combustion'!D90</f>
        <v>0</v>
      </c>
      <c r="D64" s="98">
        <f>'Biogenic Combustion'!E104+'Biogenic Combustion'!E90</f>
        <v>0</v>
      </c>
      <c r="E64" s="98">
        <f>'Biogenic Combustion'!F104+'Biogenic Combustion'!F90</f>
        <v>0</v>
      </c>
      <c r="F64" s="98">
        <f>'Biogenic Combustion'!G104+'Biogenic Combustion'!G90</f>
        <v>0</v>
      </c>
      <c r="G64" s="98">
        <f>'Biogenic Combustion'!H104+'Biogenic Combustion'!H90</f>
        <v>0</v>
      </c>
      <c r="H64" s="98">
        <f>'Biogenic Combustion'!I104+'Biogenic Combustion'!I90</f>
        <v>0</v>
      </c>
      <c r="I64" s="98">
        <f>'Biogenic Combustion'!J104+'Biogenic Combustion'!J90</f>
        <v>0</v>
      </c>
      <c r="J64" s="98">
        <f>'Biogenic Combustion'!K104+'Biogenic Combustion'!K90</f>
        <v>0</v>
      </c>
      <c r="K64" s="98">
        <f>'Biogenic Combustion'!L104+'Biogenic Combustion'!L90</f>
        <v>0</v>
      </c>
      <c r="L64" s="98">
        <f>'Biogenic Combustion'!M104+'Biogenic Combustion'!M90</f>
        <v>5.8480000000000003E-5</v>
      </c>
      <c r="M64" s="98">
        <f>'Biogenic Combustion'!N104+'Biogenic Combustion'!N90</f>
        <v>5.2479999999999992E-5</v>
      </c>
      <c r="N64" s="98">
        <f>'Biogenic Combustion'!O104+'Biogenic Combustion'!O90</f>
        <v>6.936E-5</v>
      </c>
      <c r="O64" s="98">
        <f>'Biogenic Combustion'!P104+'Biogenic Combustion'!P90</f>
        <v>6.0399999999999998E-5</v>
      </c>
      <c r="P64" s="98">
        <f>'Biogenic Combustion'!Q104+'Biogenic Combustion'!Q90</f>
        <v>1.387475E-4</v>
      </c>
      <c r="Q64" s="98">
        <f>'Biogenic Combustion'!R104+'Biogenic Combustion'!R90</f>
        <v>7.4024956117317217E-5</v>
      </c>
      <c r="R64" s="98">
        <f>'Biogenic Combustion'!S104+'Biogenic Combustion'!S90</f>
        <v>7.9344737004928946E-5</v>
      </c>
      <c r="S64" s="98">
        <f>'Biogenic Combustion'!T104+'Biogenic Combustion'!T90</f>
        <v>7.6212430022589025E-5</v>
      </c>
      <c r="T64" s="98">
        <f>'Biogenic Combustion'!U104+'Biogenic Combustion'!U90</f>
        <v>7.6929256820711597E-5</v>
      </c>
      <c r="U64" s="98">
        <f>'Biogenic Combustion'!V104+'Biogenic Combustion'!V90</f>
        <v>7.9962718213253916E-5</v>
      </c>
      <c r="V64" s="98">
        <f>'Biogenic Combustion'!W104+'Biogenic Combustion'!W90</f>
        <v>7.4937869320573308E-5</v>
      </c>
      <c r="W64" s="98">
        <f>'Biogenic Combustion'!X104+'Biogenic Combustion'!X90</f>
        <v>8.154169812959722E-5</v>
      </c>
      <c r="X64" s="98">
        <f>'Biogenic Combustion'!Y104+'Biogenic Combustion'!Y90</f>
        <v>7.7931861690277207E-5</v>
      </c>
      <c r="Y64" s="98">
        <f>'Biogenic Combustion'!Z104+'Biogenic Combustion'!Z90</f>
        <v>8.1697959450794449E-5</v>
      </c>
      <c r="Z64" s="98">
        <f>'Biogenic Combustion'!AA104+'Biogenic Combustion'!AA90</f>
        <v>8.2327682226261689E-5</v>
      </c>
      <c r="AA64" s="98">
        <f>'Biogenic Combustion'!AB104+'Biogenic Combustion'!AB90</f>
        <v>9.4245431362310349E-5</v>
      </c>
      <c r="AB64" s="98">
        <f>'Biogenic Combustion'!AC104+'Biogenic Combustion'!AC90</f>
        <v>9.5700475487868502E-5</v>
      </c>
      <c r="AC64" s="98">
        <f>'Biogenic Combustion'!AD104+'Biogenic Combustion'!AD90</f>
        <v>9.7629753320220382E-5</v>
      </c>
      <c r="AD64" s="133">
        <f>'Biogenic Combustion'!AE104+'Biogenic Combustion'!AE90</f>
        <v>9.8229974160739649E-5</v>
      </c>
      <c r="AE64" s="98">
        <f>'Biogenic Combustion'!AF104+'Biogenic Combustion'!AF90</f>
        <v>9.8839216455524193E-5</v>
      </c>
      <c r="AF64" s="98">
        <f>'Biogenic Combustion'!AG104+'Biogenic Combustion'!AG90</f>
        <v>9.0268666634367415E-5</v>
      </c>
      <c r="AG64" s="98">
        <f>'Biogenic Combustion'!AH104+'Biogenic Combustion'!AH90</f>
        <v>9.0187827105016051E-5</v>
      </c>
      <c r="AH64" s="98">
        <f>'Biogenic Combustion'!AI104+'Biogenic Combustion'!AI90</f>
        <v>8.8549282095177847E-5</v>
      </c>
      <c r="AI64" s="98">
        <f>'Biogenic Combustion'!AJ104+'Biogenic Combustion'!AJ90</f>
        <v>9.1764416280255612E-5</v>
      </c>
    </row>
    <row r="65" spans="1:36" x14ac:dyDescent="0.4">
      <c r="A65" s="247" t="s">
        <v>76</v>
      </c>
      <c r="B65" s="97">
        <f>B66+B67</f>
        <v>0</v>
      </c>
      <c r="C65" s="98">
        <f>C66+C67</f>
        <v>0</v>
      </c>
      <c r="D65" s="98">
        <f t="shared" ref="D65:X65" si="10">D66+D67</f>
        <v>0</v>
      </c>
      <c r="E65" s="98">
        <f t="shared" si="10"/>
        <v>0</v>
      </c>
      <c r="F65" s="98">
        <f t="shared" si="10"/>
        <v>0</v>
      </c>
      <c r="G65" s="98">
        <f t="shared" si="10"/>
        <v>0</v>
      </c>
      <c r="H65" s="98">
        <f t="shared" si="10"/>
        <v>0</v>
      </c>
      <c r="I65" s="98">
        <f t="shared" si="10"/>
        <v>0</v>
      </c>
      <c r="J65" s="98">
        <f t="shared" si="10"/>
        <v>0</v>
      </c>
      <c r="K65" s="98">
        <f t="shared" si="10"/>
        <v>0</v>
      </c>
      <c r="L65" s="98">
        <f t="shared" si="10"/>
        <v>0</v>
      </c>
      <c r="M65" s="98">
        <f t="shared" si="10"/>
        <v>0</v>
      </c>
      <c r="N65" s="98">
        <f t="shared" si="10"/>
        <v>6.0280000000000008E-8</v>
      </c>
      <c r="O65" s="98">
        <f t="shared" si="10"/>
        <v>6.0280000000000008E-8</v>
      </c>
      <c r="P65" s="98">
        <f t="shared" si="10"/>
        <v>6.0279999999999997E-7</v>
      </c>
      <c r="Q65" s="98">
        <f t="shared" si="10"/>
        <v>4.9429599999999997E-6</v>
      </c>
      <c r="R65" s="98">
        <f t="shared" si="10"/>
        <v>1.350272E-5</v>
      </c>
      <c r="S65" s="98">
        <f t="shared" si="10"/>
        <v>1.428636E-5</v>
      </c>
      <c r="T65" s="98">
        <f t="shared" si="10"/>
        <v>1.1392920000000002E-5</v>
      </c>
      <c r="U65" s="98">
        <f t="shared" si="10"/>
        <v>1.2297119999999999E-5</v>
      </c>
      <c r="V65" s="98">
        <f t="shared" si="10"/>
        <v>2.001296E-5</v>
      </c>
      <c r="W65" s="98">
        <f t="shared" si="10"/>
        <v>2.04952E-5</v>
      </c>
      <c r="X65" s="98">
        <f t="shared" si="10"/>
        <v>1.9470439999999999E-5</v>
      </c>
      <c r="Y65" s="98">
        <f t="shared" ref="Y65:AD65" si="11">Y66+Y67</f>
        <v>2.0615759999999997E-5</v>
      </c>
      <c r="Z65" s="98">
        <f t="shared" si="11"/>
        <v>1.6577000000000001E-5</v>
      </c>
      <c r="AA65" s="98">
        <f t="shared" si="11"/>
        <v>1.6396160000000001E-5</v>
      </c>
      <c r="AB65" s="98">
        <f t="shared" si="11"/>
        <v>1.6456439999999997E-5</v>
      </c>
      <c r="AC65" s="98">
        <f t="shared" si="11"/>
        <v>1.6818120000000002E-5</v>
      </c>
      <c r="AD65" s="133">
        <f t="shared" si="11"/>
        <v>1.705924E-5</v>
      </c>
      <c r="AE65" s="98">
        <f t="shared" ref="AE65:AF65" si="12">AE66+AE67</f>
        <v>1.754148E-5</v>
      </c>
      <c r="AF65" s="98">
        <f t="shared" si="12"/>
        <v>1.7782600000000001E-5</v>
      </c>
      <c r="AG65" s="98">
        <f t="shared" ref="AG65:AH65" si="13">AG66+AG67</f>
        <v>1.7782600000000001E-5</v>
      </c>
      <c r="AH65" s="98">
        <f t="shared" si="13"/>
        <v>1.8505959999999999E-5</v>
      </c>
      <c r="AI65" s="98">
        <f t="shared" ref="AI65" si="14">AI66+AI67</f>
        <v>1.8505959999999999E-5</v>
      </c>
    </row>
    <row r="66" spans="1:36" ht="17" x14ac:dyDescent="0.45">
      <c r="A66" s="1309" t="s">
        <v>1041</v>
      </c>
      <c r="B66" s="97">
        <f>'Biogenic Combustion'!C151</f>
        <v>0</v>
      </c>
      <c r="C66" s="98">
        <f>'Biogenic Combustion'!D151</f>
        <v>0</v>
      </c>
      <c r="D66" s="98">
        <f>'Biogenic Combustion'!E151</f>
        <v>0</v>
      </c>
      <c r="E66" s="98">
        <f>'Biogenic Combustion'!F151</f>
        <v>0</v>
      </c>
      <c r="F66" s="98">
        <f>'Biogenic Combustion'!G151</f>
        <v>0</v>
      </c>
      <c r="G66" s="98">
        <f>'Biogenic Combustion'!H151</f>
        <v>0</v>
      </c>
      <c r="H66" s="98">
        <f>'Biogenic Combustion'!I151</f>
        <v>0</v>
      </c>
      <c r="I66" s="98">
        <f>'Biogenic Combustion'!J151</f>
        <v>0</v>
      </c>
      <c r="J66" s="98">
        <f>'Biogenic Combustion'!K151</f>
        <v>0</v>
      </c>
      <c r="K66" s="98">
        <f>'Biogenic Combustion'!L151</f>
        <v>0</v>
      </c>
      <c r="L66" s="98">
        <f>'Biogenic Combustion'!M151</f>
        <v>0</v>
      </c>
      <c r="M66" s="98">
        <f>'Biogenic Combustion'!N151</f>
        <v>0</v>
      </c>
      <c r="N66" s="98">
        <f>'Biogenic Combustion'!O151</f>
        <v>3.278E-8</v>
      </c>
      <c r="O66" s="98">
        <f>'Biogenic Combustion'!P151</f>
        <v>3.278E-8</v>
      </c>
      <c r="P66" s="98">
        <f>'Biogenic Combustion'!Q151</f>
        <v>3.2779999999999996E-7</v>
      </c>
      <c r="Q66" s="98">
        <f>'Biogenic Combustion'!R151</f>
        <v>2.6879599999999997E-6</v>
      </c>
      <c r="R66" s="98">
        <f>'Biogenic Combustion'!S151</f>
        <v>7.3427199999999997E-6</v>
      </c>
      <c r="S66" s="98">
        <f>'Biogenic Combustion'!T151</f>
        <v>7.76886E-6</v>
      </c>
      <c r="T66" s="98">
        <f>'Biogenic Combustion'!U151</f>
        <v>6.1954200000000006E-6</v>
      </c>
      <c r="U66" s="98">
        <f>'Biogenic Combustion'!V151</f>
        <v>6.6871199999999996E-6</v>
      </c>
      <c r="V66" s="98">
        <f>'Biogenic Combustion'!W151</f>
        <v>1.088296E-5</v>
      </c>
      <c r="W66" s="98">
        <f>'Biogenic Combustion'!X151</f>
        <v>1.11452E-5</v>
      </c>
      <c r="X66" s="98">
        <f>'Biogenic Combustion'!Y151</f>
        <v>1.058794E-5</v>
      </c>
      <c r="Y66" s="98">
        <f>'Biogenic Combustion'!Z151</f>
        <v>1.1210759999999998E-5</v>
      </c>
      <c r="Z66" s="98">
        <f>'Biogenic Combustion'!AA151</f>
        <v>9.0144999999999981E-6</v>
      </c>
      <c r="AA66" s="98">
        <f>'Biogenic Combustion'!AB151</f>
        <v>8.9161600000000017E-6</v>
      </c>
      <c r="AB66" s="98">
        <f>'Biogenic Combustion'!AC151</f>
        <v>8.9489399999999977E-6</v>
      </c>
      <c r="AC66" s="98">
        <f>'Biogenic Combustion'!AD151</f>
        <v>9.1456200000000007E-6</v>
      </c>
      <c r="AD66" s="133">
        <f>'Biogenic Combustion'!AE151</f>
        <v>9.2767399999999999E-6</v>
      </c>
      <c r="AE66" s="98">
        <f>'Biogenic Combustion'!AF151</f>
        <v>9.5389799999999999E-6</v>
      </c>
      <c r="AF66" s="98">
        <f>'Biogenic Combustion'!AG151</f>
        <v>9.6700999999999991E-6</v>
      </c>
      <c r="AG66" s="98">
        <f>'Biogenic Combustion'!AH151</f>
        <v>9.6700999999999991E-6</v>
      </c>
      <c r="AH66" s="98">
        <f>'Biogenic Combustion'!AI151</f>
        <v>1.0063459999999998E-5</v>
      </c>
      <c r="AI66" s="98">
        <f>'Biogenic Combustion'!AJ151</f>
        <v>1.0063459999999998E-5</v>
      </c>
    </row>
    <row r="67" spans="1:36" ht="17" x14ac:dyDescent="0.45">
      <c r="A67" s="1309" t="s">
        <v>1042</v>
      </c>
      <c r="B67" s="97">
        <f>'Biogenic Combustion'!C148</f>
        <v>0</v>
      </c>
      <c r="C67" s="98">
        <f>'Biogenic Combustion'!D148</f>
        <v>0</v>
      </c>
      <c r="D67" s="98">
        <f>'Biogenic Combustion'!E148</f>
        <v>0</v>
      </c>
      <c r="E67" s="98">
        <f>'Biogenic Combustion'!F148</f>
        <v>0</v>
      </c>
      <c r="F67" s="98">
        <f>'Biogenic Combustion'!G148</f>
        <v>0</v>
      </c>
      <c r="G67" s="98">
        <f>'Biogenic Combustion'!H148</f>
        <v>0</v>
      </c>
      <c r="H67" s="98">
        <f>'Biogenic Combustion'!I148</f>
        <v>0</v>
      </c>
      <c r="I67" s="98">
        <f>'Biogenic Combustion'!J148</f>
        <v>0</v>
      </c>
      <c r="J67" s="98">
        <f>'Biogenic Combustion'!K148</f>
        <v>0</v>
      </c>
      <c r="K67" s="98">
        <f>'Biogenic Combustion'!L148</f>
        <v>0</v>
      </c>
      <c r="L67" s="98">
        <f>'Biogenic Combustion'!M148</f>
        <v>0</v>
      </c>
      <c r="M67" s="98">
        <f>'Biogenic Combustion'!N148</f>
        <v>0</v>
      </c>
      <c r="N67" s="98">
        <f>'Biogenic Combustion'!O148</f>
        <v>2.7500000000000001E-8</v>
      </c>
      <c r="O67" s="98">
        <f>'Biogenic Combustion'!P148</f>
        <v>2.7500000000000001E-8</v>
      </c>
      <c r="P67" s="98">
        <f>'Biogenic Combustion'!Q148</f>
        <v>2.7500000000000001E-7</v>
      </c>
      <c r="Q67" s="98">
        <f>'Biogenic Combustion'!R148</f>
        <v>2.255E-6</v>
      </c>
      <c r="R67" s="98">
        <f>'Biogenic Combustion'!S148</f>
        <v>6.1600000000000003E-6</v>
      </c>
      <c r="S67" s="98">
        <f>'Biogenic Combustion'!T148</f>
        <v>6.5174999999999999E-6</v>
      </c>
      <c r="T67" s="98">
        <f>'Biogenic Combustion'!U148</f>
        <v>5.1975000000000006E-6</v>
      </c>
      <c r="U67" s="98">
        <f>'Biogenic Combustion'!V148</f>
        <v>5.6100000000000005E-6</v>
      </c>
      <c r="V67" s="98">
        <f>'Biogenic Combustion'!W148</f>
        <v>9.1300000000000007E-6</v>
      </c>
      <c r="W67" s="98">
        <f>'Biogenic Combustion'!X148</f>
        <v>9.3500000000000003E-6</v>
      </c>
      <c r="X67" s="98">
        <f>'Biogenic Combustion'!Y148</f>
        <v>8.8825000000000001E-6</v>
      </c>
      <c r="Y67" s="98">
        <f>'Biogenic Combustion'!Z148</f>
        <v>9.4049999999999989E-6</v>
      </c>
      <c r="Z67" s="98">
        <f>'Biogenic Combustion'!AA148</f>
        <v>7.5625000000000009E-6</v>
      </c>
      <c r="AA67" s="98">
        <f>'Biogenic Combustion'!AB148</f>
        <v>7.4799999999999995E-6</v>
      </c>
      <c r="AB67" s="98">
        <f>'Biogenic Combustion'!AC148</f>
        <v>7.5075000000000005E-6</v>
      </c>
      <c r="AC67" s="98">
        <f>'Biogenic Combustion'!AD148</f>
        <v>7.6724999999999998E-6</v>
      </c>
      <c r="AD67" s="133">
        <f>'Biogenic Combustion'!AE148</f>
        <v>7.7825000000000004E-6</v>
      </c>
      <c r="AE67" s="98">
        <f>'Biogenic Combustion'!AF148</f>
        <v>8.0025000000000017E-6</v>
      </c>
      <c r="AF67" s="98">
        <f>'Biogenic Combustion'!AG148</f>
        <v>8.1125000000000007E-6</v>
      </c>
      <c r="AG67" s="98">
        <f>'Biogenic Combustion'!AH148</f>
        <v>8.1125000000000007E-6</v>
      </c>
      <c r="AH67" s="98">
        <f>'Biogenic Combustion'!AI148</f>
        <v>8.4425000000000009E-6</v>
      </c>
      <c r="AI67" s="98">
        <f>'Biogenic Combustion'!AJ148</f>
        <v>8.4425000000000009E-6</v>
      </c>
    </row>
    <row r="68" spans="1:36" x14ac:dyDescent="0.4">
      <c r="A68" s="256" t="s">
        <v>14</v>
      </c>
      <c r="B68" s="97">
        <f>B69+B70</f>
        <v>0</v>
      </c>
      <c r="C68" s="98">
        <f>C69+C70</f>
        <v>0</v>
      </c>
      <c r="D68" s="98">
        <f t="shared" ref="D68:X68" si="15">D69+D70</f>
        <v>0</v>
      </c>
      <c r="E68" s="98">
        <f t="shared" si="15"/>
        <v>1.428902E-4</v>
      </c>
      <c r="F68" s="98">
        <f t="shared" si="15"/>
        <v>3.3569409999999997E-4</v>
      </c>
      <c r="G68" s="98">
        <f t="shared" si="15"/>
        <v>4.6488249999999997E-4</v>
      </c>
      <c r="H68" s="98">
        <f t="shared" si="15"/>
        <v>5.7053316500000001E-4</v>
      </c>
      <c r="I68" s="98">
        <f t="shared" si="15"/>
        <v>1.5515135360000001E-3</v>
      </c>
      <c r="J68" s="98">
        <f t="shared" si="15"/>
        <v>1.9599407051999998E-3</v>
      </c>
      <c r="K68" s="98">
        <f t="shared" si="15"/>
        <v>2.7462684118999998E-3</v>
      </c>
      <c r="L68" s="98">
        <f t="shared" si="15"/>
        <v>2.7462684118999998E-3</v>
      </c>
      <c r="M68" s="98">
        <f t="shared" si="15"/>
        <v>3.5325961185999999E-3</v>
      </c>
      <c r="N68" s="98">
        <f t="shared" si="15"/>
        <v>3.0188177665999997E-3</v>
      </c>
      <c r="O68" s="98">
        <f t="shared" si="15"/>
        <v>3.6280252407999997E-3</v>
      </c>
      <c r="P68" s="98">
        <f t="shared" si="15"/>
        <v>3.3176285783999998E-3</v>
      </c>
      <c r="Q68" s="98">
        <f t="shared" si="15"/>
        <v>3.6742551139999999E-3</v>
      </c>
      <c r="R68" s="98">
        <f t="shared" si="15"/>
        <v>3.4024505499999995E-3</v>
      </c>
      <c r="S68" s="98">
        <f t="shared" si="15"/>
        <v>3.5811318089999998E-3</v>
      </c>
      <c r="T68" s="98">
        <f t="shared" si="15"/>
        <v>3.8858892019999996E-3</v>
      </c>
      <c r="U68" s="98">
        <f t="shared" si="15"/>
        <v>3.4047152617999996E-3</v>
      </c>
      <c r="V68" s="98">
        <f t="shared" si="15"/>
        <v>3.5030824414000001E-3</v>
      </c>
      <c r="W68" s="98">
        <f t="shared" si="15"/>
        <v>3.5151204513999995E-3</v>
      </c>
      <c r="X68" s="98">
        <f t="shared" si="15"/>
        <v>3.4854580117999992E-3</v>
      </c>
      <c r="Y68" s="98">
        <f t="shared" ref="Y68:AD68" si="16">Y69+Y70</f>
        <v>3.6451975109999995E-3</v>
      </c>
      <c r="Z68" s="98">
        <f t="shared" si="16"/>
        <v>4.0514832845999996E-3</v>
      </c>
      <c r="AA68" s="98">
        <f t="shared" si="16"/>
        <v>3.6261852847999996E-3</v>
      </c>
      <c r="AB68" s="98">
        <f t="shared" si="16"/>
        <v>4.1120237092000002E-3</v>
      </c>
      <c r="AC68" s="98">
        <f t="shared" si="16"/>
        <v>3.5003577405999997E-3</v>
      </c>
      <c r="AD68" s="133">
        <f t="shared" si="16"/>
        <v>3.8600417349999999E-3</v>
      </c>
      <c r="AE68" s="98">
        <f t="shared" ref="AE68:AF68" si="17">AE69+AE70</f>
        <v>3.4766360099999999E-3</v>
      </c>
      <c r="AF68" s="98">
        <f t="shared" si="17"/>
        <v>3.4634294321999998E-3</v>
      </c>
      <c r="AG68" s="98">
        <f t="shared" ref="AG68:AH68" si="18">AG69+AG70</f>
        <v>3.1417013811999997E-3</v>
      </c>
      <c r="AH68" s="98">
        <f t="shared" si="18"/>
        <v>2.4575548479999999E-3</v>
      </c>
      <c r="AI68" s="98">
        <f t="shared" ref="AI68" si="19">AI69+AI70</f>
        <v>2.0491355084000002E-3</v>
      </c>
    </row>
    <row r="69" spans="1:36" ht="17" x14ac:dyDescent="0.45">
      <c r="A69" s="1309" t="s">
        <v>1041</v>
      </c>
      <c r="B69" s="97">
        <f>'Biogenic Combustion'!C62</f>
        <v>0</v>
      </c>
      <c r="C69" s="98">
        <f>'Biogenic Combustion'!D62</f>
        <v>0</v>
      </c>
      <c r="D69" s="98">
        <f>'Biogenic Combustion'!E62</f>
        <v>0</v>
      </c>
      <c r="E69" s="98">
        <f>'Biogenic Combustion'!F62</f>
        <v>1.3705019999999998E-4</v>
      </c>
      <c r="F69" s="98">
        <f>'Biogenic Combustion'!G62</f>
        <v>3.2197409999999997E-4</v>
      </c>
      <c r="G69" s="98">
        <f>'Biogenic Combustion'!H62</f>
        <v>4.4588249999999999E-4</v>
      </c>
      <c r="H69" s="98">
        <f>'Biogenic Combustion'!I62</f>
        <v>5.4721516499999998E-4</v>
      </c>
      <c r="I69" s="98">
        <f>'Biogenic Combustion'!J62</f>
        <v>1.488102336E-3</v>
      </c>
      <c r="J69" s="98">
        <f>'Biogenic Combustion'!K62</f>
        <v>1.8798368651999999E-3</v>
      </c>
      <c r="K69" s="98">
        <f>'Biogenic Combustion'!L62</f>
        <v>2.6340269318999997E-3</v>
      </c>
      <c r="L69" s="98">
        <f>'Biogenic Combustion'!M62</f>
        <v>2.6340269318999997E-3</v>
      </c>
      <c r="M69" s="98">
        <f>'Biogenic Combustion'!N62</f>
        <v>3.3882169985999999E-3</v>
      </c>
      <c r="N69" s="98">
        <f>'Biogenic Combustion'!O62</f>
        <v>2.8954370465999997E-3</v>
      </c>
      <c r="O69" s="98">
        <f>'Biogenic Combustion'!P62</f>
        <v>3.4797458807999996E-3</v>
      </c>
      <c r="P69" s="98">
        <f>'Biogenic Combustion'!Q62</f>
        <v>3.1820352983999997E-3</v>
      </c>
      <c r="Q69" s="98">
        <f>'Biogenic Combustion'!R62</f>
        <v>3.5240863140000001E-3</v>
      </c>
      <c r="R69" s="98">
        <f>'Biogenic Combustion'!S62</f>
        <v>3.2633905499999997E-3</v>
      </c>
      <c r="S69" s="98">
        <f>'Biogenic Combustion'!T62</f>
        <v>3.4347690089999998E-3</v>
      </c>
      <c r="T69" s="98">
        <f>'Biogenic Combustion'!U62</f>
        <v>3.7270708019999997E-3</v>
      </c>
      <c r="U69" s="98">
        <f>'Biogenic Combustion'!V62</f>
        <v>3.2655627017999997E-3</v>
      </c>
      <c r="V69" s="98">
        <f>'Biogenic Combustion'!W62</f>
        <v>3.3599095614000002E-3</v>
      </c>
      <c r="W69" s="98">
        <f>'Biogenic Combustion'!X62</f>
        <v>3.3714555713999996E-3</v>
      </c>
      <c r="X69" s="98">
        <f>'Biogenic Combustion'!Y62</f>
        <v>3.3430054517999993E-3</v>
      </c>
      <c r="Y69" s="98">
        <f>'Biogenic Combustion'!Z62</f>
        <v>3.4962163109999995E-3</v>
      </c>
      <c r="Z69" s="98">
        <f>'Biogenic Combustion'!AA62</f>
        <v>3.8858969645999995E-3</v>
      </c>
      <c r="AA69" s="98">
        <f>'Biogenic Combustion'!AB62</f>
        <v>3.4779811247999995E-3</v>
      </c>
      <c r="AB69" s="98">
        <f>'Biogenic Combustion'!AC62</f>
        <v>3.9439630691999999E-3</v>
      </c>
      <c r="AC69" s="98">
        <f>'Biogenic Combustion'!AD62</f>
        <v>3.3572962205999997E-3</v>
      </c>
      <c r="AD69" s="133">
        <f>'Biogenic Combustion'!AE62</f>
        <v>3.7022797349999998E-3</v>
      </c>
      <c r="AE69" s="98">
        <f>'Biogenic Combustion'!AF62</f>
        <v>3.33454401E-3</v>
      </c>
      <c r="AF69" s="98">
        <f>'Biogenic Combustion'!AG62</f>
        <v>3.3218771921999998E-3</v>
      </c>
      <c r="AG69" s="98">
        <f>'Biogenic Combustion'!AH62</f>
        <v>3.0132983411999999E-3</v>
      </c>
      <c r="AH69" s="98">
        <f>'Biogenic Combustion'!AI62</f>
        <v>2.357113248E-3</v>
      </c>
      <c r="AI69" s="98">
        <f>'Biogenic Combustion'!AJ62</f>
        <v>1.9653862284000003E-3</v>
      </c>
    </row>
    <row r="70" spans="1:36" ht="17.5" thickBot="1" x14ac:dyDescent="0.5">
      <c r="A70" s="1310" t="s">
        <v>1042</v>
      </c>
      <c r="B70" s="143">
        <f>'Biogenic Combustion'!C59</f>
        <v>0</v>
      </c>
      <c r="C70" s="129">
        <f>'Biogenic Combustion'!D59</f>
        <v>0</v>
      </c>
      <c r="D70" s="129">
        <f>'Biogenic Combustion'!E59</f>
        <v>0</v>
      </c>
      <c r="E70" s="129">
        <f>'Biogenic Combustion'!F59</f>
        <v>5.8400000000000008E-6</v>
      </c>
      <c r="F70" s="129">
        <f>'Biogenic Combustion'!G59</f>
        <v>1.3719999999999999E-5</v>
      </c>
      <c r="G70" s="129">
        <f>'Biogenic Combustion'!H59</f>
        <v>1.9000000000000001E-5</v>
      </c>
      <c r="H70" s="129">
        <f>'Biogenic Combustion'!I59</f>
        <v>2.3317999999999999E-5</v>
      </c>
      <c r="I70" s="129">
        <f>'Biogenic Combustion'!J59</f>
        <v>6.3411200000000007E-5</v>
      </c>
      <c r="J70" s="129">
        <f>'Biogenic Combustion'!K59</f>
        <v>8.0103840000000007E-5</v>
      </c>
      <c r="K70" s="129">
        <f>'Biogenic Combustion'!L59</f>
        <v>1.1224148E-4</v>
      </c>
      <c r="L70" s="129">
        <f>'Biogenic Combustion'!M59</f>
        <v>1.1224148E-4</v>
      </c>
      <c r="M70" s="129">
        <f>'Biogenic Combustion'!N59</f>
        <v>1.4437911999999999E-4</v>
      </c>
      <c r="N70" s="129">
        <f>'Biogenic Combustion'!O59</f>
        <v>1.2338072E-4</v>
      </c>
      <c r="O70" s="129">
        <f>'Biogenic Combustion'!P59</f>
        <v>1.4827936000000002E-4</v>
      </c>
      <c r="P70" s="129">
        <f>'Biogenic Combustion'!Q59</f>
        <v>1.3559328000000001E-4</v>
      </c>
      <c r="Q70" s="129">
        <f>'Biogenic Combustion'!R59</f>
        <v>1.501688E-4</v>
      </c>
      <c r="R70" s="129">
        <f>'Biogenic Combustion'!S59</f>
        <v>1.3906000000000001E-4</v>
      </c>
      <c r="S70" s="129">
        <f>'Biogenic Combustion'!T59</f>
        <v>1.4636280000000001E-4</v>
      </c>
      <c r="T70" s="129">
        <f>'Biogenic Combustion'!U59</f>
        <v>1.588184E-4</v>
      </c>
      <c r="U70" s="129">
        <f>'Biogenic Combustion'!V59</f>
        <v>1.3915256000000001E-4</v>
      </c>
      <c r="V70" s="129">
        <f>'Biogenic Combustion'!W59</f>
        <v>1.4317288000000001E-4</v>
      </c>
      <c r="W70" s="129">
        <f>'Biogenic Combustion'!X59</f>
        <v>1.4366488000000001E-4</v>
      </c>
      <c r="X70" s="129">
        <f>'Biogenic Combustion'!Y59</f>
        <v>1.4245256000000001E-4</v>
      </c>
      <c r="Y70" s="129">
        <f>'Biogenic Combustion'!Z59</f>
        <v>1.489812E-4</v>
      </c>
      <c r="Z70" s="129">
        <f>'Biogenic Combustion'!AA59</f>
        <v>1.6558632000000001E-4</v>
      </c>
      <c r="AA70" s="129">
        <f>'Biogenic Combustion'!AB59</f>
        <v>1.4820416000000002E-4</v>
      </c>
      <c r="AB70" s="129">
        <f>'Biogenic Combustion'!AC59</f>
        <v>1.6806064E-4</v>
      </c>
      <c r="AC70" s="129">
        <f>'Biogenic Combustion'!AD59</f>
        <v>1.4306152E-4</v>
      </c>
      <c r="AD70" s="134">
        <f>'Biogenic Combustion'!AE59</f>
        <v>1.5776200000000001E-4</v>
      </c>
      <c r="AE70" s="129">
        <f>'Biogenic Combustion'!AF59</f>
        <v>1.4209199999999999E-4</v>
      </c>
      <c r="AF70" s="129">
        <f>'Biogenic Combustion'!AG59</f>
        <v>1.4155224000000002E-4</v>
      </c>
      <c r="AG70" s="129">
        <f>'Biogenic Combustion'!AH59</f>
        <v>1.2840304E-4</v>
      </c>
      <c r="AH70" s="129">
        <f>'Biogenic Combustion'!AI59</f>
        <v>1.0044160000000001E-4</v>
      </c>
      <c r="AI70" s="129">
        <f>'Biogenic Combustion'!AJ59</f>
        <v>8.3749280000000007E-5</v>
      </c>
    </row>
    <row r="71" spans="1:36" x14ac:dyDescent="0.4">
      <c r="A71" s="108" t="s">
        <v>20</v>
      </c>
      <c r="B71" s="97">
        <f>B59+B62+B65+B68</f>
        <v>0</v>
      </c>
      <c r="C71" s="98">
        <f>C59+C62+C65+C68</f>
        <v>0</v>
      </c>
      <c r="D71" s="98">
        <f t="shared" ref="D71:X71" si="20">D59+D62+D65+D68</f>
        <v>0</v>
      </c>
      <c r="E71" s="98">
        <f t="shared" si="20"/>
        <v>1.428902E-4</v>
      </c>
      <c r="F71" s="98">
        <f t="shared" si="20"/>
        <v>3.3569409999999997E-4</v>
      </c>
      <c r="G71" s="98">
        <f t="shared" si="20"/>
        <v>4.6488249999999997E-4</v>
      </c>
      <c r="H71" s="98">
        <f t="shared" si="20"/>
        <v>5.7053316500000001E-4</v>
      </c>
      <c r="I71" s="98">
        <f t="shared" si="20"/>
        <v>1.5515135360000001E-3</v>
      </c>
      <c r="J71" s="98">
        <f t="shared" si="20"/>
        <v>1.9599407051999998E-3</v>
      </c>
      <c r="K71" s="98">
        <f t="shared" si="20"/>
        <v>2.7462684118999998E-3</v>
      </c>
      <c r="L71" s="98">
        <f t="shared" si="20"/>
        <v>4.1771278118999996E-3</v>
      </c>
      <c r="M71" s="98">
        <f t="shared" si="20"/>
        <v>4.8170724786000003E-3</v>
      </c>
      <c r="N71" s="98">
        <f t="shared" si="20"/>
        <v>4.7166069265999998E-3</v>
      </c>
      <c r="O71" s="98">
        <f t="shared" si="20"/>
        <v>5.1064650407999998E-3</v>
      </c>
      <c r="P71" s="98">
        <f t="shared" si="20"/>
        <v>6.7135082983999991E-3</v>
      </c>
      <c r="Q71" s="98">
        <f t="shared" si="20"/>
        <v>5.4909877465504596E-3</v>
      </c>
      <c r="R71" s="98">
        <f t="shared" si="20"/>
        <v>5.3567829701680987E-3</v>
      </c>
      <c r="S71" s="98">
        <f t="shared" si="20"/>
        <v>5.4596700505776963E-3</v>
      </c>
      <c r="T71" s="98">
        <f t="shared" si="20"/>
        <v>5.7788913120107605E-3</v>
      </c>
      <c r="U71" s="98">
        <f t="shared" si="20"/>
        <v>5.3717284196827895E-3</v>
      </c>
      <c r="V71" s="98">
        <f t="shared" si="20"/>
        <v>5.3560699265011273E-3</v>
      </c>
      <c r="W71" s="98">
        <f t="shared" si="20"/>
        <v>5.5343579653859189E-3</v>
      </c>
      <c r="X71" s="98">
        <f t="shared" si="20"/>
        <v>5.4368068139568557E-3</v>
      </c>
      <c r="Y71" s="98">
        <f t="shared" ref="Y71:AD71" si="21">Y59+Y62+Y65+Y68</f>
        <v>5.730899897612312E-3</v>
      </c>
      <c r="Z71" s="98">
        <f t="shared" si="21"/>
        <v>6.1251358732210565E-3</v>
      </c>
      <c r="AA71" s="98">
        <f t="shared" si="21"/>
        <v>5.6964155791573278E-3</v>
      </c>
      <c r="AB71" s="98">
        <f t="shared" si="21"/>
        <v>6.2455441794494228E-3</v>
      </c>
      <c r="AC71" s="98">
        <f t="shared" si="21"/>
        <v>5.6627902699624925E-3</v>
      </c>
      <c r="AD71" s="133">
        <f t="shared" si="21"/>
        <v>6.0331499252778975E-3</v>
      </c>
      <c r="AE71" s="98">
        <f t="shared" ref="AE71:AF71" si="22">AE59+AE62+AE65+AE68</f>
        <v>5.6477455411255376E-3</v>
      </c>
      <c r="AF71" s="98">
        <f t="shared" si="22"/>
        <v>5.4239372693263843E-3</v>
      </c>
      <c r="AG71" s="98">
        <f t="shared" ref="AG71:AH71" si="23">AG59+AG62+AG65+AG68</f>
        <v>5.0817782546419797E-3</v>
      </c>
      <c r="AH71" s="98">
        <f t="shared" si="23"/>
        <v>4.3198712589137631E-3</v>
      </c>
      <c r="AI71" s="98">
        <f t="shared" ref="AI71" si="24">AI59+AI62+AI65+AI68</f>
        <v>4.0225611062371536E-3</v>
      </c>
    </row>
    <row r="72" spans="1:36" x14ac:dyDescent="0.4">
      <c r="A72" s="196" t="s">
        <v>1063</v>
      </c>
      <c r="B72" s="97"/>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133"/>
      <c r="AE72" s="98"/>
      <c r="AF72" s="98"/>
      <c r="AG72" s="98"/>
      <c r="AH72" s="98"/>
      <c r="AI72" s="98"/>
    </row>
    <row r="73" spans="1:36" x14ac:dyDescent="0.4">
      <c r="A73" s="28"/>
      <c r="B73" s="28"/>
      <c r="C73" s="28"/>
      <c r="D73" s="28"/>
      <c r="E73" s="28"/>
      <c r="F73" s="28"/>
      <c r="G73" s="28"/>
      <c r="H73" s="28"/>
      <c r="I73" s="28"/>
      <c r="J73" s="28"/>
      <c r="K73" s="28"/>
      <c r="L73" s="28"/>
      <c r="M73" s="28"/>
      <c r="N73" s="28"/>
      <c r="O73" s="28"/>
      <c r="P73" s="28"/>
      <c r="Q73" s="28"/>
      <c r="R73" s="28"/>
      <c r="S73" s="28"/>
      <c r="T73" s="28"/>
      <c r="U73" s="28"/>
      <c r="AI73" s="28"/>
    </row>
    <row r="74" spans="1:36" ht="17.5" thickBot="1" x14ac:dyDescent="0.5">
      <c r="A74" s="93" t="s">
        <v>1044</v>
      </c>
      <c r="B74" s="98"/>
      <c r="C74" s="98"/>
      <c r="D74" s="98"/>
      <c r="E74" s="98"/>
      <c r="F74" s="98"/>
      <c r="G74" s="98"/>
      <c r="H74" s="98"/>
      <c r="I74" s="98"/>
      <c r="J74" s="98"/>
      <c r="K74" s="98"/>
      <c r="L74" s="98"/>
      <c r="M74" s="98"/>
      <c r="N74" s="121"/>
      <c r="O74" s="121"/>
      <c r="P74" s="121"/>
      <c r="Q74" s="121"/>
      <c r="R74" s="121"/>
      <c r="S74" s="121"/>
      <c r="T74" s="121"/>
      <c r="U74" s="121"/>
      <c r="V74" s="121"/>
      <c r="X74" s="121"/>
      <c r="AB74" s="12"/>
      <c r="AC74" s="12"/>
      <c r="AD74" s="12"/>
      <c r="AE74" s="12"/>
      <c r="AF74" s="12"/>
      <c r="AG74" s="12"/>
      <c r="AH74" s="89"/>
      <c r="AI74" s="28"/>
    </row>
    <row r="75" spans="1:36" s="86" customFormat="1" ht="16.5" thickBot="1" x14ac:dyDescent="0.45">
      <c r="A75" s="976" t="s">
        <v>669</v>
      </c>
      <c r="B75" s="984" t="s">
        <v>391</v>
      </c>
      <c r="C75" s="983" t="s">
        <v>392</v>
      </c>
      <c r="D75" s="983" t="s">
        <v>393</v>
      </c>
      <c r="E75" s="983" t="s">
        <v>394</v>
      </c>
      <c r="F75" s="983" t="s">
        <v>395</v>
      </c>
      <c r="G75" s="983" t="s">
        <v>396</v>
      </c>
      <c r="H75" s="983" t="s">
        <v>397</v>
      </c>
      <c r="I75" s="983" t="s">
        <v>398</v>
      </c>
      <c r="J75" s="983" t="s">
        <v>399</v>
      </c>
      <c r="K75" s="983" t="s">
        <v>400</v>
      </c>
      <c r="L75" s="983" t="s">
        <v>401</v>
      </c>
      <c r="M75" s="983" t="s">
        <v>402</v>
      </c>
      <c r="N75" s="983" t="s">
        <v>403</v>
      </c>
      <c r="O75" s="983" t="s">
        <v>404</v>
      </c>
      <c r="P75" s="983" t="s">
        <v>405</v>
      </c>
      <c r="Q75" s="983" t="s">
        <v>406</v>
      </c>
      <c r="R75" s="983" t="s">
        <v>407</v>
      </c>
      <c r="S75" s="983" t="s">
        <v>408</v>
      </c>
      <c r="T75" s="983" t="s">
        <v>409</v>
      </c>
      <c r="U75" s="983" t="s">
        <v>410</v>
      </c>
      <c r="V75" s="983" t="s">
        <v>411</v>
      </c>
      <c r="W75" s="983" t="s">
        <v>412</v>
      </c>
      <c r="X75" s="983" t="s">
        <v>413</v>
      </c>
      <c r="Y75" s="983" t="s">
        <v>414</v>
      </c>
      <c r="Z75" s="983" t="s">
        <v>415</v>
      </c>
      <c r="AA75" s="983" t="s">
        <v>416</v>
      </c>
      <c r="AB75" s="983" t="s">
        <v>417</v>
      </c>
      <c r="AC75" s="983" t="s">
        <v>418</v>
      </c>
      <c r="AD75" s="983" t="s">
        <v>419</v>
      </c>
      <c r="AE75" s="983" t="s">
        <v>420</v>
      </c>
      <c r="AF75" s="983" t="s">
        <v>421</v>
      </c>
      <c r="AG75" s="983" t="s">
        <v>422</v>
      </c>
      <c r="AH75" s="983" t="s">
        <v>423</v>
      </c>
      <c r="AI75" s="983" t="s">
        <v>424</v>
      </c>
      <c r="AJ75" s="3"/>
    </row>
    <row r="76" spans="1:36" x14ac:dyDescent="0.4">
      <c r="A76" s="245" t="s">
        <v>59</v>
      </c>
      <c r="B76" s="97">
        <f>B42+B59</f>
        <v>0.22146311499000002</v>
      </c>
      <c r="C76" s="98">
        <f>C42+C59</f>
        <v>0.22319701900000005</v>
      </c>
      <c r="D76" s="98">
        <f t="shared" ref="D76:X76" si="25">D42+D59</f>
        <v>0.24130316051999992</v>
      </c>
      <c r="E76" s="98">
        <f t="shared" si="25"/>
        <v>0.24692919239</v>
      </c>
      <c r="F76" s="98">
        <f t="shared" si="25"/>
        <v>0.23707447087999997</v>
      </c>
      <c r="G76" s="98">
        <f t="shared" si="25"/>
        <v>0.23013408960999995</v>
      </c>
      <c r="H76" s="98">
        <f t="shared" si="25"/>
        <v>0.23386723920999997</v>
      </c>
      <c r="I76" s="98">
        <f t="shared" si="25"/>
        <v>0.18572004491999994</v>
      </c>
      <c r="J76" s="98">
        <f t="shared" si="25"/>
        <v>0.16721576863999998</v>
      </c>
      <c r="K76" s="98">
        <f t="shared" si="25"/>
        <v>0.17373373315999999</v>
      </c>
      <c r="L76" s="98">
        <f t="shared" si="25"/>
        <v>0.18965812091999995</v>
      </c>
      <c r="M76" s="98">
        <f t="shared" si="25"/>
        <v>0.17000870028999995</v>
      </c>
      <c r="N76" s="98">
        <f t="shared" si="25"/>
        <v>0.17220515864999997</v>
      </c>
      <c r="O76" s="98">
        <f t="shared" si="25"/>
        <v>0.17685524761999996</v>
      </c>
      <c r="P76" s="98">
        <f t="shared" si="25"/>
        <v>0.17276036408999998</v>
      </c>
      <c r="Q76" s="98">
        <f t="shared" si="25"/>
        <v>9.7263401609999994E-2</v>
      </c>
      <c r="R76" s="98">
        <f t="shared" si="25"/>
        <v>8.4098898249999984E-2</v>
      </c>
      <c r="S76" s="98">
        <f t="shared" si="25"/>
        <v>8.9140438219999993E-2</v>
      </c>
      <c r="T76" s="98">
        <f t="shared" si="25"/>
        <v>9.4404960739999974E-2</v>
      </c>
      <c r="U76" s="98">
        <f t="shared" si="25"/>
        <v>0.14268924344999998</v>
      </c>
      <c r="V76" s="98">
        <f t="shared" si="25"/>
        <v>0.14836765496999998</v>
      </c>
      <c r="W76" s="98">
        <f t="shared" si="25"/>
        <v>0.14537995921999997</v>
      </c>
      <c r="X76" s="98">
        <f t="shared" si="25"/>
        <v>0.12251180153000001</v>
      </c>
      <c r="Y76" s="98">
        <f t="shared" ref="Y76:Z88" si="26">Y42+Y59</f>
        <v>0.14765409569999999</v>
      </c>
      <c r="Z76" s="98">
        <f t="shared" si="26"/>
        <v>0.15504180495999997</v>
      </c>
      <c r="AA76" s="98">
        <f t="shared" ref="AA76:AB88" si="27">AA42+AA59</f>
        <v>0.14470159907999999</v>
      </c>
      <c r="AB76" s="98">
        <f t="shared" si="27"/>
        <v>0.11686010002999998</v>
      </c>
      <c r="AC76" s="98">
        <f t="shared" ref="AC76:AD88" si="28">AC42+AC59</f>
        <v>0.12045126095</v>
      </c>
      <c r="AD76" s="98">
        <f t="shared" si="28"/>
        <v>0.12462992597999997</v>
      </c>
      <c r="AE76" s="98">
        <f t="shared" ref="AE76:AF76" si="29">AE42+AE59</f>
        <v>0.14127421541999999</v>
      </c>
      <c r="AF76" s="98">
        <f t="shared" si="29"/>
        <v>0.12875753699999998</v>
      </c>
      <c r="AG76" s="98">
        <f t="shared" ref="AG76:AH76" si="30">AG42+AG59</f>
        <v>0.13311108247999998</v>
      </c>
      <c r="AH76" s="98">
        <f t="shared" si="30"/>
        <v>0.15490033550999999</v>
      </c>
      <c r="AI76" s="98">
        <f t="shared" ref="AI76" si="31">AI42+AI59</f>
        <v>0.13651921620999999</v>
      </c>
    </row>
    <row r="77" spans="1:36" ht="17" x14ac:dyDescent="0.45">
      <c r="A77" s="1309" t="s">
        <v>1041</v>
      </c>
      <c r="B77" s="97">
        <f t="shared" ref="B77:C87" si="32">B43+B60</f>
        <v>4.5917890239999988E-2</v>
      </c>
      <c r="C77" s="98">
        <f t="shared" si="32"/>
        <v>4.5307249499999994E-2</v>
      </c>
      <c r="D77" s="98">
        <f t="shared" ref="D77:X77" si="33">D43+D60</f>
        <v>4.971481551999999E-2</v>
      </c>
      <c r="E77" s="98">
        <f t="shared" si="33"/>
        <v>5.0596505139999984E-2</v>
      </c>
      <c r="F77" s="98">
        <f t="shared" si="33"/>
        <v>4.933890937999999E-2</v>
      </c>
      <c r="G77" s="98">
        <f t="shared" si="33"/>
        <v>4.6910510359999991E-2</v>
      </c>
      <c r="H77" s="98">
        <f t="shared" si="33"/>
        <v>4.6404565959999991E-2</v>
      </c>
      <c r="I77" s="98">
        <f t="shared" si="33"/>
        <v>3.975857591999999E-2</v>
      </c>
      <c r="J77" s="98">
        <f t="shared" si="33"/>
        <v>3.6152147139999993E-2</v>
      </c>
      <c r="K77" s="98">
        <f t="shared" si="33"/>
        <v>3.767082665999999E-2</v>
      </c>
      <c r="L77" s="98">
        <f t="shared" si="33"/>
        <v>4.1927270919999995E-2</v>
      </c>
      <c r="M77" s="98">
        <f t="shared" si="33"/>
        <v>4.0406633539999993E-2</v>
      </c>
      <c r="N77" s="98">
        <f t="shared" si="33"/>
        <v>4.0248267399999989E-2</v>
      </c>
      <c r="O77" s="98">
        <f t="shared" si="33"/>
        <v>4.0487528619999991E-2</v>
      </c>
      <c r="P77" s="98">
        <f t="shared" si="33"/>
        <v>3.8758350839999997E-2</v>
      </c>
      <c r="Q77" s="98">
        <f t="shared" si="33"/>
        <v>2.7945306109999998E-2</v>
      </c>
      <c r="R77" s="98">
        <f t="shared" si="33"/>
        <v>2.4063201999999992E-2</v>
      </c>
      <c r="S77" s="98">
        <f t="shared" si="33"/>
        <v>2.4921111219999993E-2</v>
      </c>
      <c r="T77" s="98">
        <f t="shared" si="33"/>
        <v>2.5725596489999995E-2</v>
      </c>
      <c r="U77" s="98">
        <f t="shared" si="33"/>
        <v>3.1276224950000001E-2</v>
      </c>
      <c r="V77" s="98">
        <f t="shared" si="33"/>
        <v>3.2176330969999993E-2</v>
      </c>
      <c r="W77" s="98">
        <f t="shared" si="33"/>
        <v>3.1588153469999998E-2</v>
      </c>
      <c r="X77" s="98">
        <f t="shared" si="33"/>
        <v>2.6550082030000002E-2</v>
      </c>
      <c r="Y77" s="98">
        <f t="shared" si="26"/>
        <v>3.0741426699999998E-2</v>
      </c>
      <c r="Z77" s="98">
        <f t="shared" si="26"/>
        <v>3.3182119709999992E-2</v>
      </c>
      <c r="AA77" s="98">
        <f t="shared" si="27"/>
        <v>3.1611381079999994E-2</v>
      </c>
      <c r="AB77" s="98">
        <f t="shared" si="27"/>
        <v>2.5405911029999992E-2</v>
      </c>
      <c r="AC77" s="98">
        <f t="shared" si="28"/>
        <v>2.6766516449999996E-2</v>
      </c>
      <c r="AD77" s="133">
        <f t="shared" si="28"/>
        <v>2.8194602479999997E-2</v>
      </c>
      <c r="AE77" s="98">
        <f t="shared" ref="AE77:AF77" si="34">AE43+AE60</f>
        <v>3.0629457669999992E-2</v>
      </c>
      <c r="AF77" s="98">
        <f t="shared" si="34"/>
        <v>2.7667661E-2</v>
      </c>
      <c r="AG77" s="98">
        <f t="shared" ref="AG77:AH77" si="35">AG43+AG60</f>
        <v>2.8653783229999993E-2</v>
      </c>
      <c r="AH77" s="98">
        <f t="shared" si="35"/>
        <v>3.1573657259999999E-2</v>
      </c>
      <c r="AI77" s="98">
        <f t="shared" ref="AI77" si="36">AI43+AI60</f>
        <v>2.8928691209999993E-2</v>
      </c>
    </row>
    <row r="78" spans="1:36" ht="17" x14ac:dyDescent="0.45">
      <c r="A78" s="1309" t="s">
        <v>1042</v>
      </c>
      <c r="B78" s="97">
        <f t="shared" si="32"/>
        <v>0.17554522475000001</v>
      </c>
      <c r="C78" s="98">
        <f t="shared" si="32"/>
        <v>0.17788976950000004</v>
      </c>
      <c r="D78" s="98">
        <f t="shared" ref="D78:X78" si="37">D44+D61</f>
        <v>0.19158834499999994</v>
      </c>
      <c r="E78" s="98">
        <f t="shared" si="37"/>
        <v>0.19633268725</v>
      </c>
      <c r="F78" s="98">
        <f t="shared" si="37"/>
        <v>0.18773556149999998</v>
      </c>
      <c r="G78" s="98">
        <f t="shared" si="37"/>
        <v>0.18322357924999996</v>
      </c>
      <c r="H78" s="98">
        <f t="shared" si="37"/>
        <v>0.18746267324999999</v>
      </c>
      <c r="I78" s="98">
        <f t="shared" si="37"/>
        <v>0.14596146899999995</v>
      </c>
      <c r="J78" s="98">
        <f t="shared" si="37"/>
        <v>0.13106362149999998</v>
      </c>
      <c r="K78" s="98">
        <f t="shared" si="37"/>
        <v>0.1360629065</v>
      </c>
      <c r="L78" s="98">
        <f t="shared" si="37"/>
        <v>0.14773084999999997</v>
      </c>
      <c r="M78" s="98">
        <f t="shared" si="37"/>
        <v>0.12960206674999997</v>
      </c>
      <c r="N78" s="98">
        <f t="shared" si="37"/>
        <v>0.13195689124999999</v>
      </c>
      <c r="O78" s="98">
        <f t="shared" si="37"/>
        <v>0.13636771899999997</v>
      </c>
      <c r="P78" s="98">
        <f t="shared" si="37"/>
        <v>0.13400201324999997</v>
      </c>
      <c r="Q78" s="98">
        <f t="shared" si="37"/>
        <v>6.9318095499999996E-2</v>
      </c>
      <c r="R78" s="98">
        <f t="shared" si="37"/>
        <v>6.0035696249999992E-2</v>
      </c>
      <c r="S78" s="98">
        <f t="shared" si="37"/>
        <v>6.4219326999999993E-2</v>
      </c>
      <c r="T78" s="98">
        <f t="shared" si="37"/>
        <v>6.8679364249999986E-2</v>
      </c>
      <c r="U78" s="98">
        <f t="shared" si="37"/>
        <v>0.11141301849999997</v>
      </c>
      <c r="V78" s="98">
        <f t="shared" si="37"/>
        <v>0.11619132399999997</v>
      </c>
      <c r="W78" s="98">
        <f t="shared" si="37"/>
        <v>0.11379180574999997</v>
      </c>
      <c r="X78" s="98">
        <f t="shared" si="37"/>
        <v>9.5961719499999987E-2</v>
      </c>
      <c r="Y78" s="98">
        <f t="shared" si="26"/>
        <v>0.11691266899999998</v>
      </c>
      <c r="Z78" s="98">
        <f t="shared" si="26"/>
        <v>0.12185968524999999</v>
      </c>
      <c r="AA78" s="98">
        <f t="shared" si="27"/>
        <v>0.11309021799999999</v>
      </c>
      <c r="AB78" s="98">
        <f t="shared" si="27"/>
        <v>9.1454188999999991E-2</v>
      </c>
      <c r="AC78" s="98">
        <f t="shared" si="28"/>
        <v>9.36847445E-2</v>
      </c>
      <c r="AD78" s="133">
        <f t="shared" si="28"/>
        <v>9.6435323499999989E-2</v>
      </c>
      <c r="AE78" s="98">
        <f t="shared" ref="AE78:AF78" si="38">AE44+AE61</f>
        <v>0.11064475774999999</v>
      </c>
      <c r="AF78" s="98">
        <f t="shared" si="38"/>
        <v>0.10108987599999998</v>
      </c>
      <c r="AG78" s="98">
        <f t="shared" ref="AG78:AH78" si="39">AG44+AG61</f>
        <v>0.10445729925</v>
      </c>
      <c r="AH78" s="98">
        <f t="shared" si="39"/>
        <v>0.12332667824999997</v>
      </c>
      <c r="AI78" s="98">
        <f t="shared" ref="AI78" si="40">AI44+AI61</f>
        <v>0.10759052499999998</v>
      </c>
    </row>
    <row r="79" spans="1:36" x14ac:dyDescent="0.4">
      <c r="A79" s="246" t="s">
        <v>74</v>
      </c>
      <c r="B79" s="97">
        <f t="shared" si="32"/>
        <v>5.6637423469999996E-2</v>
      </c>
      <c r="C79" s="98">
        <f t="shared" si="32"/>
        <v>6.1309964569999993E-2</v>
      </c>
      <c r="D79" s="98">
        <f t="shared" ref="D79:X79" si="41">D45+D62</f>
        <v>5.9076519639999991E-2</v>
      </c>
      <c r="E79" s="98">
        <f t="shared" si="41"/>
        <v>5.8319693029999994E-2</v>
      </c>
      <c r="F79" s="98">
        <f t="shared" si="41"/>
        <v>5.9352809769999994E-2</v>
      </c>
      <c r="G79" s="98">
        <f t="shared" si="41"/>
        <v>6.0476406299999994E-2</v>
      </c>
      <c r="H79" s="98">
        <f t="shared" si="41"/>
        <v>5.9672558659999993E-2</v>
      </c>
      <c r="I79" s="98">
        <f t="shared" si="41"/>
        <v>5.7526248299999992E-2</v>
      </c>
      <c r="J79" s="98">
        <f t="shared" si="41"/>
        <v>4.9716922049999987E-2</v>
      </c>
      <c r="K79" s="98">
        <f t="shared" si="41"/>
        <v>4.3382592259999991E-2</v>
      </c>
      <c r="L79" s="98">
        <f t="shared" si="41"/>
        <v>4.9770660059999999E-2</v>
      </c>
      <c r="M79" s="98">
        <f t="shared" si="41"/>
        <v>4.108230999999999E-2</v>
      </c>
      <c r="N79" s="98">
        <f t="shared" si="41"/>
        <v>4.2370516659999996E-2</v>
      </c>
      <c r="O79" s="98">
        <f t="shared" si="41"/>
        <v>5.0262934749999995E-2</v>
      </c>
      <c r="P79" s="98">
        <f t="shared" si="41"/>
        <v>4.9255863909999996E-2</v>
      </c>
      <c r="Q79" s="98">
        <f t="shared" si="41"/>
        <v>3.6142130252550454E-2</v>
      </c>
      <c r="R79" s="98">
        <f t="shared" si="41"/>
        <v>2.7004935670168092E-2</v>
      </c>
      <c r="S79" s="98">
        <f t="shared" si="41"/>
        <v>2.7604566381577697E-2</v>
      </c>
      <c r="T79" s="98">
        <f t="shared" si="41"/>
        <v>2.7519606070010756E-2</v>
      </c>
      <c r="U79" s="98">
        <f t="shared" si="41"/>
        <v>3.5598628217882788E-2</v>
      </c>
      <c r="V79" s="98">
        <f t="shared" si="41"/>
        <v>4.0549299555101122E-2</v>
      </c>
      <c r="W79" s="98">
        <f t="shared" si="41"/>
        <v>3.6602837863985917E-2</v>
      </c>
      <c r="X79" s="98">
        <f t="shared" si="41"/>
        <v>3.0061501372156855E-2</v>
      </c>
      <c r="Y79" s="98">
        <f t="shared" si="26"/>
        <v>3.6162788046612306E-2</v>
      </c>
      <c r="Z79" s="98">
        <f t="shared" si="26"/>
        <v>3.7605235658621054E-2</v>
      </c>
      <c r="AA79" s="98">
        <f t="shared" si="27"/>
        <v>4.0238339474357322E-2</v>
      </c>
      <c r="AB79" s="98">
        <f t="shared" si="27"/>
        <v>3.597527531024941E-2</v>
      </c>
      <c r="AC79" s="98">
        <f t="shared" si="28"/>
        <v>3.7496851919362487E-2</v>
      </c>
      <c r="AD79" s="133">
        <f t="shared" si="28"/>
        <v>3.7176648474549823E-2</v>
      </c>
      <c r="AE79" s="98">
        <f t="shared" ref="AE79:AF79" si="42">AE45+AE62</f>
        <v>3.9350801390763537E-2</v>
      </c>
      <c r="AF79" s="98">
        <f t="shared" si="42"/>
        <v>4.1498279225575113E-2</v>
      </c>
      <c r="AG79" s="98">
        <f t="shared" ref="AG79:AH79" si="43">AG45+AG62</f>
        <v>4.3332509396349174E-2</v>
      </c>
      <c r="AH79" s="98">
        <f t="shared" si="43"/>
        <v>4.5355725083220624E-2</v>
      </c>
      <c r="AI79" s="98">
        <f t="shared" ref="AI79" si="44">AI45+AI62</f>
        <v>4.3663358252131954E-2</v>
      </c>
    </row>
    <row r="80" spans="1:36" ht="17" x14ac:dyDescent="0.45">
      <c r="A80" s="1309" t="s">
        <v>1041</v>
      </c>
      <c r="B80" s="97">
        <f t="shared" si="32"/>
        <v>1.7459787219999998E-2</v>
      </c>
      <c r="C80" s="98">
        <f t="shared" si="32"/>
        <v>1.8995366319999998E-2</v>
      </c>
      <c r="D80" s="98">
        <f t="shared" ref="D80:X80" si="45">D46+D63</f>
        <v>1.7514631139999997E-2</v>
      </c>
      <c r="E80" s="98">
        <f t="shared" si="45"/>
        <v>1.5742106279999998E-2</v>
      </c>
      <c r="F80" s="98">
        <f t="shared" si="45"/>
        <v>1.5752128019999999E-2</v>
      </c>
      <c r="G80" s="98">
        <f t="shared" si="45"/>
        <v>1.6254365299999997E-2</v>
      </c>
      <c r="H80" s="98">
        <f t="shared" si="45"/>
        <v>1.5220326159999997E-2</v>
      </c>
      <c r="I80" s="98">
        <f t="shared" si="45"/>
        <v>1.4817111299999998E-2</v>
      </c>
      <c r="J80" s="98">
        <f t="shared" si="45"/>
        <v>1.2826024299999999E-2</v>
      </c>
      <c r="K80" s="98">
        <f t="shared" si="45"/>
        <v>1.0733101759999999E-2</v>
      </c>
      <c r="L80" s="98">
        <f t="shared" si="45"/>
        <v>1.3812663559999999E-2</v>
      </c>
      <c r="M80" s="98">
        <f t="shared" si="45"/>
        <v>1.1020263499999997E-2</v>
      </c>
      <c r="N80" s="98">
        <f t="shared" si="45"/>
        <v>1.1823573159999998E-2</v>
      </c>
      <c r="O80" s="98">
        <f t="shared" si="45"/>
        <v>1.4761280999999998E-2</v>
      </c>
      <c r="P80" s="98">
        <f t="shared" si="45"/>
        <v>1.5637451659999999E-2</v>
      </c>
      <c r="Q80" s="98">
        <f t="shared" si="45"/>
        <v>1.292140729643314E-2</v>
      </c>
      <c r="R80" s="98">
        <f t="shared" si="45"/>
        <v>9.3378826831631689E-3</v>
      </c>
      <c r="S80" s="98">
        <f t="shared" si="45"/>
        <v>9.1655424515551063E-3</v>
      </c>
      <c r="T80" s="98">
        <f t="shared" si="45"/>
        <v>8.6231428131900486E-3</v>
      </c>
      <c r="U80" s="98">
        <f t="shared" si="45"/>
        <v>1.0064609999669535E-2</v>
      </c>
      <c r="V80" s="98">
        <f t="shared" si="45"/>
        <v>1.2078737435780551E-2</v>
      </c>
      <c r="W80" s="98">
        <f t="shared" si="45"/>
        <v>1.0330833415856321E-2</v>
      </c>
      <c r="X80" s="98">
        <f t="shared" si="45"/>
        <v>8.2301132604665796E-3</v>
      </c>
      <c r="Y80" s="98">
        <f t="shared" si="26"/>
        <v>9.4496570871615178E-3</v>
      </c>
      <c r="Z80" s="98">
        <f t="shared" si="26"/>
        <v>9.8799037263947957E-3</v>
      </c>
      <c r="AA80" s="98">
        <f t="shared" si="27"/>
        <v>1.0922616042995017E-2</v>
      </c>
      <c r="AB80" s="98">
        <f t="shared" si="27"/>
        <v>9.432159834761554E-3</v>
      </c>
      <c r="AC80" s="98">
        <f t="shared" si="28"/>
        <v>9.857170416042272E-3</v>
      </c>
      <c r="AD80" s="133">
        <f t="shared" si="28"/>
        <v>9.9701373256807571E-3</v>
      </c>
      <c r="AE80" s="98">
        <f t="shared" ref="AE80:AF80" si="46">AE46+AE63</f>
        <v>1.0336713708058012E-2</v>
      </c>
      <c r="AF80" s="98">
        <f t="shared" si="46"/>
        <v>1.0156094930732416E-2</v>
      </c>
      <c r="AG80" s="98">
        <f t="shared" ref="AG80:AH80" si="47">AG46+AG63</f>
        <v>1.1140774630244162E-2</v>
      </c>
      <c r="AH80" s="98">
        <f t="shared" si="47"/>
        <v>1.1470754813583783E-2</v>
      </c>
      <c r="AI80" s="98">
        <f t="shared" ref="AI80" si="48">AI46+AI63</f>
        <v>1.1167178066101699E-2</v>
      </c>
    </row>
    <row r="81" spans="1:36" ht="17" x14ac:dyDescent="0.45">
      <c r="A81" s="1309" t="s">
        <v>1042</v>
      </c>
      <c r="B81" s="97">
        <f t="shared" si="32"/>
        <v>3.9177636249999995E-2</v>
      </c>
      <c r="C81" s="98">
        <f t="shared" si="32"/>
        <v>4.2314598249999995E-2</v>
      </c>
      <c r="D81" s="98">
        <f t="shared" ref="D81:X81" si="49">D47+D64</f>
        <v>4.1561888499999991E-2</v>
      </c>
      <c r="E81" s="98">
        <f t="shared" si="49"/>
        <v>4.2577586749999993E-2</v>
      </c>
      <c r="F81" s="98">
        <f t="shared" si="49"/>
        <v>4.3600681749999995E-2</v>
      </c>
      <c r="G81" s="98">
        <f t="shared" si="49"/>
        <v>4.4222040999999997E-2</v>
      </c>
      <c r="H81" s="98">
        <f t="shared" si="49"/>
        <v>4.4452232499999994E-2</v>
      </c>
      <c r="I81" s="98">
        <f t="shared" si="49"/>
        <v>4.2709136999999994E-2</v>
      </c>
      <c r="J81" s="98">
        <f t="shared" si="49"/>
        <v>3.6890897749999992E-2</v>
      </c>
      <c r="K81" s="98">
        <f t="shared" si="49"/>
        <v>3.2649490499999996E-2</v>
      </c>
      <c r="L81" s="98">
        <f t="shared" si="49"/>
        <v>3.5957996499999999E-2</v>
      </c>
      <c r="M81" s="98">
        <f t="shared" si="49"/>
        <v>3.0062046499999995E-2</v>
      </c>
      <c r="N81" s="98">
        <f t="shared" si="49"/>
        <v>3.0546943499999996E-2</v>
      </c>
      <c r="O81" s="98">
        <f t="shared" si="49"/>
        <v>3.5501653749999994E-2</v>
      </c>
      <c r="P81" s="98">
        <f t="shared" si="49"/>
        <v>3.361841225E-2</v>
      </c>
      <c r="Q81" s="98">
        <f t="shared" si="49"/>
        <v>2.3220722956117313E-2</v>
      </c>
      <c r="R81" s="98">
        <f t="shared" si="49"/>
        <v>1.7667052987004925E-2</v>
      </c>
      <c r="S81" s="98">
        <f t="shared" si="49"/>
        <v>1.8439023930022589E-2</v>
      </c>
      <c r="T81" s="98">
        <f t="shared" si="49"/>
        <v>1.8896463256820706E-2</v>
      </c>
      <c r="U81" s="98">
        <f t="shared" si="49"/>
        <v>2.5534018218213252E-2</v>
      </c>
      <c r="V81" s="98">
        <f t="shared" si="49"/>
        <v>2.8470562119320569E-2</v>
      </c>
      <c r="W81" s="98">
        <f t="shared" si="49"/>
        <v>2.6272004448129594E-2</v>
      </c>
      <c r="X81" s="98">
        <f t="shared" si="49"/>
        <v>2.1831388111690275E-2</v>
      </c>
      <c r="Y81" s="98">
        <f t="shared" si="26"/>
        <v>2.6713130959450791E-2</v>
      </c>
      <c r="Z81" s="98">
        <f t="shared" si="26"/>
        <v>2.7725331932226257E-2</v>
      </c>
      <c r="AA81" s="98">
        <f t="shared" si="27"/>
        <v>2.9315723431362305E-2</v>
      </c>
      <c r="AB81" s="98">
        <f t="shared" si="27"/>
        <v>2.6543115475487863E-2</v>
      </c>
      <c r="AC81" s="98">
        <f t="shared" si="28"/>
        <v>2.7639681503320218E-2</v>
      </c>
      <c r="AD81" s="133">
        <f t="shared" si="28"/>
        <v>2.7206511148869069E-2</v>
      </c>
      <c r="AE81" s="98">
        <f t="shared" ref="AE81:AF81" si="50">AE47+AE64</f>
        <v>2.9014087682705521E-2</v>
      </c>
      <c r="AF81" s="98">
        <f t="shared" si="50"/>
        <v>3.1342184294842701E-2</v>
      </c>
      <c r="AG81" s="98">
        <f t="shared" ref="AG81:AH81" si="51">AG47+AG64</f>
        <v>3.2191734766105012E-2</v>
      </c>
      <c r="AH81" s="98">
        <f t="shared" si="51"/>
        <v>3.3884970269636841E-2</v>
      </c>
      <c r="AI81" s="98">
        <f t="shared" ref="AI81" si="52">AI47+AI64</f>
        <v>3.2496180186030253E-2</v>
      </c>
    </row>
    <row r="82" spans="1:36" x14ac:dyDescent="0.4">
      <c r="A82" s="247" t="s">
        <v>65</v>
      </c>
      <c r="B82" s="97">
        <f>B48+B65</f>
        <v>2.19391063196166E-2</v>
      </c>
      <c r="C82" s="98">
        <f t="shared" si="32"/>
        <v>1.8804278893775218E-2</v>
      </c>
      <c r="D82" s="98">
        <f t="shared" ref="D82:X82" si="53">D48+D65</f>
        <v>2.2056999012336577E-2</v>
      </c>
      <c r="E82" s="98">
        <f t="shared" si="53"/>
        <v>2.2613327546758041E-2</v>
      </c>
      <c r="F82" s="98">
        <f t="shared" si="53"/>
        <v>2.0959623605712303E-2</v>
      </c>
      <c r="G82" s="98">
        <f t="shared" si="53"/>
        <v>2.0664401566270606E-2</v>
      </c>
      <c r="H82" s="98">
        <f t="shared" si="53"/>
        <v>2.055429936983752E-2</v>
      </c>
      <c r="I82" s="98">
        <f t="shared" si="53"/>
        <v>2.1758184382740957E-2</v>
      </c>
      <c r="J82" s="98">
        <f t="shared" si="53"/>
        <v>1.9170090193242201E-2</v>
      </c>
      <c r="K82" s="98">
        <f t="shared" si="53"/>
        <v>1.957597393398583E-2</v>
      </c>
      <c r="L82" s="98">
        <f t="shared" si="53"/>
        <v>1.946333915198022E-2</v>
      </c>
      <c r="M82" s="98">
        <f t="shared" si="53"/>
        <v>1.9251449816890667E-2</v>
      </c>
      <c r="N82" s="98">
        <f t="shared" si="53"/>
        <v>1.5284791688067982E-2</v>
      </c>
      <c r="O82" s="98">
        <f t="shared" si="53"/>
        <v>1.3991591491882279E-2</v>
      </c>
      <c r="P82" s="98">
        <f t="shared" si="53"/>
        <v>1.4130251723568998E-2</v>
      </c>
      <c r="Q82" s="98">
        <f t="shared" si="53"/>
        <v>1.468346527025877E-2</v>
      </c>
      <c r="R82" s="98">
        <f t="shared" si="53"/>
        <v>1.4675220179428451E-2</v>
      </c>
      <c r="S82" s="98">
        <f t="shared" si="53"/>
        <v>1.4300494632537991E-2</v>
      </c>
      <c r="T82" s="98">
        <f t="shared" si="53"/>
        <v>1.3438749968192496E-2</v>
      </c>
      <c r="U82" s="98">
        <f t="shared" si="53"/>
        <v>1.0596025715565774E-2</v>
      </c>
      <c r="V82" s="98">
        <f t="shared" si="53"/>
        <v>1.5637049914401204E-2</v>
      </c>
      <c r="W82" s="98">
        <f t="shared" si="53"/>
        <v>1.9358746538103083E-2</v>
      </c>
      <c r="X82" s="98">
        <f t="shared" si="53"/>
        <v>1.8169997339342634E-2</v>
      </c>
      <c r="Y82" s="98">
        <f t="shared" si="26"/>
        <v>1.8253734630129383E-2</v>
      </c>
      <c r="Z82" s="98">
        <f t="shared" si="26"/>
        <v>1.7644754278004635E-2</v>
      </c>
      <c r="AA82" s="98">
        <f t="shared" si="27"/>
        <v>1.7693717285210304E-2</v>
      </c>
      <c r="AB82" s="98">
        <f t="shared" si="27"/>
        <v>1.6864802547429884E-2</v>
      </c>
      <c r="AC82" s="98">
        <f t="shared" si="28"/>
        <v>9.7418122262509128E-3</v>
      </c>
      <c r="AD82" s="133">
        <f t="shared" si="28"/>
        <v>9.5420662146183579E-3</v>
      </c>
      <c r="AE82" s="98">
        <f t="shared" ref="AE82:AF82" si="54">AE48+AE65</f>
        <v>9.5741570685917328E-3</v>
      </c>
      <c r="AF82" s="98">
        <f t="shared" si="54"/>
        <v>9.297561033359051E-3</v>
      </c>
      <c r="AG82" s="98">
        <f t="shared" ref="AG82:AH82" si="55">AG48+AG65</f>
        <v>9.6053437311539539E-3</v>
      </c>
      <c r="AH82" s="98">
        <f t="shared" si="55"/>
        <v>1.0423428329114713E-2</v>
      </c>
      <c r="AI82" s="98">
        <f t="shared" ref="AI82" si="56">AI48+AI65</f>
        <v>1.0285247003878145E-2</v>
      </c>
    </row>
    <row r="83" spans="1:36" ht="17" x14ac:dyDescent="0.45">
      <c r="A83" s="1309" t="s">
        <v>1041</v>
      </c>
      <c r="B83" s="97">
        <f>B49+B66</f>
        <v>1.4096739613452437E-2</v>
      </c>
      <c r="C83" s="98">
        <f>C49+C66</f>
        <v>1.1756584827612063E-2</v>
      </c>
      <c r="D83" s="98">
        <f t="shared" ref="D83:X83" si="57">D49+D66</f>
        <v>1.3932457908201697E-2</v>
      </c>
      <c r="E83" s="98">
        <f t="shared" si="57"/>
        <v>1.4320692274321846E-2</v>
      </c>
      <c r="F83" s="98">
        <f t="shared" si="57"/>
        <v>1.3193347778291301E-2</v>
      </c>
      <c r="G83" s="98">
        <f t="shared" si="57"/>
        <v>1.2848785840725721E-2</v>
      </c>
      <c r="H83" s="98">
        <f t="shared" si="57"/>
        <v>1.2801953631410097E-2</v>
      </c>
      <c r="I83" s="98">
        <f t="shared" si="57"/>
        <v>1.3518159502413878E-2</v>
      </c>
      <c r="J83" s="98">
        <f t="shared" si="57"/>
        <v>1.1906826526759021E-2</v>
      </c>
      <c r="K83" s="98">
        <f t="shared" si="57"/>
        <v>1.2015472240598834E-2</v>
      </c>
      <c r="L83" s="98">
        <f t="shared" si="57"/>
        <v>1.1970860163146458E-2</v>
      </c>
      <c r="M83" s="98">
        <f t="shared" si="57"/>
        <v>1.2047102403748735E-2</v>
      </c>
      <c r="N83" s="98">
        <f t="shared" si="57"/>
        <v>9.4989224091697657E-3</v>
      </c>
      <c r="O83" s="98">
        <f t="shared" si="57"/>
        <v>8.9180433453255655E-3</v>
      </c>
      <c r="P83" s="98">
        <f t="shared" si="57"/>
        <v>8.9806301551493949E-3</v>
      </c>
      <c r="Q83" s="98">
        <f t="shared" si="57"/>
        <v>9.315899652853378E-3</v>
      </c>
      <c r="R83" s="98">
        <f t="shared" si="57"/>
        <v>9.319986036718084E-3</v>
      </c>
      <c r="S83" s="98">
        <f t="shared" si="57"/>
        <v>9.0002047311814951E-3</v>
      </c>
      <c r="T83" s="98">
        <f t="shared" si="57"/>
        <v>8.4314954288586749E-3</v>
      </c>
      <c r="U83" s="98">
        <f t="shared" si="57"/>
        <v>6.5760932003741659E-3</v>
      </c>
      <c r="V83" s="98">
        <f t="shared" si="57"/>
        <v>9.7147175174104455E-3</v>
      </c>
      <c r="W83" s="98">
        <f t="shared" si="57"/>
        <v>1.200150283276321E-2</v>
      </c>
      <c r="X83" s="98">
        <f t="shared" si="57"/>
        <v>1.1193243044091392E-2</v>
      </c>
      <c r="Y83" s="98">
        <f t="shared" si="26"/>
        <v>1.1229959602879454E-2</v>
      </c>
      <c r="Z83" s="98">
        <f t="shared" si="26"/>
        <v>1.085336004709417E-2</v>
      </c>
      <c r="AA83" s="98">
        <f t="shared" si="27"/>
        <v>1.091059743402849E-2</v>
      </c>
      <c r="AB83" s="98">
        <f t="shared" si="27"/>
        <v>1.0362619331295885E-2</v>
      </c>
      <c r="AC83" s="98">
        <f t="shared" si="28"/>
        <v>6.0042980998851921E-3</v>
      </c>
      <c r="AD83" s="133">
        <f t="shared" si="28"/>
        <v>5.8675071469410931E-3</v>
      </c>
      <c r="AE83" s="98">
        <f t="shared" ref="AE83:AF83" si="58">AE49+AE66</f>
        <v>5.8777491142128352E-3</v>
      </c>
      <c r="AF83" s="98">
        <f t="shared" si="58"/>
        <v>5.7101952673093738E-3</v>
      </c>
      <c r="AG83" s="98">
        <f t="shared" ref="AG83:AH83" si="59">AG49+AG66</f>
        <v>5.9106431993666301E-3</v>
      </c>
      <c r="AH83" s="98">
        <f t="shared" si="59"/>
        <v>6.4167591814672737E-3</v>
      </c>
      <c r="AI83" s="98">
        <f t="shared" ref="AI83" si="60">AI49+AI66</f>
        <v>6.3427553198199252E-3</v>
      </c>
    </row>
    <row r="84" spans="1:36" ht="17" x14ac:dyDescent="0.45">
      <c r="A84" s="1309" t="s">
        <v>1042</v>
      </c>
      <c r="B84" s="97">
        <f>B50+B67</f>
        <v>7.842366706164167E-3</v>
      </c>
      <c r="C84" s="98">
        <f>C50+C67</f>
        <v>7.047694066163155E-3</v>
      </c>
      <c r="D84" s="98">
        <f t="shared" ref="D84:X84" si="61">D50+D67</f>
        <v>8.1245411041348786E-3</v>
      </c>
      <c r="E84" s="98">
        <f t="shared" si="61"/>
        <v>8.2926352724361947E-3</v>
      </c>
      <c r="F84" s="98">
        <f t="shared" si="61"/>
        <v>7.7662758274210028E-3</v>
      </c>
      <c r="G84" s="98">
        <f t="shared" si="61"/>
        <v>7.8156157255448826E-3</v>
      </c>
      <c r="H84" s="98">
        <f t="shared" si="61"/>
        <v>7.7523457384274207E-3</v>
      </c>
      <c r="I84" s="98">
        <f t="shared" si="61"/>
        <v>8.2400248803270806E-3</v>
      </c>
      <c r="J84" s="98">
        <f t="shared" si="61"/>
        <v>7.263263666483181E-3</v>
      </c>
      <c r="K84" s="98">
        <f t="shared" si="61"/>
        <v>7.5605016933869961E-3</v>
      </c>
      <c r="L84" s="98">
        <f t="shared" si="61"/>
        <v>7.4924789888337609E-3</v>
      </c>
      <c r="M84" s="98">
        <f t="shared" si="61"/>
        <v>7.204347413141932E-3</v>
      </c>
      <c r="N84" s="98">
        <f t="shared" si="61"/>
        <v>5.7858692788982169E-3</v>
      </c>
      <c r="O84" s="98">
        <f t="shared" si="61"/>
        <v>5.0735481465567145E-3</v>
      </c>
      <c r="P84" s="98">
        <f t="shared" si="61"/>
        <v>5.1496215684196022E-3</v>
      </c>
      <c r="Q84" s="98">
        <f t="shared" si="61"/>
        <v>5.3675656174053919E-3</v>
      </c>
      <c r="R84" s="98">
        <f t="shared" si="61"/>
        <v>5.3552341427103665E-3</v>
      </c>
      <c r="S84" s="98">
        <f t="shared" si="61"/>
        <v>5.3002899013564952E-3</v>
      </c>
      <c r="T84" s="98">
        <f t="shared" si="61"/>
        <v>5.0072545393338216E-3</v>
      </c>
      <c r="U84" s="98">
        <f t="shared" si="61"/>
        <v>4.0199325151916094E-3</v>
      </c>
      <c r="V84" s="98">
        <f t="shared" si="61"/>
        <v>5.9223323969907577E-3</v>
      </c>
      <c r="W84" s="98">
        <f t="shared" si="61"/>
        <v>7.3572437053398693E-3</v>
      </c>
      <c r="X84" s="98">
        <f t="shared" si="61"/>
        <v>6.9767542952512427E-3</v>
      </c>
      <c r="Y84" s="98">
        <f t="shared" si="26"/>
        <v>7.0237750272499301E-3</v>
      </c>
      <c r="Z84" s="98">
        <f t="shared" si="26"/>
        <v>6.7913942309104662E-3</v>
      </c>
      <c r="AA84" s="98">
        <f t="shared" si="27"/>
        <v>6.7831198511818158E-3</v>
      </c>
      <c r="AB84" s="98">
        <f t="shared" si="27"/>
        <v>6.5021832161340004E-3</v>
      </c>
      <c r="AC84" s="98">
        <f t="shared" si="28"/>
        <v>3.7375141263657203E-3</v>
      </c>
      <c r="AD84" s="133">
        <f t="shared" si="28"/>
        <v>3.6745590676772648E-3</v>
      </c>
      <c r="AE84" s="98">
        <f t="shared" ref="AE84:AF84" si="62">AE50+AE67</f>
        <v>3.6964079543788993E-3</v>
      </c>
      <c r="AF84" s="98">
        <f t="shared" si="62"/>
        <v>3.5873657660496772E-3</v>
      </c>
      <c r="AG84" s="98">
        <f t="shared" ref="AG84:AH84" si="63">AG50+AG67</f>
        <v>3.6947005317873247E-3</v>
      </c>
      <c r="AH84" s="98">
        <f t="shared" si="63"/>
        <v>4.0066691476474394E-3</v>
      </c>
      <c r="AI84" s="98">
        <f t="shared" ref="AI84" si="64">AI50+AI67</f>
        <v>3.94249168405822E-3</v>
      </c>
    </row>
    <row r="85" spans="1:36" x14ac:dyDescent="0.4">
      <c r="A85" s="256" t="s">
        <v>14</v>
      </c>
      <c r="B85" s="97">
        <f t="shared" si="32"/>
        <v>9.3884288699999999E-2</v>
      </c>
      <c r="C85" s="98">
        <f t="shared" si="32"/>
        <v>9.6822959449999968E-2</v>
      </c>
      <c r="D85" s="98">
        <f t="shared" ref="D85:X85" si="65">D51+D68</f>
        <v>9.0914300149999988E-2</v>
      </c>
      <c r="E85" s="98">
        <f t="shared" si="65"/>
        <v>8.1111164489999998E-2</v>
      </c>
      <c r="F85" s="98">
        <f t="shared" si="65"/>
        <v>8.0477643539999991E-2</v>
      </c>
      <c r="G85" s="98">
        <f t="shared" si="65"/>
        <v>7.487524039E-2</v>
      </c>
      <c r="H85" s="98">
        <f t="shared" si="65"/>
        <v>7.7779169514999996E-2</v>
      </c>
      <c r="I85" s="98">
        <f t="shared" si="65"/>
        <v>9.6196196615999999E-2</v>
      </c>
      <c r="J85" s="98">
        <f t="shared" si="65"/>
        <v>9.9711417475199987E-2</v>
      </c>
      <c r="K85" s="98">
        <f t="shared" si="65"/>
        <v>9.1105053121899982E-2</v>
      </c>
      <c r="L85" s="98">
        <f t="shared" si="65"/>
        <v>8.6038897661899996E-2</v>
      </c>
      <c r="M85" s="98">
        <f t="shared" si="65"/>
        <v>8.4135110418599987E-2</v>
      </c>
      <c r="N85" s="98">
        <f t="shared" si="65"/>
        <v>8.3639338406599997E-2</v>
      </c>
      <c r="O85" s="98">
        <f t="shared" si="65"/>
        <v>8.5136165160799998E-2</v>
      </c>
      <c r="P85" s="98">
        <f t="shared" si="65"/>
        <v>8.1217752578399999E-2</v>
      </c>
      <c r="Q85" s="98">
        <f t="shared" si="65"/>
        <v>8.7053430643999993E-2</v>
      </c>
      <c r="R85" s="98">
        <f t="shared" si="65"/>
        <v>7.388594993E-2</v>
      </c>
      <c r="S85" s="98">
        <f t="shared" si="65"/>
        <v>7.9954547018999983E-2</v>
      </c>
      <c r="T85" s="98">
        <f t="shared" si="65"/>
        <v>7.0447017651999996E-2</v>
      </c>
      <c r="U85" s="98">
        <f t="shared" si="65"/>
        <v>5.9428616861800003E-2</v>
      </c>
      <c r="V85" s="98">
        <f t="shared" si="65"/>
        <v>5.5503888081399999E-2</v>
      </c>
      <c r="W85" s="98">
        <f t="shared" si="65"/>
        <v>3.6155926511399997E-2</v>
      </c>
      <c r="X85" s="98">
        <f t="shared" si="65"/>
        <v>2.6671556131799997E-2</v>
      </c>
      <c r="Y85" s="98">
        <f t="shared" si="26"/>
        <v>3.4448873260999997E-2</v>
      </c>
      <c r="Z85" s="98">
        <f t="shared" si="26"/>
        <v>3.1111986384599999E-2</v>
      </c>
      <c r="AA85" s="98">
        <f t="shared" si="27"/>
        <v>2.8343924454799996E-2</v>
      </c>
      <c r="AB85" s="98">
        <f t="shared" si="27"/>
        <v>2.6786002749199997E-2</v>
      </c>
      <c r="AC85" s="98">
        <f t="shared" si="28"/>
        <v>2.2732699960599997E-2</v>
      </c>
      <c r="AD85" s="133">
        <f t="shared" si="28"/>
        <v>1.5684509824999998E-2</v>
      </c>
      <c r="AE85" s="98">
        <f t="shared" ref="AE85:AF85" si="66">AE51+AE68</f>
        <v>1.3002606939999998E-2</v>
      </c>
      <c r="AF85" s="98">
        <f t="shared" si="66"/>
        <v>1.28849316122E-2</v>
      </c>
      <c r="AG85" s="98">
        <f t="shared" ref="AG85:AH85" si="67">AG51+AG68</f>
        <v>1.1772683811199999E-2</v>
      </c>
      <c r="AH85" s="98">
        <f t="shared" si="67"/>
        <v>1.1837122608E-2</v>
      </c>
      <c r="AI85" s="98">
        <f t="shared" ref="AI85" si="68">AI51+AI68</f>
        <v>9.3250753383999994E-3</v>
      </c>
    </row>
    <row r="86" spans="1:36" ht="17" x14ac:dyDescent="0.45">
      <c r="A86" s="1309" t="s">
        <v>1041</v>
      </c>
      <c r="B86" s="97">
        <f t="shared" si="32"/>
        <v>7.8214987199999988E-2</v>
      </c>
      <c r="C86" s="98">
        <f t="shared" si="32"/>
        <v>8.0808928199999977E-2</v>
      </c>
      <c r="D86" s="98">
        <f t="shared" ref="D86:X86" si="69">D52+D69</f>
        <v>7.5352592899999987E-2</v>
      </c>
      <c r="E86" s="98">
        <f t="shared" si="69"/>
        <v>6.7173708740000004E-2</v>
      </c>
      <c r="F86" s="98">
        <f t="shared" si="69"/>
        <v>6.6989053039999982E-2</v>
      </c>
      <c r="G86" s="98">
        <f t="shared" si="69"/>
        <v>6.3268731639999992E-2</v>
      </c>
      <c r="H86" s="98">
        <f t="shared" si="69"/>
        <v>6.6510543264999999E-2</v>
      </c>
      <c r="I86" s="98">
        <f t="shared" si="69"/>
        <v>8.0656856415999997E-2</v>
      </c>
      <c r="J86" s="98">
        <f t="shared" si="69"/>
        <v>8.176536438519999E-2</v>
      </c>
      <c r="K86" s="98">
        <f t="shared" si="69"/>
        <v>7.659398239189999E-2</v>
      </c>
      <c r="L86" s="98">
        <f t="shared" si="69"/>
        <v>7.3115124431899992E-2</v>
      </c>
      <c r="M86" s="98">
        <f t="shared" si="69"/>
        <v>7.1260801298599977E-2</v>
      </c>
      <c r="N86" s="98">
        <f t="shared" si="69"/>
        <v>7.1432957686600004E-2</v>
      </c>
      <c r="O86" s="98">
        <f t="shared" si="69"/>
        <v>7.1238774300800001E-2</v>
      </c>
      <c r="P86" s="98">
        <f t="shared" si="69"/>
        <v>6.80834552984E-2</v>
      </c>
      <c r="Q86" s="98">
        <f t="shared" si="69"/>
        <v>7.3876555093999985E-2</v>
      </c>
      <c r="R86" s="98">
        <f t="shared" si="69"/>
        <v>6.3625319929999993E-2</v>
      </c>
      <c r="S86" s="98">
        <f t="shared" si="69"/>
        <v>6.8698711968999987E-2</v>
      </c>
      <c r="T86" s="98">
        <f t="shared" si="69"/>
        <v>6.0880237501999994E-2</v>
      </c>
      <c r="U86" s="98">
        <f t="shared" si="69"/>
        <v>5.1477328801800004E-2</v>
      </c>
      <c r="V86" s="98">
        <f t="shared" si="69"/>
        <v>4.7443401201399997E-2</v>
      </c>
      <c r="W86" s="98">
        <f t="shared" si="69"/>
        <v>2.9138240131400001E-2</v>
      </c>
      <c r="X86" s="98">
        <f t="shared" si="69"/>
        <v>2.0343217071799997E-2</v>
      </c>
      <c r="Y86" s="98">
        <f t="shared" si="26"/>
        <v>2.8207791810999996E-2</v>
      </c>
      <c r="Z86" s="98">
        <f t="shared" si="26"/>
        <v>2.4583695564599998E-2</v>
      </c>
      <c r="AA86" s="98">
        <f t="shared" si="27"/>
        <v>2.1759399044799996E-2</v>
      </c>
      <c r="AB86" s="98">
        <f t="shared" si="27"/>
        <v>2.0412107609199995E-2</v>
      </c>
      <c r="AC86" s="98">
        <f t="shared" si="28"/>
        <v>1.6455033940599998E-2</v>
      </c>
      <c r="AD86" s="133">
        <f t="shared" si="28"/>
        <v>1.0484336574999999E-2</v>
      </c>
      <c r="AE86" s="98">
        <f t="shared" ref="AE86:AF86" si="70">AE52+AE69</f>
        <v>8.7161736899999988E-3</v>
      </c>
      <c r="AF86" s="98">
        <f t="shared" si="70"/>
        <v>8.660073372199999E-3</v>
      </c>
      <c r="AG86" s="98">
        <f t="shared" ref="AG86:AH86" si="71">AG52+AG69</f>
        <v>7.8466080211999998E-3</v>
      </c>
      <c r="AH86" s="98">
        <f t="shared" si="71"/>
        <v>7.7702445079999988E-3</v>
      </c>
      <c r="AI86" s="98">
        <f t="shared" ref="AI86" si="72">AI52+AI69</f>
        <v>5.9874058083999992E-3</v>
      </c>
    </row>
    <row r="87" spans="1:36" ht="17.5" thickBot="1" x14ac:dyDescent="0.5">
      <c r="A87" s="1310" t="s">
        <v>1042</v>
      </c>
      <c r="B87" s="143">
        <f t="shared" si="32"/>
        <v>1.56693015E-2</v>
      </c>
      <c r="C87" s="129">
        <f t="shared" si="32"/>
        <v>1.6014031249999998E-2</v>
      </c>
      <c r="D87" s="129">
        <f t="shared" ref="D87:X87" si="73">D53+D70</f>
        <v>1.5561707249999999E-2</v>
      </c>
      <c r="E87" s="129">
        <f t="shared" si="73"/>
        <v>1.3937455749999999E-2</v>
      </c>
      <c r="F87" s="129">
        <f t="shared" si="73"/>
        <v>1.3488590499999998E-2</v>
      </c>
      <c r="G87" s="129">
        <f t="shared" si="73"/>
        <v>1.1606508749999998E-2</v>
      </c>
      <c r="H87" s="129">
        <f t="shared" si="73"/>
        <v>1.126862625E-2</v>
      </c>
      <c r="I87" s="129">
        <f t="shared" si="73"/>
        <v>1.5539340199999996E-2</v>
      </c>
      <c r="J87" s="129">
        <f t="shared" si="73"/>
        <v>1.7946053090000004E-2</v>
      </c>
      <c r="K87" s="129">
        <f t="shared" si="73"/>
        <v>1.4511070730000001E-2</v>
      </c>
      <c r="L87" s="129">
        <f t="shared" si="73"/>
        <v>1.2923773230000001E-2</v>
      </c>
      <c r="M87" s="129">
        <f t="shared" si="73"/>
        <v>1.287430912E-2</v>
      </c>
      <c r="N87" s="129">
        <f t="shared" si="73"/>
        <v>1.2206380719999998E-2</v>
      </c>
      <c r="O87" s="129">
        <f t="shared" si="73"/>
        <v>1.3897390859999997E-2</v>
      </c>
      <c r="P87" s="129">
        <f t="shared" si="73"/>
        <v>1.313429728E-2</v>
      </c>
      <c r="Q87" s="129">
        <f t="shared" si="73"/>
        <v>1.317687555E-2</v>
      </c>
      <c r="R87" s="129">
        <f t="shared" si="73"/>
        <v>1.026063E-2</v>
      </c>
      <c r="S87" s="129">
        <f t="shared" si="73"/>
        <v>1.1255835049999999E-2</v>
      </c>
      <c r="T87" s="129">
        <f t="shared" si="73"/>
        <v>9.566780149999999E-3</v>
      </c>
      <c r="U87" s="129">
        <f t="shared" si="73"/>
        <v>7.9512880599999988E-3</v>
      </c>
      <c r="V87" s="129">
        <f t="shared" si="73"/>
        <v>8.0604868800000003E-3</v>
      </c>
      <c r="W87" s="129">
        <f t="shared" si="73"/>
        <v>7.0176863799999989E-3</v>
      </c>
      <c r="X87" s="129">
        <f t="shared" si="73"/>
        <v>6.3283390600000003E-3</v>
      </c>
      <c r="Y87" s="129">
        <f t="shared" si="26"/>
        <v>6.2410814499999998E-3</v>
      </c>
      <c r="Z87" s="129">
        <f t="shared" si="26"/>
        <v>6.5282908200000002E-3</v>
      </c>
      <c r="AA87" s="129">
        <f t="shared" si="27"/>
        <v>6.58452541E-3</v>
      </c>
      <c r="AB87" s="129">
        <f t="shared" si="27"/>
        <v>6.3738951400000004E-3</v>
      </c>
      <c r="AC87" s="129">
        <f t="shared" si="28"/>
        <v>6.2776660200000002E-3</v>
      </c>
      <c r="AD87" s="134">
        <f t="shared" si="28"/>
        <v>5.2001732499999988E-3</v>
      </c>
      <c r="AE87" s="129">
        <f t="shared" ref="AE87:AF87" si="74">AE53+AE70</f>
        <v>4.2864332499999991E-3</v>
      </c>
      <c r="AF87" s="129">
        <f t="shared" si="74"/>
        <v>4.2248582399999996E-3</v>
      </c>
      <c r="AG87" s="129">
        <f>AG53+AG70</f>
        <v>3.9260757899999997E-3</v>
      </c>
      <c r="AH87" s="129">
        <f>AH53+AH70</f>
        <v>4.0668780999999999E-3</v>
      </c>
      <c r="AI87" s="129">
        <f>AI53+AI70</f>
        <v>3.3376695299999998E-3</v>
      </c>
    </row>
    <row r="88" spans="1:36" x14ac:dyDescent="0.4">
      <c r="A88" s="108" t="s">
        <v>911</v>
      </c>
      <c r="B88" s="97">
        <f>B54+B71</f>
        <v>0.39392393347961657</v>
      </c>
      <c r="C88" s="98">
        <f>C54+C71</f>
        <v>0.40013422191377523</v>
      </c>
      <c r="D88" s="98">
        <f t="shared" ref="D88:X88" si="75">D54+D71</f>
        <v>0.41335097932233644</v>
      </c>
      <c r="E88" s="98">
        <f t="shared" si="75"/>
        <v>0.40897337745675805</v>
      </c>
      <c r="F88" s="98">
        <f t="shared" si="75"/>
        <v>0.39786454779571223</v>
      </c>
      <c r="G88" s="98">
        <f t="shared" si="75"/>
        <v>0.3861501378662705</v>
      </c>
      <c r="H88" s="98">
        <f t="shared" si="75"/>
        <v>0.39187326675483747</v>
      </c>
      <c r="I88" s="98">
        <f t="shared" si="75"/>
        <v>0.36120067421874091</v>
      </c>
      <c r="J88" s="98">
        <f t="shared" si="75"/>
        <v>0.33581419835844217</v>
      </c>
      <c r="K88" s="98">
        <f t="shared" si="75"/>
        <v>0.32779735247588576</v>
      </c>
      <c r="L88" s="98">
        <f t="shared" si="75"/>
        <v>0.34493101779388019</v>
      </c>
      <c r="M88" s="98">
        <f t="shared" si="75"/>
        <v>0.31447757052549064</v>
      </c>
      <c r="N88" s="98">
        <f t="shared" si="75"/>
        <v>0.31349980540466793</v>
      </c>
      <c r="O88" s="98">
        <f t="shared" si="75"/>
        <v>0.32624593902268223</v>
      </c>
      <c r="P88" s="98">
        <f t="shared" si="75"/>
        <v>0.31736423230196897</v>
      </c>
      <c r="Q88" s="98">
        <f t="shared" si="75"/>
        <v>0.23514242777680919</v>
      </c>
      <c r="R88" s="98">
        <f t="shared" si="75"/>
        <v>0.1996650040295965</v>
      </c>
      <c r="S88" s="98">
        <f t="shared" si="75"/>
        <v>0.21100004625311566</v>
      </c>
      <c r="T88" s="98">
        <f t="shared" si="75"/>
        <v>0.20581033443020322</v>
      </c>
      <c r="U88" s="98">
        <f t="shared" si="75"/>
        <v>0.24831251424524853</v>
      </c>
      <c r="V88" s="98">
        <f t="shared" si="75"/>
        <v>0.26005789252090228</v>
      </c>
      <c r="W88" s="98">
        <f t="shared" si="75"/>
        <v>0.23749747013348899</v>
      </c>
      <c r="X88" s="98">
        <f t="shared" si="75"/>
        <v>0.1974148563732995</v>
      </c>
      <c r="Y88" s="98">
        <f t="shared" si="26"/>
        <v>0.23651949163774166</v>
      </c>
      <c r="Z88" s="98">
        <f t="shared" si="26"/>
        <v>0.24140378128122567</v>
      </c>
      <c r="AA88" s="98">
        <f t="shared" si="27"/>
        <v>0.23097758029436757</v>
      </c>
      <c r="AB88" s="98">
        <f t="shared" si="27"/>
        <v>0.19648618063687928</v>
      </c>
      <c r="AC88" s="98">
        <f t="shared" si="28"/>
        <v>0.19042262505621341</v>
      </c>
      <c r="AD88" s="133">
        <f t="shared" si="28"/>
        <v>0.18703315049416816</v>
      </c>
      <c r="AE88" s="98">
        <f t="shared" ref="AE88:AF88" si="76">AE54+AE71</f>
        <v>0.20320178081935528</v>
      </c>
      <c r="AF88" s="98">
        <f t="shared" si="76"/>
        <v>0.19243830887113414</v>
      </c>
      <c r="AG88" s="98">
        <f t="shared" ref="AG88:AH88" si="77">AG54+AG71</f>
        <v>0.1978216194187031</v>
      </c>
      <c r="AH88" s="98">
        <f t="shared" si="77"/>
        <v>0.22251661153033531</v>
      </c>
      <c r="AI88" s="98">
        <f t="shared" ref="AI88" si="78">AI54+AI71</f>
        <v>0.19979289680441009</v>
      </c>
    </row>
    <row r="89" spans="1:36" x14ac:dyDescent="0.4">
      <c r="A89" s="196" t="s">
        <v>1063</v>
      </c>
      <c r="B89" s="97"/>
      <c r="C89" s="98"/>
      <c r="D89" s="98"/>
      <c r="E89" s="98"/>
      <c r="F89" s="98"/>
      <c r="G89" s="98"/>
      <c r="H89" s="98"/>
      <c r="I89" s="98"/>
      <c r="J89" s="98"/>
      <c r="K89" s="98"/>
      <c r="L89" s="98"/>
      <c r="M89" s="98"/>
      <c r="N89" s="98"/>
      <c r="O89" s="98"/>
      <c r="P89" s="98"/>
      <c r="Q89" s="98"/>
      <c r="R89" s="98"/>
      <c r="S89" s="98"/>
      <c r="T89" s="98"/>
      <c r="U89" s="98"/>
      <c r="V89" s="98"/>
      <c r="W89" s="98"/>
      <c r="X89" s="98"/>
      <c r="Y89" s="98"/>
      <c r="Z89" s="98"/>
      <c r="AA89" s="98"/>
      <c r="AB89" s="98"/>
      <c r="AC89" s="98"/>
      <c r="AD89" s="133"/>
      <c r="AE89" s="98"/>
      <c r="AF89" s="98"/>
      <c r="AG89" s="98"/>
      <c r="AH89" s="98"/>
      <c r="AI89" s="98"/>
    </row>
    <row r="91" spans="1:36" x14ac:dyDescent="0.4">
      <c r="A91" s="1403" t="s">
        <v>1295</v>
      </c>
    </row>
    <row r="93" spans="1:36" s="108" customFormat="1" ht="17" x14ac:dyDescent="0.45">
      <c r="A93" s="108" t="s">
        <v>1045</v>
      </c>
    </row>
    <row r="94" spans="1:36" ht="16.5" thickBot="1" x14ac:dyDescent="0.45">
      <c r="A94" s="108" t="s">
        <v>456</v>
      </c>
      <c r="AJ94" s="108"/>
    </row>
    <row r="95" spans="1:36" s="86" customFormat="1" ht="16.5" thickBot="1" x14ac:dyDescent="0.45">
      <c r="A95" s="997" t="s">
        <v>1397</v>
      </c>
      <c r="B95" s="984" t="s">
        <v>391</v>
      </c>
      <c r="C95" s="983" t="s">
        <v>392</v>
      </c>
      <c r="D95" s="983" t="s">
        <v>393</v>
      </c>
      <c r="E95" s="983" t="s">
        <v>394</v>
      </c>
      <c r="F95" s="983" t="s">
        <v>395</v>
      </c>
      <c r="G95" s="983" t="s">
        <v>396</v>
      </c>
      <c r="H95" s="983" t="s">
        <v>397</v>
      </c>
      <c r="I95" s="983" t="s">
        <v>398</v>
      </c>
      <c r="J95" s="983" t="s">
        <v>399</v>
      </c>
      <c r="K95" s="983" t="s">
        <v>400</v>
      </c>
      <c r="L95" s="983" t="s">
        <v>401</v>
      </c>
      <c r="M95" s="983" t="s">
        <v>402</v>
      </c>
      <c r="N95" s="983" t="s">
        <v>403</v>
      </c>
      <c r="O95" s="983" t="s">
        <v>404</v>
      </c>
      <c r="P95" s="983" t="s">
        <v>405</v>
      </c>
      <c r="Q95" s="983" t="s">
        <v>406</v>
      </c>
      <c r="R95" s="983" t="s">
        <v>407</v>
      </c>
      <c r="S95" s="983" t="s">
        <v>408</v>
      </c>
      <c r="T95" s="983" t="s">
        <v>409</v>
      </c>
      <c r="U95" s="983" t="s">
        <v>410</v>
      </c>
      <c r="V95" s="983" t="s">
        <v>411</v>
      </c>
      <c r="W95" s="983" t="s">
        <v>412</v>
      </c>
      <c r="X95" s="983" t="s">
        <v>413</v>
      </c>
      <c r="Y95" s="983" t="s">
        <v>414</v>
      </c>
      <c r="Z95" s="983" t="s">
        <v>415</v>
      </c>
      <c r="AA95" s="983" t="s">
        <v>416</v>
      </c>
      <c r="AB95" s="983" t="s">
        <v>417</v>
      </c>
      <c r="AC95" s="983" t="s">
        <v>418</v>
      </c>
      <c r="AD95" s="983" t="s">
        <v>419</v>
      </c>
      <c r="AE95" s="983" t="s">
        <v>420</v>
      </c>
      <c r="AF95" s="983" t="s">
        <v>421</v>
      </c>
      <c r="AG95" s="983" t="s">
        <v>422</v>
      </c>
      <c r="AH95" s="983" t="s">
        <v>423</v>
      </c>
      <c r="AI95" s="983" t="s">
        <v>424</v>
      </c>
      <c r="AJ95" s="108"/>
    </row>
    <row r="96" spans="1:36" ht="17" x14ac:dyDescent="0.45">
      <c r="A96" s="1311" t="s">
        <v>1046</v>
      </c>
      <c r="B96" s="136">
        <f>B97+B98</f>
        <v>6.4679029999999997E-5</v>
      </c>
      <c r="C96" s="136">
        <f t="shared" ref="C96:AB96" si="79">C97+C98</f>
        <v>7.9445470000000002E-5</v>
      </c>
      <c r="D96" s="136">
        <f t="shared" si="79"/>
        <v>9.2644239999999992E-5</v>
      </c>
      <c r="E96" s="136">
        <f t="shared" si="79"/>
        <v>1.1757524999999999E-4</v>
      </c>
      <c r="F96" s="136">
        <f t="shared" si="79"/>
        <v>9.4110769999999991E-5</v>
      </c>
      <c r="G96" s="136">
        <f t="shared" si="79"/>
        <v>9.709439999999999E-5</v>
      </c>
      <c r="H96" s="136">
        <f t="shared" si="79"/>
        <v>1.1054602E-4</v>
      </c>
      <c r="I96" s="136">
        <f t="shared" si="79"/>
        <v>1.2352698025641998E-4</v>
      </c>
      <c r="J96" s="136">
        <f t="shared" si="79"/>
        <v>9.9817471968889979E-5</v>
      </c>
      <c r="K96" s="136">
        <f t="shared" si="79"/>
        <v>1.3921163830560995E-4</v>
      </c>
      <c r="L96" s="136">
        <f t="shared" si="79"/>
        <v>1.2539425014804998E-4</v>
      </c>
      <c r="M96" s="136">
        <f t="shared" si="79"/>
        <v>1.6711611914659998E-4</v>
      </c>
      <c r="N96" s="136">
        <f t="shared" si="79"/>
        <v>2.2213589486516996E-4</v>
      </c>
      <c r="O96" s="136">
        <f t="shared" si="79"/>
        <v>1.9694980280650996E-4</v>
      </c>
      <c r="P96" s="136">
        <f t="shared" si="79"/>
        <v>2.1486504261884997E-4</v>
      </c>
      <c r="Q96" s="136">
        <f t="shared" si="79"/>
        <v>2.1639196983637998E-4</v>
      </c>
      <c r="R96" s="136">
        <f t="shared" si="79"/>
        <v>2.5149729406853997E-4</v>
      </c>
      <c r="S96" s="136">
        <f t="shared" si="79"/>
        <v>2.6238820719864996E-4</v>
      </c>
      <c r="T96" s="136">
        <f t="shared" si="79"/>
        <v>2.1846664423895993E-4</v>
      </c>
      <c r="U96" s="136">
        <f t="shared" si="79"/>
        <v>2.2431476971357994E-4</v>
      </c>
      <c r="V96" s="136">
        <f t="shared" si="79"/>
        <v>2.0476420695067997E-4</v>
      </c>
      <c r="W96" s="136">
        <f t="shared" si="79"/>
        <v>1.6717569222483996E-4</v>
      </c>
      <c r="X96" s="136">
        <f t="shared" si="79"/>
        <v>1.0823526329459997E-4</v>
      </c>
      <c r="Y96" s="136">
        <f t="shared" si="79"/>
        <v>1.2233667239559996E-4</v>
      </c>
      <c r="Z96" s="136">
        <f t="shared" si="79"/>
        <v>1.4733177400447998E-4</v>
      </c>
      <c r="AA96" s="136">
        <f t="shared" si="79"/>
        <v>1.5199263320149999E-4</v>
      </c>
      <c r="AB96" s="136">
        <f t="shared" si="79"/>
        <v>5.6929522893099984E-5</v>
      </c>
      <c r="AC96" s="136">
        <f t="shared" ref="AC96:AH96" si="80">AC97+AC98</f>
        <v>3.4539956840869994E-5</v>
      </c>
      <c r="AD96" s="136">
        <f t="shared" si="80"/>
        <v>7.8504678817629974E-5</v>
      </c>
      <c r="AE96" s="136">
        <f t="shared" si="80"/>
        <v>1.3505458066021995E-4</v>
      </c>
      <c r="AF96" s="136">
        <f t="shared" si="80"/>
        <v>9.3870862127249982E-5</v>
      </c>
      <c r="AG96" s="136">
        <f t="shared" si="80"/>
        <v>6.6666260073399992E-5</v>
      </c>
      <c r="AH96" s="136">
        <f t="shared" si="80"/>
        <v>7.5257474083739972E-5</v>
      </c>
      <c r="AI96" s="136">
        <f>AI97+AI98</f>
        <v>5.820976722326998E-5</v>
      </c>
      <c r="AJ96" s="108"/>
    </row>
    <row r="97" spans="1:36" ht="17" x14ac:dyDescent="0.45">
      <c r="A97" s="1311" t="s">
        <v>1047</v>
      </c>
      <c r="B97" s="136">
        <f t="shared" ref="B97:AI97" si="81">B99*$B$104</f>
        <v>3.4302779999999998E-5</v>
      </c>
      <c r="C97" s="136">
        <f t="shared" si="81"/>
        <v>4.2134219999999995E-5</v>
      </c>
      <c r="D97" s="136">
        <f t="shared" si="81"/>
        <v>4.9134239999999997E-5</v>
      </c>
      <c r="E97" s="136">
        <f t="shared" si="81"/>
        <v>6.2356499999999992E-5</v>
      </c>
      <c r="F97" s="136">
        <f t="shared" si="81"/>
        <v>4.9912019999999994E-5</v>
      </c>
      <c r="G97" s="136">
        <f t="shared" si="81"/>
        <v>5.1494399999999993E-5</v>
      </c>
      <c r="H97" s="136">
        <f t="shared" si="81"/>
        <v>5.8628519999999998E-5</v>
      </c>
      <c r="I97" s="136">
        <f t="shared" si="81"/>
        <v>6.551302373891999E-5</v>
      </c>
      <c r="J97" s="136">
        <f t="shared" si="81"/>
        <v>5.2938592015139989E-5</v>
      </c>
      <c r="K97" s="136">
        <f t="shared" si="81"/>
        <v>7.3831444321859977E-5</v>
      </c>
      <c r="L97" s="136">
        <f t="shared" si="81"/>
        <v>6.6503337729299981E-5</v>
      </c>
      <c r="M97" s="136">
        <f t="shared" si="81"/>
        <v>8.8630696371599989E-5</v>
      </c>
      <c r="N97" s="136">
        <f t="shared" si="81"/>
        <v>1.1781065256641998E-4</v>
      </c>
      <c r="O97" s="136">
        <f t="shared" si="81"/>
        <v>1.0445310878525999E-4</v>
      </c>
      <c r="P97" s="136">
        <f t="shared" si="81"/>
        <v>1.1395452725009998E-4</v>
      </c>
      <c r="Q97" s="136">
        <f t="shared" si="81"/>
        <v>1.1476433915387999E-4</v>
      </c>
      <c r="R97" s="136">
        <f t="shared" si="81"/>
        <v>1.3338258704603998E-4</v>
      </c>
      <c r="S97" s="136">
        <f t="shared" si="81"/>
        <v>1.3915862600489997E-4</v>
      </c>
      <c r="T97" s="136">
        <f t="shared" si="81"/>
        <v>1.1586465094895996E-4</v>
      </c>
      <c r="U97" s="136">
        <f t="shared" si="81"/>
        <v>1.1896622748107997E-4</v>
      </c>
      <c r="V97" s="136">
        <f t="shared" si="81"/>
        <v>1.0859750900567999E-4</v>
      </c>
      <c r="W97" s="136">
        <f t="shared" si="81"/>
        <v>8.866229118983998E-5</v>
      </c>
      <c r="X97" s="136">
        <f t="shared" si="81"/>
        <v>5.7403001019599985E-5</v>
      </c>
      <c r="Y97" s="136">
        <f t="shared" si="81"/>
        <v>6.4881739245599987E-5</v>
      </c>
      <c r="Z97" s="136">
        <f t="shared" si="81"/>
        <v>7.8137990484479985E-5</v>
      </c>
      <c r="AA97" s="136">
        <f t="shared" si="81"/>
        <v>8.060989563899999E-5</v>
      </c>
      <c r="AB97" s="136">
        <f t="shared" si="81"/>
        <v>3.0192798180599992E-5</v>
      </c>
      <c r="AC97" s="136">
        <f t="shared" si="81"/>
        <v>1.8318403054619997E-5</v>
      </c>
      <c r="AD97" s="136">
        <f t="shared" si="81"/>
        <v>4.163526766637999E-5</v>
      </c>
      <c r="AE97" s="136">
        <f t="shared" si="81"/>
        <v>7.1626732317719982E-5</v>
      </c>
      <c r="AF97" s="136">
        <f t="shared" si="81"/>
        <v>4.9784783908499985E-5</v>
      </c>
      <c r="AG97" s="136">
        <f t="shared" si="81"/>
        <v>3.5356715348399994E-5</v>
      </c>
      <c r="AH97" s="136">
        <f t="shared" si="81"/>
        <v>3.9913099761239988E-5</v>
      </c>
      <c r="AI97" s="136">
        <f t="shared" si="81"/>
        <v>3.0871780837019991E-5</v>
      </c>
      <c r="AJ97" s="108"/>
    </row>
    <row r="98" spans="1:36" ht="17" x14ac:dyDescent="0.45">
      <c r="A98" s="1311" t="s">
        <v>1048</v>
      </c>
      <c r="B98" s="136">
        <f t="shared" ref="B98:AI98" si="82">B99*$B$105</f>
        <v>3.0376249999999996E-5</v>
      </c>
      <c r="C98" s="136">
        <f t="shared" si="82"/>
        <v>3.731125E-5</v>
      </c>
      <c r="D98" s="136">
        <f t="shared" si="82"/>
        <v>4.3509999999999995E-5</v>
      </c>
      <c r="E98" s="136">
        <f t="shared" si="82"/>
        <v>5.5218749999999997E-5</v>
      </c>
      <c r="F98" s="136">
        <f t="shared" si="82"/>
        <v>4.4198749999999998E-5</v>
      </c>
      <c r="G98" s="136">
        <f t="shared" si="82"/>
        <v>4.5599999999999997E-5</v>
      </c>
      <c r="H98" s="136">
        <f t="shared" si="82"/>
        <v>5.1917499999999992E-5</v>
      </c>
      <c r="I98" s="136">
        <f t="shared" si="82"/>
        <v>5.8013956517499987E-5</v>
      </c>
      <c r="J98" s="136">
        <f t="shared" si="82"/>
        <v>4.687887995374999E-5</v>
      </c>
      <c r="K98" s="136">
        <f t="shared" si="82"/>
        <v>6.538019398374999E-5</v>
      </c>
      <c r="L98" s="136">
        <f t="shared" si="82"/>
        <v>5.8890912418749984E-5</v>
      </c>
      <c r="M98" s="136">
        <f t="shared" si="82"/>
        <v>7.8485422774999991E-5</v>
      </c>
      <c r="N98" s="136">
        <f t="shared" si="82"/>
        <v>1.0432524229874998E-4</v>
      </c>
      <c r="O98" s="136">
        <f t="shared" si="82"/>
        <v>9.2496694021249978E-5</v>
      </c>
      <c r="P98" s="136">
        <f t="shared" si="82"/>
        <v>1.0091051536874999E-4</v>
      </c>
      <c r="Q98" s="136">
        <f t="shared" si="82"/>
        <v>1.0162763068249999E-4</v>
      </c>
      <c r="R98" s="136">
        <f t="shared" si="82"/>
        <v>1.1811470702249998E-4</v>
      </c>
      <c r="S98" s="136">
        <f t="shared" si="82"/>
        <v>1.2322958119374996E-4</v>
      </c>
      <c r="T98" s="136">
        <f t="shared" si="82"/>
        <v>1.0260199328999996E-4</v>
      </c>
      <c r="U98" s="136">
        <f t="shared" si="82"/>
        <v>1.0534854223249997E-4</v>
      </c>
      <c r="V98" s="136">
        <f t="shared" si="82"/>
        <v>9.6166697944999986E-5</v>
      </c>
      <c r="W98" s="136">
        <f t="shared" si="82"/>
        <v>7.851340103499998E-5</v>
      </c>
      <c r="X98" s="136">
        <f t="shared" si="82"/>
        <v>5.0832262274999987E-5</v>
      </c>
      <c r="Y98" s="136">
        <f t="shared" si="82"/>
        <v>5.7454933149999982E-5</v>
      </c>
      <c r="Z98" s="136">
        <f t="shared" si="82"/>
        <v>6.9193783519999993E-5</v>
      </c>
      <c r="AA98" s="136">
        <f t="shared" si="82"/>
        <v>7.1382737562499996E-5</v>
      </c>
      <c r="AB98" s="136">
        <f t="shared" si="82"/>
        <v>2.6736724712499992E-5</v>
      </c>
      <c r="AC98" s="136">
        <f t="shared" si="82"/>
        <v>1.6221553786249997E-5</v>
      </c>
      <c r="AD98" s="136">
        <f t="shared" si="82"/>
        <v>3.6869411151249991E-5</v>
      </c>
      <c r="AE98" s="136">
        <f t="shared" si="82"/>
        <v>6.3427848342499982E-5</v>
      </c>
      <c r="AF98" s="136">
        <f t="shared" si="82"/>
        <v>4.408607821874999E-5</v>
      </c>
      <c r="AG98" s="136">
        <f t="shared" si="82"/>
        <v>3.1309544724999992E-5</v>
      </c>
      <c r="AH98" s="136">
        <f t="shared" si="82"/>
        <v>3.5344374322499991E-5</v>
      </c>
      <c r="AI98" s="136">
        <f t="shared" si="82"/>
        <v>2.7337986386249988E-5</v>
      </c>
      <c r="AJ98" s="108"/>
    </row>
    <row r="99" spans="1:36" ht="17" x14ac:dyDescent="0.45">
      <c r="A99" s="1311" t="s">
        <v>1049</v>
      </c>
      <c r="B99" s="137">
        <f>'Combustion CO2'!B171</f>
        <v>1279</v>
      </c>
      <c r="C99" s="137">
        <f>'Combustion CO2'!C171</f>
        <v>1571</v>
      </c>
      <c r="D99" s="137">
        <f>'Combustion CO2'!D171</f>
        <v>1832</v>
      </c>
      <c r="E99" s="137">
        <f>'Combustion CO2'!E171</f>
        <v>2325</v>
      </c>
      <c r="F99" s="137">
        <f>'Combustion CO2'!F171</f>
        <v>1861</v>
      </c>
      <c r="G99" s="137">
        <f>'Combustion CO2'!G171</f>
        <v>1920</v>
      </c>
      <c r="H99" s="137">
        <f>'Combustion CO2'!H171</f>
        <v>2186</v>
      </c>
      <c r="I99" s="137">
        <f>'Combustion CO2'!I171</f>
        <v>2442.6929059999998</v>
      </c>
      <c r="J99" s="137">
        <f>'Combustion CO2'!J171</f>
        <v>1973.8475769999998</v>
      </c>
      <c r="K99" s="137">
        <f>'Combustion CO2'!K171</f>
        <v>2752.8502729999996</v>
      </c>
      <c r="L99" s="137">
        <f>'Combustion CO2'!L171</f>
        <v>2479.6173649999996</v>
      </c>
      <c r="M99" s="137">
        <f>'Combustion CO2'!M171</f>
        <v>3304.6493799999998</v>
      </c>
      <c r="N99" s="137">
        <f>'Combustion CO2'!N171</f>
        <v>4392.6417809999994</v>
      </c>
      <c r="O99" s="137">
        <f>'Combustion CO2'!O171</f>
        <v>3894.5976429999996</v>
      </c>
      <c r="P99" s="137">
        <f>'Combustion CO2'!P171</f>
        <v>4248.863805</v>
      </c>
      <c r="Q99" s="137">
        <f>'Combustion CO2'!Q171</f>
        <v>4279.0581339999999</v>
      </c>
      <c r="R99" s="137">
        <f>'Combustion CO2'!R171</f>
        <v>4973.250822</v>
      </c>
      <c r="S99" s="137">
        <f>'Combustion CO2'!S171</f>
        <v>5188.6139449999991</v>
      </c>
      <c r="T99" s="137">
        <f>'Combustion CO2'!T171</f>
        <v>4320.0839279999991</v>
      </c>
      <c r="U99" s="137">
        <f>'Combustion CO2'!U171</f>
        <v>4435.7280939999991</v>
      </c>
      <c r="V99" s="137">
        <f>'Combustion CO2'!V171</f>
        <v>4049.1241239999999</v>
      </c>
      <c r="W99" s="137">
        <f>'Combustion CO2'!W171</f>
        <v>3305.8274119999996</v>
      </c>
      <c r="X99" s="137">
        <f>'Combustion CO2'!X171</f>
        <v>2140.3057799999997</v>
      </c>
      <c r="Y99" s="137">
        <f>'Combustion CO2'!Y171</f>
        <v>2419.1550799999995</v>
      </c>
      <c r="Z99" s="137">
        <f>'Combustion CO2'!Z171</f>
        <v>2913.4224639999998</v>
      </c>
      <c r="AA99" s="137">
        <f>'Combustion CO2'!AA171</f>
        <v>3005.5889499999998</v>
      </c>
      <c r="AB99" s="137">
        <f>'Combustion CO2'!AB171</f>
        <v>1125.7568299999998</v>
      </c>
      <c r="AC99" s="137">
        <f>'Combustion CO2'!AC171</f>
        <v>683.01279099999999</v>
      </c>
      <c r="AD99" s="137">
        <f>'Combustion CO2'!AD171</f>
        <v>1552.3962589999999</v>
      </c>
      <c r="AE99" s="137">
        <f>'Combustion CO2'!AE171</f>
        <v>2670.6462459999998</v>
      </c>
      <c r="AF99" s="137">
        <f>'Combustion CO2'!AF171</f>
        <v>1856.2559249999997</v>
      </c>
      <c r="AG99" s="137">
        <f>'Combustion CO2'!AG171</f>
        <v>1318.2966199999998</v>
      </c>
      <c r="AH99" s="137">
        <f>'Combustion CO2'!AH171</f>
        <v>1488.1841819999997</v>
      </c>
      <c r="AI99" s="137">
        <f>'Combustion CO2'!AI171</f>
        <v>1151.0731109999997</v>
      </c>
      <c r="AJ99" s="108"/>
    </row>
    <row r="100" spans="1:36" x14ac:dyDescent="0.4">
      <c r="A100" s="196" t="s">
        <v>1063</v>
      </c>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c r="X100" s="136"/>
      <c r="Y100" s="136"/>
      <c r="Z100" s="136"/>
      <c r="AA100" s="136"/>
      <c r="AB100" s="136"/>
      <c r="AC100" s="136"/>
      <c r="AD100" s="136"/>
      <c r="AE100" s="136"/>
      <c r="AF100" s="136"/>
      <c r="AG100" s="136"/>
      <c r="AH100" s="136"/>
      <c r="AI100" s="136"/>
      <c r="AJ100" s="108"/>
    </row>
    <row r="101" spans="1:36" x14ac:dyDescent="0.4">
      <c r="A101" s="19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c r="X101" s="136"/>
      <c r="Y101" s="136"/>
      <c r="Z101" s="136"/>
      <c r="AA101" s="136"/>
      <c r="AB101" s="136"/>
      <c r="AC101" s="136"/>
      <c r="AD101" s="136"/>
      <c r="AE101" s="136"/>
      <c r="AF101" s="136"/>
      <c r="AG101" s="136"/>
      <c r="AH101" s="136"/>
      <c r="AI101" s="136"/>
      <c r="AJ101" s="108"/>
    </row>
    <row r="102" spans="1:36" x14ac:dyDescent="0.4">
      <c r="A102" s="1354" t="s">
        <v>1177</v>
      </c>
      <c r="B102" s="33"/>
      <c r="C102" s="136"/>
      <c r="D102" s="136"/>
      <c r="E102" s="136"/>
      <c r="F102" s="136"/>
      <c r="G102" s="136"/>
      <c r="H102" s="136"/>
      <c r="I102" s="136"/>
      <c r="J102" s="136"/>
      <c r="K102" s="136"/>
      <c r="L102" s="136"/>
      <c r="M102" s="136"/>
      <c r="N102" s="136"/>
      <c r="O102" s="136"/>
      <c r="P102" s="136"/>
      <c r="Q102" s="136"/>
      <c r="R102" s="136"/>
      <c r="S102" s="136"/>
      <c r="T102" s="136"/>
      <c r="U102" s="136"/>
      <c r="V102" s="136"/>
      <c r="W102" s="136"/>
      <c r="X102" s="136"/>
      <c r="Y102" s="136"/>
      <c r="Z102" s="136"/>
      <c r="AA102" s="136"/>
      <c r="AB102" s="136"/>
      <c r="AC102" s="136"/>
      <c r="AD102" s="136"/>
      <c r="AE102" s="136"/>
      <c r="AF102" s="136"/>
      <c r="AG102" s="136"/>
      <c r="AH102" s="136"/>
      <c r="AI102" s="136"/>
      <c r="AJ102" s="108"/>
    </row>
    <row r="103" spans="1:36" x14ac:dyDescent="0.4">
      <c r="A103" s="1354" t="s">
        <v>942</v>
      </c>
      <c r="B103" s="1357" t="s">
        <v>573</v>
      </c>
      <c r="C103" s="136"/>
      <c r="D103" s="136"/>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6"/>
      <c r="AH103" s="136"/>
      <c r="AI103" s="136"/>
      <c r="AJ103" s="108"/>
    </row>
    <row r="104" spans="1:36" ht="17" x14ac:dyDescent="0.45">
      <c r="A104" s="1365" t="s">
        <v>1185</v>
      </c>
      <c r="B104" s="28">
        <f>(0.00009)*298*(12/44)/1000000/(12/44)</f>
        <v>2.6819999999999998E-8</v>
      </c>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6"/>
      <c r="AH104" s="136"/>
      <c r="AI104" s="136"/>
      <c r="AJ104" s="108"/>
    </row>
    <row r="105" spans="1:36" ht="17" x14ac:dyDescent="0.45">
      <c r="A105" s="1365" t="s">
        <v>1186</v>
      </c>
      <c r="B105" s="28">
        <f>(0.00095)*25*(12/44)/1000000/(12/44)</f>
        <v>2.3749999999999998E-8</v>
      </c>
      <c r="C105" s="136"/>
      <c r="D105" s="136"/>
      <c r="E105" s="136"/>
      <c r="F105" s="136"/>
      <c r="G105" s="136"/>
      <c r="H105" s="136"/>
      <c r="I105" s="136"/>
      <c r="J105" s="136"/>
      <c r="K105" s="136"/>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6"/>
      <c r="AH105" s="136"/>
      <c r="AI105" s="136"/>
      <c r="AJ105" s="136"/>
    </row>
    <row r="106" spans="1:36" x14ac:dyDescent="0.4">
      <c r="A106" s="1326" t="s">
        <v>1063</v>
      </c>
      <c r="B106" s="28"/>
      <c r="C106" s="136"/>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row>
    <row r="107" spans="1:36" x14ac:dyDescent="0.4">
      <c r="A107" s="488"/>
      <c r="C107" s="1297"/>
    </row>
    <row r="108" spans="1:36" ht="17" x14ac:dyDescent="0.45">
      <c r="A108" s="108" t="s">
        <v>1050</v>
      </c>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12"/>
    </row>
    <row r="109" spans="1:36" s="86" customFormat="1" ht="16.5" thickBot="1" x14ac:dyDescent="0.45">
      <c r="A109" s="976" t="s">
        <v>668</v>
      </c>
      <c r="B109" s="975" t="s">
        <v>698</v>
      </c>
      <c r="C109" s="975" t="s">
        <v>392</v>
      </c>
      <c r="D109" s="975" t="s">
        <v>393</v>
      </c>
      <c r="E109" s="975" t="s">
        <v>394</v>
      </c>
      <c r="F109" s="975" t="s">
        <v>395</v>
      </c>
      <c r="G109" s="975" t="s">
        <v>396</v>
      </c>
      <c r="H109" s="975" t="s">
        <v>397</v>
      </c>
      <c r="I109" s="975" t="s">
        <v>398</v>
      </c>
      <c r="J109" s="975" t="s">
        <v>399</v>
      </c>
      <c r="K109" s="975" t="s">
        <v>400</v>
      </c>
      <c r="L109" s="975" t="s">
        <v>401</v>
      </c>
      <c r="M109" s="975" t="s">
        <v>402</v>
      </c>
      <c r="N109" s="975" t="s">
        <v>403</v>
      </c>
      <c r="O109" s="975" t="s">
        <v>404</v>
      </c>
      <c r="P109" s="975" t="s">
        <v>405</v>
      </c>
      <c r="Q109" s="975" t="s">
        <v>406</v>
      </c>
      <c r="R109" s="975" t="s">
        <v>407</v>
      </c>
      <c r="S109" s="975" t="s">
        <v>408</v>
      </c>
      <c r="T109" s="975" t="s">
        <v>409</v>
      </c>
      <c r="U109" s="975" t="s">
        <v>410</v>
      </c>
      <c r="V109" s="975" t="s">
        <v>411</v>
      </c>
      <c r="W109" s="975" t="s">
        <v>412</v>
      </c>
      <c r="X109" s="975" t="s">
        <v>413</v>
      </c>
      <c r="Y109" s="975" t="s">
        <v>414</v>
      </c>
      <c r="Z109" s="975" t="s">
        <v>415</v>
      </c>
      <c r="AA109" s="975" t="s">
        <v>416</v>
      </c>
      <c r="AB109" s="975" t="s">
        <v>417</v>
      </c>
      <c r="AC109" s="975" t="s">
        <v>418</v>
      </c>
      <c r="AD109" s="975" t="s">
        <v>419</v>
      </c>
      <c r="AE109" s="975" t="s">
        <v>420</v>
      </c>
      <c r="AF109" s="975" t="s">
        <v>421</v>
      </c>
      <c r="AG109" s="975" t="s">
        <v>422</v>
      </c>
      <c r="AH109" s="975" t="s">
        <v>423</v>
      </c>
      <c r="AI109" s="975" t="s">
        <v>424</v>
      </c>
      <c r="AJ109" s="3"/>
    </row>
    <row r="110" spans="1:36" x14ac:dyDescent="0.4">
      <c r="A110" s="245" t="s">
        <v>59</v>
      </c>
      <c r="B110" s="1326" t="s">
        <v>458</v>
      </c>
      <c r="C110" s="28">
        <v>0.22319701900000005</v>
      </c>
      <c r="D110" s="28">
        <v>0.24130316051999995</v>
      </c>
      <c r="E110" s="28">
        <v>0.24692919239</v>
      </c>
      <c r="F110" s="28">
        <v>0.23707447087999994</v>
      </c>
      <c r="G110" s="28">
        <v>0.23013408960999995</v>
      </c>
      <c r="H110" s="28">
        <v>0.23386723921000002</v>
      </c>
      <c r="I110" s="28">
        <v>0.18572004491999994</v>
      </c>
      <c r="J110" s="28">
        <v>0.16721576863999998</v>
      </c>
      <c r="K110" s="28">
        <v>0.17373373315999999</v>
      </c>
      <c r="L110" s="28">
        <v>0.18965812091999995</v>
      </c>
      <c r="M110" s="28">
        <v>0.17000827832999998</v>
      </c>
      <c r="N110" s="28">
        <v>0.17220449556999998</v>
      </c>
      <c r="O110" s="28">
        <v>0.17685470509999995</v>
      </c>
      <c r="P110" s="28">
        <v>0.17275927904999996</v>
      </c>
      <c r="Q110" s="28">
        <v>9.7259754669999976E-2</v>
      </c>
      <c r="R110" s="28">
        <v>8.4088409529999991E-2</v>
      </c>
      <c r="S110" s="28">
        <v>8.9126212139999994E-2</v>
      </c>
      <c r="T110" s="28">
        <v>9.4392754039999971E-2</v>
      </c>
      <c r="U110" s="28">
        <v>0.14267631338999998</v>
      </c>
      <c r="V110" s="28">
        <v>0.14835719639</v>
      </c>
      <c r="W110" s="28">
        <v>0.14534448443999998</v>
      </c>
      <c r="X110" s="28">
        <v>0.12247753234999999</v>
      </c>
      <c r="Y110" s="28">
        <v>0.14757754009999999</v>
      </c>
      <c r="Z110" s="28">
        <v>0.15498866813999998</v>
      </c>
      <c r="AA110" s="28">
        <v>0.14464620175999998</v>
      </c>
      <c r="AB110" s="28">
        <v>0.11677646152999999</v>
      </c>
      <c r="AC110" s="28">
        <v>0.12038076349</v>
      </c>
      <c r="AD110" s="28">
        <v>0.12456735533999998</v>
      </c>
      <c r="AE110" s="28">
        <v>0.14122168139999999</v>
      </c>
      <c r="AF110" s="28">
        <v>0.12870063267999998</v>
      </c>
      <c r="AG110" s="28">
        <v>0.13306650541999998</v>
      </c>
      <c r="AH110" s="28">
        <v>0.15485862174999998</v>
      </c>
      <c r="AI110" s="28">
        <v>0.13646282426999995</v>
      </c>
    </row>
    <row r="111" spans="1:36" x14ac:dyDescent="0.4">
      <c r="A111" s="104" t="s">
        <v>60</v>
      </c>
      <c r="B111" s="1326" t="s">
        <v>458</v>
      </c>
      <c r="C111" s="121">
        <v>9.557099999999997E-4</v>
      </c>
      <c r="D111" s="121">
        <v>2.0627407499999996E-3</v>
      </c>
      <c r="E111" s="121">
        <v>1.5371002500000001E-3</v>
      </c>
      <c r="F111" s="121">
        <v>6.6103275000000002E-4</v>
      </c>
      <c r="G111" s="121">
        <v>6.9288974999999996E-4</v>
      </c>
      <c r="H111" s="121">
        <v>7.8049649999999983E-4</v>
      </c>
      <c r="I111" s="121">
        <v>6.2917574999999998E-4</v>
      </c>
      <c r="J111" s="121">
        <v>6.2121149999999994E-4</v>
      </c>
      <c r="K111" s="121">
        <v>9.7163849999999988E-4</v>
      </c>
      <c r="L111" s="121">
        <v>3.8228399999999999E-4</v>
      </c>
      <c r="M111" s="121">
        <v>3.5839124999999998E-4</v>
      </c>
      <c r="N111" s="121">
        <v>2.0707049999999999E-3</v>
      </c>
      <c r="O111" s="121">
        <v>1.3220655E-3</v>
      </c>
      <c r="P111" s="121">
        <v>6.849254999999997E-4</v>
      </c>
      <c r="Q111" s="121">
        <v>6.849254999999997E-4</v>
      </c>
      <c r="R111" s="121">
        <v>2.8671299999999996E-4</v>
      </c>
      <c r="S111" s="121">
        <v>4.6192649999999994E-4</v>
      </c>
      <c r="T111" s="121">
        <v>0</v>
      </c>
      <c r="U111" s="121">
        <v>0</v>
      </c>
      <c r="V111" s="121">
        <v>0</v>
      </c>
      <c r="W111" s="121">
        <v>0</v>
      </c>
      <c r="X111" s="121">
        <v>0</v>
      </c>
      <c r="Y111" s="121">
        <v>0</v>
      </c>
      <c r="Z111" s="121">
        <v>0</v>
      </c>
      <c r="AA111" s="121">
        <v>0</v>
      </c>
      <c r="AB111" s="121">
        <v>0</v>
      </c>
      <c r="AC111" s="121">
        <v>0</v>
      </c>
      <c r="AD111" s="121">
        <v>0</v>
      </c>
      <c r="AE111" s="121">
        <v>0</v>
      </c>
      <c r="AF111" s="121">
        <v>0</v>
      </c>
      <c r="AG111" s="121">
        <v>0</v>
      </c>
      <c r="AH111" s="121">
        <v>0</v>
      </c>
      <c r="AI111" s="121">
        <v>0</v>
      </c>
    </row>
    <row r="112" spans="1:36" x14ac:dyDescent="0.4">
      <c r="A112" s="104" t="s">
        <v>68</v>
      </c>
      <c r="B112" s="1326" t="s">
        <v>458</v>
      </c>
      <c r="C112" s="121">
        <v>4.8166601399999995E-2</v>
      </c>
      <c r="D112" s="121">
        <v>5.4699259499999993E-2</v>
      </c>
      <c r="E112" s="121">
        <v>5.4746911799999992E-2</v>
      </c>
      <c r="F112" s="121">
        <v>5.4932798699999993E-2</v>
      </c>
      <c r="G112" s="121">
        <v>5.0130219599999991E-2</v>
      </c>
      <c r="H112" s="121">
        <v>4.5877144499999994E-2</v>
      </c>
      <c r="I112" s="121">
        <v>4.5802875599999987E-2</v>
      </c>
      <c r="J112" s="121">
        <v>4.2415698599999996E-2</v>
      </c>
      <c r="K112" s="121">
        <v>4.4528713199999993E-2</v>
      </c>
      <c r="L112" s="121">
        <v>5.1072533099999998E-2</v>
      </c>
      <c r="M112" s="121">
        <v>5.5687078799999998E-2</v>
      </c>
      <c r="N112" s="121">
        <v>5.5118685599999995E-2</v>
      </c>
      <c r="O112" s="121">
        <v>5.1995528099999987E-2</v>
      </c>
      <c r="P112" s="121">
        <v>4.8288951899999988E-2</v>
      </c>
      <c r="Q112" s="121">
        <v>4.5993699449999995E-2</v>
      </c>
      <c r="R112" s="121">
        <v>3.8901019499999995E-2</v>
      </c>
      <c r="S112" s="121">
        <v>3.9334183199999991E-2</v>
      </c>
      <c r="T112" s="121">
        <v>3.9100000049999986E-2</v>
      </c>
      <c r="U112" s="121">
        <v>3.5314003349999998E-2</v>
      </c>
      <c r="V112" s="121">
        <v>3.6105203249999995E-2</v>
      </c>
      <c r="W112" s="121">
        <v>3.4945663949999997E-2</v>
      </c>
      <c r="X112" s="121">
        <v>2.9271176549999996E-2</v>
      </c>
      <c r="Y112" s="121">
        <v>3.13208694E-2</v>
      </c>
      <c r="Z112" s="121">
        <v>3.5766914849999998E-2</v>
      </c>
      <c r="AA112" s="121">
        <v>3.5454599099999991E-2</v>
      </c>
      <c r="AB112" s="121">
        <v>2.7239299649999993E-2</v>
      </c>
      <c r="AC112" s="121">
        <v>2.9924571149999996E-2</v>
      </c>
      <c r="AD112" s="121">
        <v>3.2549096699999995E-2</v>
      </c>
      <c r="AE112" s="121">
        <v>3.2231629349999992E-2</v>
      </c>
      <c r="AF112" s="121">
        <v>2.8866990599999996E-2</v>
      </c>
      <c r="AG112" s="121">
        <v>3.0478368149999997E-2</v>
      </c>
      <c r="AH112" s="121">
        <v>3.0090495599999996E-2</v>
      </c>
      <c r="AI112" s="121">
        <v>3.0241394549999991E-2</v>
      </c>
    </row>
    <row r="113" spans="1:35" x14ac:dyDescent="0.4">
      <c r="A113" s="104" t="s">
        <v>72</v>
      </c>
      <c r="B113" s="1326" t="s">
        <v>458</v>
      </c>
      <c r="C113" s="121">
        <v>3.6705149999999992E-4</v>
      </c>
      <c r="D113" s="121">
        <v>6.3150029999999989E-4</v>
      </c>
      <c r="E113" s="121">
        <v>6.0831809999999987E-4</v>
      </c>
      <c r="F113" s="121">
        <v>5.3147339999999989E-4</v>
      </c>
      <c r="G113" s="121">
        <v>3.1639409999999993E-4</v>
      </c>
      <c r="H113" s="121">
        <v>3.6061199999999996E-4</v>
      </c>
      <c r="I113" s="121">
        <v>4.614974999999999E-4</v>
      </c>
      <c r="J113" s="121">
        <v>4.7866949999999988E-4</v>
      </c>
      <c r="K113" s="121">
        <v>4.3488089999999994E-4</v>
      </c>
      <c r="L113" s="121">
        <v>4.6407329999999984E-4</v>
      </c>
      <c r="M113" s="121">
        <v>4.7909879999999991E-4</v>
      </c>
      <c r="N113" s="121">
        <v>3.0952529999999989E-4</v>
      </c>
      <c r="O113" s="121">
        <v>5.9329259999999981E-4</v>
      </c>
      <c r="P113" s="121">
        <v>6.8001119999999986E-4</v>
      </c>
      <c r="Q113" s="121">
        <v>7.2809279999999979E-4</v>
      </c>
      <c r="R113" s="121">
        <v>5.7955499999999994E-4</v>
      </c>
      <c r="S113" s="121">
        <v>3.9323879999999991E-4</v>
      </c>
      <c r="T113" s="121">
        <v>1.5283079999999996E-4</v>
      </c>
      <c r="U113" s="121">
        <v>2.4169589999999998E-4</v>
      </c>
      <c r="V113" s="121">
        <v>2.4427169999999997E-4</v>
      </c>
      <c r="W113" s="121">
        <v>1.4982569999999996E-4</v>
      </c>
      <c r="X113" s="121">
        <v>7.0834500000000001E-5</v>
      </c>
      <c r="Y113" s="121">
        <v>7.2980999999999984E-5</v>
      </c>
      <c r="Z113" s="121">
        <v>1.2750209999999999E-4</v>
      </c>
      <c r="AA113" s="121">
        <v>1.0775429999999999E-4</v>
      </c>
      <c r="AB113" s="121">
        <v>1.2707279999999997E-4</v>
      </c>
      <c r="AC113" s="121">
        <v>8.8435799999999991E-5</v>
      </c>
      <c r="AD113" s="121">
        <v>8.5859999999999994E-5</v>
      </c>
      <c r="AE113" s="121">
        <v>1.0346129999999997E-4</v>
      </c>
      <c r="AF113" s="121">
        <v>1.1891609999999998E-4</v>
      </c>
      <c r="AG113" s="121">
        <v>9.1440899999999987E-5</v>
      </c>
      <c r="AH113" s="121">
        <v>7.9849799999999975E-5</v>
      </c>
      <c r="AI113" s="121">
        <v>1.4682059999999997E-4</v>
      </c>
    </row>
    <row r="114" spans="1:35" x14ac:dyDescent="0.4">
      <c r="A114" s="104" t="s">
        <v>73</v>
      </c>
      <c r="B114" s="1326" t="s">
        <v>458</v>
      </c>
      <c r="C114" s="121">
        <v>1.7021744999999996E-3</v>
      </c>
      <c r="D114" s="121">
        <v>1.6884369000000001E-3</v>
      </c>
      <c r="E114" s="121">
        <v>1.8610154999999995E-3</v>
      </c>
      <c r="F114" s="121">
        <v>1.9241226000000001E-3</v>
      </c>
      <c r="G114" s="121">
        <v>2.0091240000000002E-3</v>
      </c>
      <c r="H114" s="121">
        <v>2.3821856999999996E-3</v>
      </c>
      <c r="I114" s="121">
        <v>2.2362236999999997E-3</v>
      </c>
      <c r="J114" s="121">
        <v>2.0473316999999997E-3</v>
      </c>
      <c r="K114" s="121">
        <v>2.1082922999999996E-3</v>
      </c>
      <c r="L114" s="121">
        <v>2.6084267999999995E-3</v>
      </c>
      <c r="M114" s="121">
        <v>2.3667308999999995E-3</v>
      </c>
      <c r="N114" s="121">
        <v>1.9155365999999996E-3</v>
      </c>
      <c r="O114" s="121">
        <v>2.7101708999999995E-3</v>
      </c>
      <c r="P114" s="121">
        <v>2.2941791999999996E-3</v>
      </c>
      <c r="Q114" s="121">
        <v>2.7994652999999998E-3</v>
      </c>
      <c r="R114" s="121">
        <v>2.8612844999999997E-3</v>
      </c>
      <c r="S114" s="121">
        <v>2.9583062999999996E-3</v>
      </c>
      <c r="T114" s="121">
        <v>3.1660874999999995E-3</v>
      </c>
      <c r="U114" s="121">
        <v>2.9591648999999997E-3</v>
      </c>
      <c r="V114" s="121">
        <v>2.7775709999999995E-3</v>
      </c>
      <c r="W114" s="121">
        <v>3.2802812999999991E-3</v>
      </c>
      <c r="X114" s="121">
        <v>2.5663553999999995E-3</v>
      </c>
      <c r="Y114" s="121">
        <v>3.0737879999999996E-3</v>
      </c>
      <c r="Z114" s="121">
        <v>3.4902089999999993E-3</v>
      </c>
      <c r="AA114" s="121">
        <v>3.2635386000000001E-3</v>
      </c>
      <c r="AB114" s="121">
        <v>3.2416442999999989E-3</v>
      </c>
      <c r="AC114" s="121">
        <v>3.4927847999999999E-3</v>
      </c>
      <c r="AD114" s="121">
        <v>3.7104398999999997E-3</v>
      </c>
      <c r="AE114" s="121">
        <v>4.442825699999999E-3</v>
      </c>
      <c r="AF114" s="121">
        <v>3.7078640999999996E-3</v>
      </c>
      <c r="AG114" s="121">
        <v>3.4704611999999994E-3</v>
      </c>
      <c r="AH114" s="121">
        <v>3.4052075999999988E-3</v>
      </c>
      <c r="AI114" s="121">
        <v>3.2742710999999992E-3</v>
      </c>
    </row>
    <row r="115" spans="1:35" x14ac:dyDescent="0.4">
      <c r="A115" s="104" t="s">
        <v>62</v>
      </c>
      <c r="B115" s="1326" t="s">
        <v>458</v>
      </c>
      <c r="C115" s="121">
        <v>1.5581084949999999E-2</v>
      </c>
      <c r="D115" s="121">
        <v>1.8103958619999992E-2</v>
      </c>
      <c r="E115" s="121">
        <v>1.836321879E-2</v>
      </c>
      <c r="F115" s="121">
        <v>1.7838002229999997E-2</v>
      </c>
      <c r="G115" s="121">
        <v>1.579842096E-2</v>
      </c>
      <c r="H115" s="121">
        <v>1.7080892659999999E-2</v>
      </c>
      <c r="I115" s="121">
        <v>1.666572702E-2</v>
      </c>
      <c r="J115" s="121">
        <v>1.5083526689999998E-2</v>
      </c>
      <c r="K115" s="121">
        <v>1.6314466610000002E-2</v>
      </c>
      <c r="L115" s="121">
        <v>1.7344083219999997E-2</v>
      </c>
      <c r="M115" s="121">
        <v>1.6227270179999996E-2</v>
      </c>
      <c r="N115" s="121">
        <v>1.6464112569999998E-2</v>
      </c>
      <c r="O115" s="121">
        <v>1.8839669399999995E-2</v>
      </c>
      <c r="P115" s="121">
        <v>1.6883208599999998E-2</v>
      </c>
      <c r="Q115" s="121">
        <v>1.7520222920000002E-2</v>
      </c>
      <c r="R115" s="121">
        <v>1.5269419579999997E-2</v>
      </c>
      <c r="S115" s="121">
        <v>1.7031253289999999E-2</v>
      </c>
      <c r="T115" s="121">
        <v>1.9584551089999992E-2</v>
      </c>
      <c r="U115" s="121">
        <v>1.9936102640000002E-2</v>
      </c>
      <c r="V115" s="121">
        <v>1.8896732839999996E-2</v>
      </c>
      <c r="W115" s="121">
        <v>1.9350911239999997E-2</v>
      </c>
      <c r="X115" s="121">
        <v>1.7354855399999997E-2</v>
      </c>
      <c r="Y115" s="121">
        <v>1.7568115449999998E-2</v>
      </c>
      <c r="Z115" s="121">
        <v>1.8914929089999998E-2</v>
      </c>
      <c r="AA115" s="121">
        <v>1.8978397609999999E-2</v>
      </c>
      <c r="AB115" s="121">
        <v>1.6808822329999997E-2</v>
      </c>
      <c r="AC115" s="121">
        <v>1.8167427139999998E-2</v>
      </c>
      <c r="AD115" s="121">
        <v>1.9547430739999996E-2</v>
      </c>
      <c r="AE115" s="121">
        <v>2.028445165E-2</v>
      </c>
      <c r="AF115" s="121">
        <v>1.8038160979999999E-2</v>
      </c>
      <c r="AG115" s="121">
        <v>1.8416206269999999E-2</v>
      </c>
      <c r="AH115" s="121">
        <v>1.9724007149999997E-2</v>
      </c>
      <c r="AI115" s="121">
        <v>1.6461929019999998E-2</v>
      </c>
    </row>
    <row r="116" spans="1:35" x14ac:dyDescent="0.4">
      <c r="A116" s="104" t="s">
        <v>94</v>
      </c>
      <c r="B116" s="1326" t="s">
        <v>458</v>
      </c>
      <c r="C116" s="121">
        <v>0.15642439665000005</v>
      </c>
      <c r="D116" s="121">
        <v>0.16411726444999997</v>
      </c>
      <c r="E116" s="121">
        <v>0.16981262794999999</v>
      </c>
      <c r="F116" s="121">
        <v>0.16118704119999996</v>
      </c>
      <c r="G116" s="121">
        <v>0.16118704119999996</v>
      </c>
      <c r="H116" s="121">
        <v>0.16738590785000002</v>
      </c>
      <c r="I116" s="121">
        <v>0.11992454534999997</v>
      </c>
      <c r="J116" s="121">
        <v>0.10656933064999999</v>
      </c>
      <c r="K116" s="121">
        <v>0.10937574165</v>
      </c>
      <c r="L116" s="121">
        <v>0.11778672049999997</v>
      </c>
      <c r="M116" s="121">
        <v>9.4889708399999995E-2</v>
      </c>
      <c r="N116" s="121">
        <v>9.632593049999999E-2</v>
      </c>
      <c r="O116" s="121">
        <v>0.10139397859999999</v>
      </c>
      <c r="P116" s="121">
        <v>0.10392800264999999</v>
      </c>
      <c r="Q116" s="121">
        <v>2.9533348699999996E-2</v>
      </c>
      <c r="R116" s="121">
        <v>2.6190417949999999E-2</v>
      </c>
      <c r="S116" s="121">
        <v>2.8947304049999997E-2</v>
      </c>
      <c r="T116" s="121">
        <v>3.2389284599999991E-2</v>
      </c>
      <c r="U116" s="121">
        <v>8.4225346599999987E-2</v>
      </c>
      <c r="V116" s="121">
        <v>9.0333417599999993E-2</v>
      </c>
      <c r="W116" s="121">
        <v>8.7617802249999988E-2</v>
      </c>
      <c r="X116" s="121">
        <v>7.3214310499999991E-2</v>
      </c>
      <c r="Y116" s="121">
        <v>9.5541786249999983E-2</v>
      </c>
      <c r="Z116" s="121">
        <v>9.6689113099999988E-2</v>
      </c>
      <c r="AA116" s="121">
        <v>8.6841912149999992E-2</v>
      </c>
      <c r="AB116" s="121">
        <v>6.9359622449999991E-2</v>
      </c>
      <c r="AC116" s="121">
        <v>6.8707544600000003E-2</v>
      </c>
      <c r="AD116" s="121">
        <v>6.8674527999999985E-2</v>
      </c>
      <c r="AE116" s="121">
        <v>8.4159313399999991E-2</v>
      </c>
      <c r="AF116" s="121">
        <v>7.7968700899999979E-2</v>
      </c>
      <c r="AG116" s="121">
        <v>8.0610028899999991E-2</v>
      </c>
      <c r="AH116" s="121">
        <v>0.10155906159999997</v>
      </c>
      <c r="AI116" s="121">
        <v>8.6338408999999977E-2</v>
      </c>
    </row>
    <row r="117" spans="1:35" ht="16.5" thickBot="1" x14ac:dyDescent="0.45">
      <c r="A117" s="138" t="s">
        <v>63</v>
      </c>
      <c r="B117" s="1360" t="s">
        <v>458</v>
      </c>
      <c r="C117" s="129">
        <v>0</v>
      </c>
      <c r="D117" s="129">
        <v>0</v>
      </c>
      <c r="E117" s="129">
        <v>0</v>
      </c>
      <c r="F117" s="129">
        <v>0</v>
      </c>
      <c r="G117" s="129">
        <v>0</v>
      </c>
      <c r="H117" s="129">
        <v>0</v>
      </c>
      <c r="I117" s="129">
        <v>0</v>
      </c>
      <c r="J117" s="129">
        <v>0</v>
      </c>
      <c r="K117" s="129">
        <v>0</v>
      </c>
      <c r="L117" s="129">
        <v>0</v>
      </c>
      <c r="M117" s="129">
        <v>0</v>
      </c>
      <c r="N117" s="129">
        <v>0</v>
      </c>
      <c r="O117" s="129">
        <v>0</v>
      </c>
      <c r="P117" s="129">
        <v>0</v>
      </c>
      <c r="Q117" s="129">
        <v>0</v>
      </c>
      <c r="R117" s="129">
        <v>0</v>
      </c>
      <c r="S117" s="129">
        <v>0</v>
      </c>
      <c r="T117" s="129">
        <v>0</v>
      </c>
      <c r="U117" s="129">
        <v>0</v>
      </c>
      <c r="V117" s="129">
        <v>0</v>
      </c>
      <c r="W117" s="129">
        <v>0</v>
      </c>
      <c r="X117" s="129">
        <v>0</v>
      </c>
      <c r="Y117" s="129">
        <v>0</v>
      </c>
      <c r="Z117" s="129">
        <v>0</v>
      </c>
      <c r="AA117" s="129">
        <v>0</v>
      </c>
      <c r="AB117" s="129">
        <v>0</v>
      </c>
      <c r="AC117" s="129">
        <v>0</v>
      </c>
      <c r="AD117" s="129">
        <v>0</v>
      </c>
      <c r="AE117" s="129">
        <v>0</v>
      </c>
      <c r="AF117" s="129">
        <v>0</v>
      </c>
      <c r="AG117" s="129">
        <v>0</v>
      </c>
      <c r="AH117" s="129">
        <v>0</v>
      </c>
      <c r="AI117" s="129">
        <v>0</v>
      </c>
    </row>
    <row r="118" spans="1:35" x14ac:dyDescent="0.4">
      <c r="A118" s="246" t="s">
        <v>74</v>
      </c>
      <c r="B118" s="1326" t="s">
        <v>458</v>
      </c>
      <c r="C118" s="28">
        <v>6.130996457E-2</v>
      </c>
      <c r="D118" s="28">
        <v>5.9076519639999991E-2</v>
      </c>
      <c r="E118" s="28">
        <v>5.8319693029999994E-2</v>
      </c>
      <c r="F118" s="28">
        <v>5.9352809769999987E-2</v>
      </c>
      <c r="G118" s="28">
        <v>6.0476406299999994E-2</v>
      </c>
      <c r="H118" s="28">
        <v>5.9672558659999986E-2</v>
      </c>
      <c r="I118" s="28">
        <v>5.7526248299999985E-2</v>
      </c>
      <c r="J118" s="28">
        <v>4.9716922050000001E-2</v>
      </c>
      <c r="K118" s="28">
        <v>4.3382592259999991E-2</v>
      </c>
      <c r="L118" s="28">
        <v>4.8339800660000001E-2</v>
      </c>
      <c r="M118" s="28">
        <v>3.9798255599999999E-2</v>
      </c>
      <c r="N118" s="28">
        <v>4.0673450859999988E-2</v>
      </c>
      <c r="O118" s="28">
        <v>4.8785097749999992E-2</v>
      </c>
      <c r="P118" s="28">
        <v>4.5861672029999995E-2</v>
      </c>
      <c r="Q118" s="28">
        <v>3.4333987519999998E-2</v>
      </c>
      <c r="R118" s="28">
        <v>2.5074594689999997E-2</v>
      </c>
      <c r="S118" s="28">
        <v>2.5754540579999999E-2</v>
      </c>
      <c r="T118" s="28">
        <v>2.5650203579999999E-2</v>
      </c>
      <c r="U118" s="28">
        <v>3.3656842239999991E-2</v>
      </c>
      <c r="V118" s="28">
        <v>3.8726783609999996E-2</v>
      </c>
      <c r="W118" s="28">
        <v>3.4639570329999994E-2</v>
      </c>
      <c r="X118" s="28">
        <v>2.8163892189999998E-2</v>
      </c>
      <c r="Y118" s="28">
        <v>3.4174257019999994E-2</v>
      </c>
      <c r="Z118" s="28">
        <v>3.5601296889999995E-2</v>
      </c>
      <c r="AA118" s="28">
        <v>3.8239902659999991E-2</v>
      </c>
      <c r="AB118" s="28">
        <v>3.3941849779999991E-2</v>
      </c>
      <c r="AC118" s="28">
        <v>3.542173497E-2</v>
      </c>
      <c r="AD118" s="28">
        <v>3.5083170164271926E-2</v>
      </c>
      <c r="AE118" s="28">
        <v>3.7249767359637989E-2</v>
      </c>
      <c r="AF118" s="28">
        <v>3.9612458308448728E-2</v>
      </c>
      <c r="AG118" s="28">
        <v>4.1454792182907194E-2</v>
      </c>
      <c r="AH118" s="28">
        <v>4.3553628392306865E-2</v>
      </c>
      <c r="AI118" s="28">
        <v>4.1764830554294793E-2</v>
      </c>
    </row>
    <row r="119" spans="1:35" x14ac:dyDescent="0.4">
      <c r="A119" s="104" t="s">
        <v>60</v>
      </c>
      <c r="B119" s="1326" t="s">
        <v>458</v>
      </c>
      <c r="C119" s="121">
        <v>3.8222999999999995E-4</v>
      </c>
      <c r="D119" s="121">
        <v>8.2444499999999993E-4</v>
      </c>
      <c r="E119" s="121">
        <v>6.1449749999999994E-4</v>
      </c>
      <c r="F119" s="121">
        <v>3.2643E-4</v>
      </c>
      <c r="G119" s="121">
        <v>4.0664249999999998E-4</v>
      </c>
      <c r="H119" s="121">
        <v>5.0219999999999996E-4</v>
      </c>
      <c r="I119" s="121">
        <v>4.4500499999999994E-4</v>
      </c>
      <c r="J119" s="121">
        <v>4.4151750000000006E-4</v>
      </c>
      <c r="K119" s="121">
        <v>6.256574999999999E-4</v>
      </c>
      <c r="L119" s="121">
        <v>2.6923499999999994E-4</v>
      </c>
      <c r="M119" s="121">
        <v>2.5249499999999999E-4</v>
      </c>
      <c r="N119" s="121">
        <v>1.3308299999999999E-3</v>
      </c>
      <c r="O119" s="121">
        <v>7.7352749999999972E-4</v>
      </c>
      <c r="P119" s="121">
        <v>5.3777250000000001E-4</v>
      </c>
      <c r="Q119" s="121">
        <v>6.8912999999999982E-4</v>
      </c>
      <c r="R119" s="121">
        <v>2.5458749999999997E-4</v>
      </c>
      <c r="S119" s="121">
        <v>3.6479249999999991E-4</v>
      </c>
      <c r="T119" s="121">
        <v>0</v>
      </c>
      <c r="U119" s="121">
        <v>0</v>
      </c>
      <c r="V119" s="121">
        <v>0</v>
      </c>
      <c r="W119" s="121">
        <v>0</v>
      </c>
      <c r="X119" s="121">
        <v>0</v>
      </c>
      <c r="Y119" s="121">
        <v>0</v>
      </c>
      <c r="Z119" s="121">
        <v>0</v>
      </c>
      <c r="AA119" s="121">
        <v>0</v>
      </c>
      <c r="AB119" s="121">
        <v>0</v>
      </c>
      <c r="AC119" s="121">
        <v>0</v>
      </c>
      <c r="AD119" s="121">
        <v>0</v>
      </c>
      <c r="AE119" s="121">
        <v>0</v>
      </c>
      <c r="AF119" s="121">
        <v>0</v>
      </c>
      <c r="AG119" s="121">
        <v>0</v>
      </c>
      <c r="AH119" s="121">
        <v>0</v>
      </c>
      <c r="AI119" s="121">
        <v>0</v>
      </c>
    </row>
    <row r="120" spans="1:35" x14ac:dyDescent="0.4">
      <c r="A120" s="104" t="s">
        <v>68</v>
      </c>
      <c r="B120" s="1326" t="s">
        <v>458</v>
      </c>
      <c r="C120" s="121">
        <v>2.2028241599999995E-2</v>
      </c>
      <c r="D120" s="121">
        <v>1.9437845399999994E-2</v>
      </c>
      <c r="E120" s="121">
        <v>1.6894242899999998E-2</v>
      </c>
      <c r="F120" s="121">
        <v>1.5420885299999996E-2</v>
      </c>
      <c r="G120" s="121">
        <v>1.61867565E-2</v>
      </c>
      <c r="H120" s="121">
        <v>1.4084045099999998E-2</v>
      </c>
      <c r="I120" s="121">
        <v>1.4185789199999996E-2</v>
      </c>
      <c r="J120" s="121">
        <v>1.3500197099999996E-2</v>
      </c>
      <c r="K120" s="121">
        <v>9.5686676999999984E-3</v>
      </c>
      <c r="L120" s="121">
        <v>1.3003496999999999E-2</v>
      </c>
      <c r="M120" s="121">
        <v>1.0536309899999999E-2</v>
      </c>
      <c r="N120" s="121">
        <v>9.578970899999999E-3</v>
      </c>
      <c r="O120" s="121">
        <v>1.4333468399999997E-2</v>
      </c>
      <c r="P120" s="121">
        <v>1.0768990499999999E-2</v>
      </c>
      <c r="Q120" s="121">
        <v>1.1768400899999998E-2</v>
      </c>
      <c r="R120" s="121">
        <v>8.1330884999999981E-3</v>
      </c>
      <c r="S120" s="121">
        <v>8.077708799999998E-3</v>
      </c>
      <c r="T120" s="121">
        <v>6.0393923999999995E-3</v>
      </c>
      <c r="U120" s="121">
        <v>7.854472799999998E-3</v>
      </c>
      <c r="V120" s="121">
        <v>1.3480878599999996E-2</v>
      </c>
      <c r="W120" s="121">
        <v>8.8989596999999986E-3</v>
      </c>
      <c r="X120" s="121">
        <v>5.610092399999999E-3</v>
      </c>
      <c r="Y120" s="121">
        <v>5.7912569999999993E-3</v>
      </c>
      <c r="Z120" s="121">
        <v>6.5416733999999989E-3</v>
      </c>
      <c r="AA120" s="121">
        <v>6.6713219999999986E-3</v>
      </c>
      <c r="AB120" s="121">
        <v>3.6486206999999994E-3</v>
      </c>
      <c r="AC120" s="121">
        <v>4.1805233999999995E-3</v>
      </c>
      <c r="AD120" s="121">
        <v>3.9572873999999996E-3</v>
      </c>
      <c r="AE120" s="121">
        <v>4.2324686999999986E-3</v>
      </c>
      <c r="AF120" s="121">
        <v>3.1544963999999994E-3</v>
      </c>
      <c r="AG120" s="121">
        <v>5.8346162999999987E-3</v>
      </c>
      <c r="AH120" s="121">
        <v>5.6830733999999987E-3</v>
      </c>
      <c r="AI120" s="121">
        <v>5.7302963999999994E-3</v>
      </c>
    </row>
    <row r="121" spans="1:35" x14ac:dyDescent="0.4">
      <c r="A121" s="104" t="s">
        <v>72</v>
      </c>
      <c r="B121" s="1326" t="s">
        <v>458</v>
      </c>
      <c r="C121" s="121">
        <v>4.8725549999999998E-4</v>
      </c>
      <c r="D121" s="121">
        <v>1.7687159999999998E-4</v>
      </c>
      <c r="E121" s="121">
        <v>2.7475199999999996E-4</v>
      </c>
      <c r="F121" s="121">
        <v>2.4298379999999992E-4</v>
      </c>
      <c r="G121" s="121">
        <v>2.6745389999999994E-4</v>
      </c>
      <c r="H121" s="121">
        <v>1.1376449999999997E-4</v>
      </c>
      <c r="I121" s="121">
        <v>1.1333519999999999E-4</v>
      </c>
      <c r="J121" s="121">
        <v>1.7129069999999996E-4</v>
      </c>
      <c r="K121" s="121">
        <v>5.473574999999999E-4</v>
      </c>
      <c r="L121" s="121">
        <v>2.6015579999999993E-4</v>
      </c>
      <c r="M121" s="121">
        <v>3.807890999999999E-4</v>
      </c>
      <c r="N121" s="121">
        <v>1.4252759999999997E-4</v>
      </c>
      <c r="O121" s="121">
        <v>1.7429579999999996E-4</v>
      </c>
      <c r="P121" s="121">
        <v>2.2023089999999995E-4</v>
      </c>
      <c r="Q121" s="121">
        <v>1.9060919999999996E-4</v>
      </c>
      <c r="R121" s="121">
        <v>9.3587399999999984E-5</v>
      </c>
      <c r="S121" s="121">
        <v>6.0531299999999987E-5</v>
      </c>
      <c r="T121" s="121">
        <v>4.9369499999999995E-5</v>
      </c>
      <c r="U121" s="121">
        <v>4.2071399999999998E-5</v>
      </c>
      <c r="V121" s="121">
        <v>1.1333519999999999E-4</v>
      </c>
      <c r="W121" s="121">
        <v>1.5025499999999997E-5</v>
      </c>
      <c r="X121" s="121">
        <v>3.4343999999999997E-6</v>
      </c>
      <c r="Y121" s="121">
        <v>5.5808999999999985E-6</v>
      </c>
      <c r="Z121" s="121">
        <v>3.1768199999999992E-5</v>
      </c>
      <c r="AA121" s="121">
        <v>3.1338899999999999E-5</v>
      </c>
      <c r="AB121" s="121">
        <v>3.3056099999999997E-5</v>
      </c>
      <c r="AC121" s="121">
        <v>2.3182199999999996E-5</v>
      </c>
      <c r="AD121" s="121">
        <v>2.1464999999999999E-5</v>
      </c>
      <c r="AE121" s="121">
        <v>3.3485399999999996E-5</v>
      </c>
      <c r="AF121" s="121">
        <v>4.1212799999999993E-5</v>
      </c>
      <c r="AG121" s="121">
        <v>2.5328699999999993E-5</v>
      </c>
      <c r="AH121" s="121">
        <v>2.2323599999999994E-5</v>
      </c>
      <c r="AI121" s="121">
        <v>4.0783499999999987E-5</v>
      </c>
    </row>
    <row r="122" spans="1:35" x14ac:dyDescent="0.4">
      <c r="A122" s="104" t="s">
        <v>73</v>
      </c>
      <c r="B122" s="1326" t="s">
        <v>458</v>
      </c>
      <c r="C122" s="121">
        <v>6.8172839999999985E-4</v>
      </c>
      <c r="D122" s="121">
        <v>6.7614749999999994E-4</v>
      </c>
      <c r="E122" s="121">
        <v>7.4526479999999988E-4</v>
      </c>
      <c r="F122" s="121">
        <v>7.7059349999999982E-4</v>
      </c>
      <c r="G122" s="121">
        <v>8.0493749999999988E-4</v>
      </c>
      <c r="H122" s="121">
        <v>9.5433389999999979E-4</v>
      </c>
      <c r="I122" s="121">
        <v>8.9551979999999984E-4</v>
      </c>
      <c r="J122" s="121">
        <v>8.1996299999999973E-4</v>
      </c>
      <c r="K122" s="121">
        <v>8.4443309999999994E-4</v>
      </c>
      <c r="L122" s="121">
        <v>1.0449161999999998E-3</v>
      </c>
      <c r="M122" s="121">
        <v>9.4789439999999993E-4</v>
      </c>
      <c r="N122" s="121">
        <v>7.6715909999999971E-4</v>
      </c>
      <c r="O122" s="121">
        <v>1.2119138999999997E-3</v>
      </c>
      <c r="P122" s="121">
        <v>7.7703299999999978E-4</v>
      </c>
      <c r="Q122" s="121">
        <v>1.2638591999999996E-3</v>
      </c>
      <c r="R122" s="121">
        <v>1.1973176999999998E-3</v>
      </c>
      <c r="S122" s="121">
        <v>1.0668104999999998E-3</v>
      </c>
      <c r="T122" s="121">
        <v>1.2372426000000001E-3</v>
      </c>
      <c r="U122" s="121">
        <v>1.0668104999999998E-3</v>
      </c>
      <c r="V122" s="121">
        <v>9.5948549999999989E-4</v>
      </c>
      <c r="W122" s="121">
        <v>1.0638053999999998E-3</v>
      </c>
      <c r="X122" s="121">
        <v>9.7236449999999982E-4</v>
      </c>
      <c r="Y122" s="121">
        <v>1.2020399999999997E-3</v>
      </c>
      <c r="Z122" s="121">
        <v>1.3222439999999998E-3</v>
      </c>
      <c r="AA122" s="121">
        <v>1.2132017999999995E-3</v>
      </c>
      <c r="AB122" s="121">
        <v>9.2428289999999988E-4</v>
      </c>
      <c r="AC122" s="121">
        <v>9.2771729999999966E-4</v>
      </c>
      <c r="AD122" s="121">
        <v>1.4712110999999996E-3</v>
      </c>
      <c r="AE122" s="121">
        <v>1.3063598999999999E-3</v>
      </c>
      <c r="AF122" s="121">
        <v>1.5600761999999997E-3</v>
      </c>
      <c r="AG122" s="121">
        <v>1.7163413999999994E-3</v>
      </c>
      <c r="AH122" s="121">
        <v>1.6412138999999993E-3</v>
      </c>
      <c r="AI122" s="121">
        <v>1.4497460999999996E-3</v>
      </c>
    </row>
    <row r="123" spans="1:35" x14ac:dyDescent="0.4">
      <c r="A123" s="104" t="s">
        <v>75</v>
      </c>
      <c r="B123" s="1326" t="s">
        <v>458</v>
      </c>
      <c r="C123" s="121">
        <v>4.1126939999999994E-4</v>
      </c>
      <c r="D123" s="121">
        <v>3.6919799999999989E-4</v>
      </c>
      <c r="E123" s="121">
        <v>1.1891609999999998E-4</v>
      </c>
      <c r="F123" s="121">
        <v>1.2707279999999997E-4</v>
      </c>
      <c r="G123" s="121">
        <v>1.4510339999999997E-4</v>
      </c>
      <c r="H123" s="121">
        <v>1.4596199999999997E-4</v>
      </c>
      <c r="I123" s="121">
        <v>1.0818359999999996E-4</v>
      </c>
      <c r="J123" s="121">
        <v>1.4724989999999997E-4</v>
      </c>
      <c r="K123" s="121">
        <v>1.4038109999999998E-4</v>
      </c>
      <c r="L123" s="121">
        <v>6.2334359999999993E-4</v>
      </c>
      <c r="M123" s="121">
        <v>1.8674549999999997E-4</v>
      </c>
      <c r="N123" s="121">
        <v>2.6058509999999995E-4</v>
      </c>
      <c r="O123" s="121">
        <v>2.3268059999999996E-4</v>
      </c>
      <c r="P123" s="121">
        <v>1.5454799999999996E-4</v>
      </c>
      <c r="Q123" s="121">
        <v>1.2793139999999997E-4</v>
      </c>
      <c r="R123" s="121">
        <v>1.5368940000000001E-4</v>
      </c>
      <c r="S123" s="121">
        <v>1.6570979999999997E-4</v>
      </c>
      <c r="T123" s="121">
        <v>1.6442189999999997E-4</v>
      </c>
      <c r="U123" s="121">
        <v>1.6570979999999997E-4</v>
      </c>
      <c r="V123" s="121">
        <v>9.6163199999999981E-5</v>
      </c>
      <c r="W123" s="121">
        <v>2.9492909999999991E-4</v>
      </c>
      <c r="X123" s="121">
        <v>8.628929999999998E-5</v>
      </c>
      <c r="Y123" s="121">
        <v>9.5304599999999982E-5</v>
      </c>
      <c r="Z123" s="121">
        <v>9.3158099999999985E-5</v>
      </c>
      <c r="AA123" s="121">
        <v>2.7986066999999997E-3</v>
      </c>
      <c r="AB123" s="121">
        <v>2.8217888999999994E-3</v>
      </c>
      <c r="AC123" s="121">
        <v>2.8518398999999995E-3</v>
      </c>
      <c r="AD123" s="121">
        <v>2.8350971999999992E-3</v>
      </c>
      <c r="AE123" s="121">
        <v>2.8496933999999996E-3</v>
      </c>
      <c r="AF123" s="121">
        <v>2.8724462999999995E-3</v>
      </c>
      <c r="AG123" s="121">
        <v>2.9020679999999998E-3</v>
      </c>
      <c r="AH123" s="121">
        <v>3.2081588999999999E-3</v>
      </c>
      <c r="AI123" s="121">
        <v>3.0501764999999997E-3</v>
      </c>
    </row>
    <row r="124" spans="1:35" x14ac:dyDescent="0.4">
      <c r="A124" s="104" t="s">
        <v>69</v>
      </c>
      <c r="B124" s="1326" t="s">
        <v>458</v>
      </c>
      <c r="C124" s="121">
        <v>1.2241489499999999E-2</v>
      </c>
      <c r="D124" s="121">
        <v>9.9039509999999976E-3</v>
      </c>
      <c r="E124" s="121">
        <v>6.9052904999999994E-3</v>
      </c>
      <c r="F124" s="121">
        <v>7.9712423999999983E-3</v>
      </c>
      <c r="G124" s="121">
        <v>8.2837727999999985E-3</v>
      </c>
      <c r="H124" s="121">
        <v>6.5597039999999978E-3</v>
      </c>
      <c r="I124" s="121">
        <v>6.0436853999999993E-3</v>
      </c>
      <c r="J124" s="121">
        <v>3.8233457999999991E-3</v>
      </c>
      <c r="K124" s="121">
        <v>3.1965677999999994E-3</v>
      </c>
      <c r="L124" s="121">
        <v>3.7452131999999999E-3</v>
      </c>
      <c r="M124" s="121">
        <v>1.4102504999999998E-3</v>
      </c>
      <c r="N124" s="121">
        <v>1.7335133999999996E-3</v>
      </c>
      <c r="O124" s="121">
        <v>4.8875804999999987E-3</v>
      </c>
      <c r="P124" s="121">
        <v>7.4801231999999983E-3</v>
      </c>
      <c r="Q124" s="121">
        <v>7.1864819999999984E-3</v>
      </c>
      <c r="R124" s="121">
        <v>3.1579307999999992E-3</v>
      </c>
      <c r="S124" s="121">
        <v>2.2542542999999995E-3</v>
      </c>
      <c r="T124" s="121">
        <v>2.5706483999999993E-3</v>
      </c>
      <c r="U124" s="121">
        <v>1.8996524999999997E-3</v>
      </c>
      <c r="V124" s="121">
        <v>1.4909588999999996E-3</v>
      </c>
      <c r="W124" s="121">
        <v>9.1827269999999973E-4</v>
      </c>
      <c r="X124" s="121">
        <v>5.9372189999999984E-4</v>
      </c>
      <c r="Y124" s="121">
        <v>5.9887349999999994E-4</v>
      </c>
      <c r="Z124" s="121">
        <v>3.6104129999999993E-4</v>
      </c>
      <c r="AA124" s="121">
        <v>1.3694669999999998E-4</v>
      </c>
      <c r="AB124" s="121">
        <v>8.4142799999999997E-5</v>
      </c>
      <c r="AC124" s="121">
        <v>6.5253599999999995E-5</v>
      </c>
      <c r="AD124" s="121">
        <v>3.5631899999999993E-5</v>
      </c>
      <c r="AE124" s="121">
        <v>5.2803899999999984E-5</v>
      </c>
      <c r="AF124" s="121">
        <v>8.9294399999999976E-5</v>
      </c>
      <c r="AG124" s="121">
        <v>5.1945299999999999E-5</v>
      </c>
      <c r="AH124" s="121">
        <v>5.323319999999999E-5</v>
      </c>
      <c r="AI124" s="121">
        <v>4.4217899999999996E-5</v>
      </c>
    </row>
    <row r="125" spans="1:35" x14ac:dyDescent="0.4">
      <c r="A125" s="104" t="s">
        <v>62</v>
      </c>
      <c r="B125" s="1326" t="s">
        <v>458</v>
      </c>
      <c r="C125" s="121">
        <v>8.0494387199999996E-3</v>
      </c>
      <c r="D125" s="121">
        <v>9.7352848899999976E-3</v>
      </c>
      <c r="E125" s="121">
        <v>9.9109878799999995E-3</v>
      </c>
      <c r="F125" s="121">
        <v>1.260359617E-2</v>
      </c>
      <c r="G125" s="121">
        <v>1.2285380150000001E-2</v>
      </c>
      <c r="H125" s="121">
        <v>1.4366012159999997E-2</v>
      </c>
      <c r="I125" s="121">
        <v>1.5701908049999998E-2</v>
      </c>
      <c r="J125" s="121">
        <v>1.3314560049999999E-2</v>
      </c>
      <c r="K125" s="121">
        <v>1.0052773059999999E-2</v>
      </c>
      <c r="L125" s="121">
        <v>9.6990379599999968E-3</v>
      </c>
      <c r="M125" s="121">
        <v>9.3856257499999977E-3</v>
      </c>
      <c r="N125" s="121">
        <v>9.757265959999999E-3</v>
      </c>
      <c r="O125" s="121">
        <v>9.367429499999998E-3</v>
      </c>
      <c r="P125" s="121">
        <v>8.5149715799999991E-3</v>
      </c>
      <c r="Q125" s="121">
        <v>8.3696927199999986E-3</v>
      </c>
      <c r="R125" s="121">
        <v>7.6849314399999999E-3</v>
      </c>
      <c r="S125" s="121">
        <v>9.0928844800000005E-3</v>
      </c>
      <c r="T125" s="121">
        <v>1.0661401229999997E-2</v>
      </c>
      <c r="U125" s="121">
        <v>1.0733895089999999E-2</v>
      </c>
      <c r="V125" s="121">
        <v>1.0840306760000001E-2</v>
      </c>
      <c r="W125" s="121">
        <v>1.2140392429999997E-2</v>
      </c>
      <c r="X125" s="121">
        <v>1.0993009689999996E-2</v>
      </c>
      <c r="Y125" s="121">
        <v>1.4999678369999998E-2</v>
      </c>
      <c r="Z125" s="121">
        <v>1.5769889239999998E-2</v>
      </c>
      <c r="AA125" s="121">
        <v>1.5758389209999994E-2</v>
      </c>
      <c r="AB125" s="121">
        <v>1.5724325829999997E-2</v>
      </c>
      <c r="AC125" s="121">
        <v>1.6411707369999997E-2</v>
      </c>
      <c r="AD125" s="121">
        <v>1.7806724814271931E-2</v>
      </c>
      <c r="AE125" s="121">
        <v>1.8217898209637998E-2</v>
      </c>
      <c r="AF125" s="121">
        <v>1.6377130208448727E-2</v>
      </c>
      <c r="AG125" s="121">
        <v>1.5406690482907198E-2</v>
      </c>
      <c r="AH125" s="121">
        <v>1.7411315092306867E-2</v>
      </c>
      <c r="AI125" s="121">
        <v>1.5931808154294798E-2</v>
      </c>
    </row>
    <row r="126" spans="1:35" x14ac:dyDescent="0.4">
      <c r="A126" s="104" t="s">
        <v>94</v>
      </c>
      <c r="B126" s="1326" t="s">
        <v>458</v>
      </c>
      <c r="C126" s="121">
        <v>1.702831145E-2</v>
      </c>
      <c r="D126" s="121">
        <v>1.795277625E-2</v>
      </c>
      <c r="E126" s="121">
        <v>2.2855741349999997E-2</v>
      </c>
      <c r="F126" s="121">
        <v>2.1890005799999997E-2</v>
      </c>
      <c r="G126" s="121">
        <v>2.2096359549999996E-2</v>
      </c>
      <c r="H126" s="121">
        <v>2.2946536999999999E-2</v>
      </c>
      <c r="I126" s="121">
        <v>2.0032822049999996E-2</v>
      </c>
      <c r="J126" s="121">
        <v>1.7498797999999999E-2</v>
      </c>
      <c r="K126" s="121">
        <v>1.8406754499999997E-2</v>
      </c>
      <c r="L126" s="121">
        <v>1.9694401900000002E-2</v>
      </c>
      <c r="M126" s="121">
        <v>1.669814545E-2</v>
      </c>
      <c r="N126" s="121">
        <v>1.7102598799999997E-2</v>
      </c>
      <c r="O126" s="121">
        <v>1.7804201549999999E-2</v>
      </c>
      <c r="P126" s="121">
        <v>1.7408002349999997E-2</v>
      </c>
      <c r="Q126" s="121">
        <v>4.7378821000000002E-3</v>
      </c>
      <c r="R126" s="121">
        <v>4.3994619499999991E-3</v>
      </c>
      <c r="S126" s="121">
        <v>4.6718489E-3</v>
      </c>
      <c r="T126" s="121">
        <v>4.9277275499999993E-3</v>
      </c>
      <c r="U126" s="121">
        <v>1.1894230149999999E-2</v>
      </c>
      <c r="V126" s="121">
        <v>1.174565545E-2</v>
      </c>
      <c r="W126" s="121">
        <v>1.1308185499999998E-2</v>
      </c>
      <c r="X126" s="121">
        <v>9.904979999999999E-3</v>
      </c>
      <c r="Y126" s="121">
        <v>1.1481522649999999E-2</v>
      </c>
      <c r="Z126" s="121">
        <v>1.1481522649999999E-2</v>
      </c>
      <c r="AA126" s="121">
        <v>1.163009735E-2</v>
      </c>
      <c r="AB126" s="121">
        <v>1.070563255E-2</v>
      </c>
      <c r="AC126" s="121">
        <v>1.0961511200000001E-2</v>
      </c>
      <c r="AD126" s="121">
        <v>8.9557527499999987E-3</v>
      </c>
      <c r="AE126" s="121">
        <v>1.0557057849999997E-2</v>
      </c>
      <c r="AF126" s="121">
        <v>1.5517802000000001E-2</v>
      </c>
      <c r="AG126" s="121">
        <v>1.5517802000000001E-2</v>
      </c>
      <c r="AH126" s="121">
        <v>1.55343103E-2</v>
      </c>
      <c r="AI126" s="121">
        <v>1.5517802000000001E-2</v>
      </c>
    </row>
    <row r="127" spans="1:35" ht="16.5" thickBot="1" x14ac:dyDescent="0.45">
      <c r="A127" s="138" t="s">
        <v>63</v>
      </c>
      <c r="B127" s="1360" t="s">
        <v>458</v>
      </c>
      <c r="C127" s="129">
        <v>0</v>
      </c>
      <c r="D127" s="129">
        <v>0</v>
      </c>
      <c r="E127" s="129">
        <v>0</v>
      </c>
      <c r="F127" s="129">
        <v>0</v>
      </c>
      <c r="G127" s="129">
        <v>0</v>
      </c>
      <c r="H127" s="129">
        <v>0</v>
      </c>
      <c r="I127" s="129">
        <v>0</v>
      </c>
      <c r="J127" s="129">
        <v>0</v>
      </c>
      <c r="K127" s="129">
        <v>0</v>
      </c>
      <c r="L127" s="129">
        <v>0</v>
      </c>
      <c r="M127" s="129">
        <v>0</v>
      </c>
      <c r="N127" s="129">
        <v>0</v>
      </c>
      <c r="O127" s="129">
        <v>0</v>
      </c>
      <c r="P127" s="129">
        <v>0</v>
      </c>
      <c r="Q127" s="129">
        <v>0</v>
      </c>
      <c r="R127" s="129">
        <v>0</v>
      </c>
      <c r="S127" s="129">
        <v>0</v>
      </c>
      <c r="T127" s="129">
        <v>0</v>
      </c>
      <c r="U127" s="129">
        <v>0</v>
      </c>
      <c r="V127" s="129">
        <v>0</v>
      </c>
      <c r="W127" s="129">
        <v>0</v>
      </c>
      <c r="X127" s="129">
        <v>0</v>
      </c>
      <c r="Y127" s="129">
        <v>0</v>
      </c>
      <c r="Z127" s="129">
        <v>0</v>
      </c>
      <c r="AA127" s="129">
        <v>0</v>
      </c>
      <c r="AB127" s="129">
        <v>0</v>
      </c>
      <c r="AC127" s="129">
        <v>0</v>
      </c>
      <c r="AD127" s="129">
        <v>0</v>
      </c>
      <c r="AE127" s="129">
        <v>0</v>
      </c>
      <c r="AF127" s="129">
        <v>0</v>
      </c>
      <c r="AG127" s="129">
        <v>0</v>
      </c>
      <c r="AH127" s="129">
        <v>0</v>
      </c>
      <c r="AI127" s="129">
        <v>0</v>
      </c>
    </row>
    <row r="128" spans="1:35" x14ac:dyDescent="0.4">
      <c r="A128" s="247" t="s">
        <v>76</v>
      </c>
      <c r="B128" s="1326" t="s">
        <v>458</v>
      </c>
      <c r="C128" s="28">
        <v>1.8804278893775218E-2</v>
      </c>
      <c r="D128" s="28">
        <v>2.2056999012336573E-2</v>
      </c>
      <c r="E128" s="28">
        <v>2.2613327546758041E-2</v>
      </c>
      <c r="F128" s="28">
        <v>2.0959623605712303E-2</v>
      </c>
      <c r="G128" s="28">
        <v>2.0664401566270606E-2</v>
      </c>
      <c r="H128" s="28">
        <v>2.055429936983752E-2</v>
      </c>
      <c r="I128" s="28">
        <v>2.175818438274096E-2</v>
      </c>
      <c r="J128" s="28">
        <v>1.9170090193242201E-2</v>
      </c>
      <c r="K128" s="28">
        <v>1.957597393398583E-2</v>
      </c>
      <c r="L128" s="28">
        <v>1.9463339151980223E-2</v>
      </c>
      <c r="M128" s="28">
        <v>1.9251449816890663E-2</v>
      </c>
      <c r="N128" s="28">
        <v>1.528473140806798E-2</v>
      </c>
      <c r="O128" s="28">
        <v>1.3991531211882279E-2</v>
      </c>
      <c r="P128" s="28">
        <v>1.4129648923568997E-2</v>
      </c>
      <c r="Q128" s="28">
        <v>1.4678522310258771E-2</v>
      </c>
      <c r="R128" s="28">
        <v>1.4661717459428453E-2</v>
      </c>
      <c r="S128" s="28">
        <v>1.428620827253799E-2</v>
      </c>
      <c r="T128" s="28">
        <v>1.3427357048192498E-2</v>
      </c>
      <c r="U128" s="28">
        <v>1.0583728595565774E-2</v>
      </c>
      <c r="V128" s="28">
        <v>1.5617036954401203E-2</v>
      </c>
      <c r="W128" s="28">
        <v>1.9338251338103081E-2</v>
      </c>
      <c r="X128" s="28">
        <v>1.8150526899342635E-2</v>
      </c>
      <c r="Y128" s="28">
        <v>1.8233118870129385E-2</v>
      </c>
      <c r="Z128" s="28">
        <v>1.7628177278004635E-2</v>
      </c>
      <c r="AA128" s="28">
        <v>1.7677321125210303E-2</v>
      </c>
      <c r="AB128" s="28">
        <v>1.6848346107429885E-2</v>
      </c>
      <c r="AC128" s="28">
        <v>9.7249941062509133E-3</v>
      </c>
      <c r="AD128" s="28">
        <v>9.5250069746183573E-3</v>
      </c>
      <c r="AE128" s="28">
        <v>9.5566155885917336E-3</v>
      </c>
      <c r="AF128" s="28">
        <v>9.2797784333590507E-3</v>
      </c>
      <c r="AG128" s="28">
        <v>9.5875611311539537E-3</v>
      </c>
      <c r="AH128" s="28">
        <v>1.0404922369114715E-2</v>
      </c>
      <c r="AI128" s="28">
        <v>1.0266741043878147E-2</v>
      </c>
    </row>
    <row r="129" spans="1:35" x14ac:dyDescent="0.4">
      <c r="A129" s="104" t="s">
        <v>77</v>
      </c>
      <c r="B129" s="1326" t="s">
        <v>458</v>
      </c>
      <c r="C129" s="121">
        <v>0</v>
      </c>
      <c r="D129" s="121">
        <v>0</v>
      </c>
      <c r="E129" s="121">
        <v>0</v>
      </c>
      <c r="F129" s="121">
        <v>0</v>
      </c>
      <c r="G129" s="121">
        <v>0</v>
      </c>
      <c r="H129" s="121">
        <v>0</v>
      </c>
      <c r="I129" s="121">
        <v>0</v>
      </c>
      <c r="J129" s="121">
        <v>0</v>
      </c>
      <c r="K129" s="121">
        <v>0</v>
      </c>
      <c r="L129" s="121">
        <v>0</v>
      </c>
      <c r="M129" s="121">
        <v>0</v>
      </c>
      <c r="N129" s="121">
        <v>0</v>
      </c>
      <c r="O129" s="121">
        <v>0</v>
      </c>
      <c r="P129" s="121">
        <v>0</v>
      </c>
      <c r="Q129" s="121">
        <v>0</v>
      </c>
      <c r="R129" s="121">
        <v>0</v>
      </c>
      <c r="S129" s="121">
        <v>0</v>
      </c>
      <c r="T129" s="121">
        <v>0</v>
      </c>
      <c r="U129" s="121">
        <v>0</v>
      </c>
      <c r="V129" s="121">
        <v>0</v>
      </c>
      <c r="W129" s="121">
        <v>0</v>
      </c>
      <c r="X129" s="121">
        <v>0</v>
      </c>
      <c r="Y129" s="121">
        <v>0</v>
      </c>
      <c r="Z129" s="121">
        <v>0</v>
      </c>
      <c r="AA129" s="121">
        <v>0</v>
      </c>
      <c r="AB129" s="121">
        <v>0</v>
      </c>
      <c r="AC129" s="121">
        <v>0</v>
      </c>
      <c r="AD129" s="121">
        <v>0</v>
      </c>
      <c r="AE129" s="121">
        <v>0</v>
      </c>
      <c r="AF129" s="121">
        <v>0</v>
      </c>
      <c r="AG129" s="121">
        <v>0</v>
      </c>
      <c r="AH129" s="121">
        <v>0</v>
      </c>
      <c r="AI129" s="121">
        <v>0</v>
      </c>
    </row>
    <row r="130" spans="1:35" x14ac:dyDescent="0.4">
      <c r="A130" s="104" t="s">
        <v>78</v>
      </c>
      <c r="B130" s="1326" t="s">
        <v>458</v>
      </c>
      <c r="C130" s="121">
        <v>1.3360532029732066E-3</v>
      </c>
      <c r="D130" s="121">
        <v>2.5142667952116962E-3</v>
      </c>
      <c r="E130" s="121">
        <v>1.903386494986215E-3</v>
      </c>
      <c r="F130" s="121">
        <v>1.0045871958024844E-3</v>
      </c>
      <c r="G130" s="121">
        <v>4.1729439568933207E-4</v>
      </c>
      <c r="H130" s="121">
        <v>3.1692650894487949E-4</v>
      </c>
      <c r="I130" s="121">
        <v>4.945045915518908E-4</v>
      </c>
      <c r="J130" s="121">
        <v>5.2283888344778874E-4</v>
      </c>
      <c r="K130" s="121">
        <v>4.4965550021112055E-4</v>
      </c>
      <c r="L130" s="121">
        <v>9.4858345838634399E-4</v>
      </c>
      <c r="M130" s="121">
        <v>9.4361207057660438E-4</v>
      </c>
      <c r="N130" s="121">
        <v>6.7504739460464282E-4</v>
      </c>
      <c r="O130" s="121">
        <v>7.7015891450815774E-4</v>
      </c>
      <c r="P130" s="121">
        <v>8.9447519354685502E-4</v>
      </c>
      <c r="Q130" s="121">
        <v>1.1812283971625258E-3</v>
      </c>
      <c r="R130" s="121">
        <v>1.2783119673926212E-3</v>
      </c>
      <c r="S130" s="121">
        <v>1.4228850530641946E-3</v>
      </c>
      <c r="T130" s="121">
        <v>1.4226438270842951E-3</v>
      </c>
      <c r="U130" s="121">
        <v>8.4512057896618249E-4</v>
      </c>
      <c r="V130" s="121">
        <v>1.127594900512677E-3</v>
      </c>
      <c r="W130" s="121">
        <v>1.0357410129896924E-3</v>
      </c>
      <c r="X130" s="121">
        <v>1.0390633309467858E-3</v>
      </c>
      <c r="Y130" s="121">
        <v>1.0107893794301442E-3</v>
      </c>
      <c r="Z130" s="121">
        <v>8.9094661653263082E-4</v>
      </c>
      <c r="AA130" s="121">
        <v>6.9527169814778841E-4</v>
      </c>
      <c r="AB130" s="121">
        <v>2.1934359284061382E-5</v>
      </c>
      <c r="AC130" s="121">
        <v>2.4892771954238442E-5</v>
      </c>
      <c r="AD130" s="121">
        <v>6.684915580747562E-6</v>
      </c>
      <c r="AE130" s="121">
        <v>1.7757935117967509E-5</v>
      </c>
      <c r="AF130" s="121">
        <v>0</v>
      </c>
      <c r="AG130" s="121">
        <v>0</v>
      </c>
      <c r="AH130" s="121">
        <v>0</v>
      </c>
      <c r="AI130" s="121">
        <v>0</v>
      </c>
    </row>
    <row r="131" spans="1:35" x14ac:dyDescent="0.4">
      <c r="A131" s="104" t="s">
        <v>79</v>
      </c>
      <c r="B131" s="1326" t="s">
        <v>458</v>
      </c>
      <c r="C131" s="121">
        <v>0</v>
      </c>
      <c r="D131" s="121">
        <v>0</v>
      </c>
      <c r="E131" s="121">
        <v>0</v>
      </c>
      <c r="F131" s="121">
        <v>0</v>
      </c>
      <c r="G131" s="121">
        <v>0</v>
      </c>
      <c r="H131" s="121">
        <v>0</v>
      </c>
      <c r="I131" s="121">
        <v>0</v>
      </c>
      <c r="J131" s="121">
        <v>0</v>
      </c>
      <c r="K131" s="121">
        <v>0</v>
      </c>
      <c r="L131" s="121">
        <v>0</v>
      </c>
      <c r="M131" s="121">
        <v>0</v>
      </c>
      <c r="N131" s="121">
        <v>0</v>
      </c>
      <c r="O131" s="121">
        <v>0</v>
      </c>
      <c r="P131" s="121">
        <v>0</v>
      </c>
      <c r="Q131" s="121">
        <v>0</v>
      </c>
      <c r="R131" s="121">
        <v>0</v>
      </c>
      <c r="S131" s="121">
        <v>0</v>
      </c>
      <c r="T131" s="121">
        <v>0</v>
      </c>
      <c r="U131" s="121">
        <v>0</v>
      </c>
      <c r="V131" s="121">
        <v>0</v>
      </c>
      <c r="W131" s="121">
        <v>0</v>
      </c>
      <c r="X131" s="121">
        <v>0</v>
      </c>
      <c r="Y131" s="121">
        <v>0</v>
      </c>
      <c r="Z131" s="121">
        <v>0</v>
      </c>
      <c r="AA131" s="121">
        <v>0</v>
      </c>
      <c r="AB131" s="121">
        <v>0</v>
      </c>
      <c r="AC131" s="121">
        <v>0</v>
      </c>
      <c r="AD131" s="121">
        <v>0</v>
      </c>
      <c r="AE131" s="121">
        <v>0</v>
      </c>
      <c r="AF131" s="121">
        <v>0</v>
      </c>
      <c r="AG131" s="121">
        <v>0</v>
      </c>
      <c r="AH131" s="121">
        <v>0</v>
      </c>
      <c r="AI131" s="121">
        <v>0</v>
      </c>
    </row>
    <row r="132" spans="1:35" x14ac:dyDescent="0.4">
      <c r="A132" s="104" t="s">
        <v>80</v>
      </c>
      <c r="B132" s="1326" t="s">
        <v>458</v>
      </c>
      <c r="C132" s="121">
        <v>0</v>
      </c>
      <c r="D132" s="121">
        <v>0</v>
      </c>
      <c r="E132" s="121">
        <v>0</v>
      </c>
      <c r="F132" s="121">
        <v>0</v>
      </c>
      <c r="G132" s="121">
        <v>0</v>
      </c>
      <c r="H132" s="121">
        <v>0</v>
      </c>
      <c r="I132" s="121">
        <v>0</v>
      </c>
      <c r="J132" s="121">
        <v>0</v>
      </c>
      <c r="K132" s="121">
        <v>0</v>
      </c>
      <c r="L132" s="121">
        <v>0</v>
      </c>
      <c r="M132" s="121">
        <v>0</v>
      </c>
      <c r="N132" s="121">
        <v>0</v>
      </c>
      <c r="O132" s="121">
        <v>0</v>
      </c>
      <c r="P132" s="121">
        <v>0</v>
      </c>
      <c r="Q132" s="121">
        <v>0</v>
      </c>
      <c r="R132" s="121">
        <v>0</v>
      </c>
      <c r="S132" s="121">
        <v>0</v>
      </c>
      <c r="T132" s="121">
        <v>0</v>
      </c>
      <c r="U132" s="121">
        <v>0</v>
      </c>
      <c r="V132" s="121">
        <v>0</v>
      </c>
      <c r="W132" s="121">
        <v>0</v>
      </c>
      <c r="X132" s="121">
        <v>0</v>
      </c>
      <c r="Y132" s="121">
        <v>0</v>
      </c>
      <c r="Z132" s="121">
        <v>0</v>
      </c>
      <c r="AA132" s="121">
        <v>0</v>
      </c>
      <c r="AB132" s="121">
        <v>0</v>
      </c>
      <c r="AC132" s="121">
        <v>0</v>
      </c>
      <c r="AD132" s="121">
        <v>0</v>
      </c>
      <c r="AE132" s="121">
        <v>0</v>
      </c>
      <c r="AF132" s="121">
        <v>0</v>
      </c>
      <c r="AG132" s="121">
        <v>0</v>
      </c>
      <c r="AH132" s="121">
        <v>0</v>
      </c>
      <c r="AI132" s="121">
        <v>0</v>
      </c>
    </row>
    <row r="133" spans="1:35" x14ac:dyDescent="0.4">
      <c r="A133" s="104" t="s">
        <v>81</v>
      </c>
      <c r="B133" s="1326" t="s">
        <v>458</v>
      </c>
      <c r="C133" s="121">
        <v>0</v>
      </c>
      <c r="D133" s="121">
        <v>0</v>
      </c>
      <c r="E133" s="121">
        <v>0</v>
      </c>
      <c r="F133" s="121">
        <v>0</v>
      </c>
      <c r="G133" s="121">
        <v>0</v>
      </c>
      <c r="H133" s="121">
        <v>0</v>
      </c>
      <c r="I133" s="121">
        <v>0</v>
      </c>
      <c r="J133" s="121">
        <v>0</v>
      </c>
      <c r="K133" s="121">
        <v>0</v>
      </c>
      <c r="L133" s="121">
        <v>0</v>
      </c>
      <c r="M133" s="121">
        <v>0</v>
      </c>
      <c r="N133" s="121">
        <v>0</v>
      </c>
      <c r="O133" s="121">
        <v>0</v>
      </c>
      <c r="P133" s="121">
        <v>0</v>
      </c>
      <c r="Q133" s="121">
        <v>0</v>
      </c>
      <c r="R133" s="121">
        <v>0</v>
      </c>
      <c r="S133" s="121">
        <v>0</v>
      </c>
      <c r="T133" s="121">
        <v>0</v>
      </c>
      <c r="U133" s="121">
        <v>0</v>
      </c>
      <c r="V133" s="121">
        <v>0</v>
      </c>
      <c r="W133" s="121">
        <v>0</v>
      </c>
      <c r="X133" s="121">
        <v>0</v>
      </c>
      <c r="Y133" s="121">
        <v>0</v>
      </c>
      <c r="Z133" s="121">
        <v>0</v>
      </c>
      <c r="AA133" s="121">
        <v>0</v>
      </c>
      <c r="AB133" s="121">
        <v>0</v>
      </c>
      <c r="AC133" s="121">
        <v>0</v>
      </c>
      <c r="AD133" s="121">
        <v>0</v>
      </c>
      <c r="AE133" s="121">
        <v>0</v>
      </c>
      <c r="AF133" s="121">
        <v>0</v>
      </c>
      <c r="AG133" s="121">
        <v>0</v>
      </c>
      <c r="AH133" s="121">
        <v>0</v>
      </c>
      <c r="AI133" s="121">
        <v>0</v>
      </c>
    </row>
    <row r="134" spans="1:35" x14ac:dyDescent="0.4">
      <c r="A134" s="104" t="s">
        <v>68</v>
      </c>
      <c r="B134" s="1326" t="s">
        <v>458</v>
      </c>
      <c r="C134" s="121">
        <v>2.0040514935418269E-3</v>
      </c>
      <c r="D134" s="121">
        <v>3.1340634443580047E-3</v>
      </c>
      <c r="E134" s="121">
        <v>2.1747883222979418E-3</v>
      </c>
      <c r="F134" s="121">
        <v>1.8254198102706589E-3</v>
      </c>
      <c r="G134" s="121">
        <v>1.8573300029974065E-3</v>
      </c>
      <c r="H134" s="121">
        <v>1.7662715534869783E-3</v>
      </c>
      <c r="I134" s="121">
        <v>1.6406968895497005E-3</v>
      </c>
      <c r="J134" s="121">
        <v>1.4626227716813254E-3</v>
      </c>
      <c r="K134" s="121">
        <v>1.7669471547221184E-3</v>
      </c>
      <c r="L134" s="121">
        <v>1.3693496708714801E-3</v>
      </c>
      <c r="M134" s="121">
        <v>1.8732334926169314E-3</v>
      </c>
      <c r="N134" s="121">
        <v>1.4329484489278984E-3</v>
      </c>
      <c r="O134" s="121">
        <v>2.8861595200358912E-3</v>
      </c>
      <c r="P134" s="121">
        <v>2.8631506437578743E-3</v>
      </c>
      <c r="Q134" s="121">
        <v>2.7882957022491101E-3</v>
      </c>
      <c r="R134" s="121">
        <v>2.316328167196788E-3</v>
      </c>
      <c r="S134" s="121">
        <v>1.9743906989529185E-3</v>
      </c>
      <c r="T134" s="121">
        <v>2.2887552725727334E-3</v>
      </c>
      <c r="U134" s="121">
        <v>1.2814034789606142E-3</v>
      </c>
      <c r="V134" s="121">
        <v>1.8127204208531844E-3</v>
      </c>
      <c r="W134" s="121">
        <v>1.8485563902814113E-3</v>
      </c>
      <c r="X134" s="121">
        <v>9.8470036773086684E-4</v>
      </c>
      <c r="Y134" s="121">
        <v>9.0769946064655669E-4</v>
      </c>
      <c r="Z134" s="121">
        <v>1.0830742278285219E-3</v>
      </c>
      <c r="AA134" s="121">
        <v>1.4043700918803378E-3</v>
      </c>
      <c r="AB134" s="121">
        <v>1.1895812417700026E-3</v>
      </c>
      <c r="AC134" s="121">
        <v>1.3616190883761271E-3</v>
      </c>
      <c r="AD134" s="121">
        <v>1.2008362144408855E-3</v>
      </c>
      <c r="AE134" s="121">
        <v>1.1395806917906272E-3</v>
      </c>
      <c r="AF134" s="121">
        <v>1.0228029778401506E-3</v>
      </c>
      <c r="AG134" s="121">
        <v>1.2489252876905386E-3</v>
      </c>
      <c r="AH134" s="121">
        <v>1.2624298900314895E-3</v>
      </c>
      <c r="AI134" s="121">
        <v>1.2325753625978776E-3</v>
      </c>
    </row>
    <row r="135" spans="1:35" x14ac:dyDescent="0.4">
      <c r="A135" s="104" t="s">
        <v>82</v>
      </c>
      <c r="B135" s="1326" t="s">
        <v>458</v>
      </c>
      <c r="C135" s="121">
        <v>0</v>
      </c>
      <c r="D135" s="121">
        <v>0</v>
      </c>
      <c r="E135" s="121">
        <v>0</v>
      </c>
      <c r="F135" s="121">
        <v>0</v>
      </c>
      <c r="G135" s="121">
        <v>0</v>
      </c>
      <c r="H135" s="121">
        <v>0</v>
      </c>
      <c r="I135" s="121">
        <v>0</v>
      </c>
      <c r="J135" s="121">
        <v>0</v>
      </c>
      <c r="K135" s="121">
        <v>0</v>
      </c>
      <c r="L135" s="121">
        <v>0</v>
      </c>
      <c r="M135" s="121">
        <v>0</v>
      </c>
      <c r="N135" s="121">
        <v>0</v>
      </c>
      <c r="O135" s="121">
        <v>0</v>
      </c>
      <c r="P135" s="121">
        <v>0</v>
      </c>
      <c r="Q135" s="121">
        <v>0</v>
      </c>
      <c r="R135" s="121">
        <v>0</v>
      </c>
      <c r="S135" s="121">
        <v>0</v>
      </c>
      <c r="T135" s="121">
        <v>0</v>
      </c>
      <c r="U135" s="121">
        <v>0</v>
      </c>
      <c r="V135" s="121">
        <v>0</v>
      </c>
      <c r="W135" s="121">
        <v>0</v>
      </c>
      <c r="X135" s="121">
        <v>0</v>
      </c>
      <c r="Y135" s="121">
        <v>0</v>
      </c>
      <c r="Z135" s="121">
        <v>0</v>
      </c>
      <c r="AA135" s="121">
        <v>0</v>
      </c>
      <c r="AB135" s="121">
        <v>0</v>
      </c>
      <c r="AC135" s="121">
        <v>0</v>
      </c>
      <c r="AD135" s="121">
        <v>0</v>
      </c>
      <c r="AE135" s="121">
        <v>0</v>
      </c>
      <c r="AF135" s="121">
        <v>0</v>
      </c>
      <c r="AG135" s="121">
        <v>0</v>
      </c>
      <c r="AH135" s="121">
        <v>0</v>
      </c>
      <c r="AI135" s="121">
        <v>0</v>
      </c>
    </row>
    <row r="136" spans="1:35" x14ac:dyDescent="0.4">
      <c r="A136" s="104" t="s">
        <v>83</v>
      </c>
      <c r="B136" s="1326" t="s">
        <v>458</v>
      </c>
      <c r="C136" s="121">
        <v>0</v>
      </c>
      <c r="D136" s="121">
        <v>0</v>
      </c>
      <c r="E136" s="121">
        <v>0</v>
      </c>
      <c r="F136" s="121">
        <v>0</v>
      </c>
      <c r="G136" s="121">
        <v>0</v>
      </c>
      <c r="H136" s="121">
        <v>0</v>
      </c>
      <c r="I136" s="121">
        <v>0</v>
      </c>
      <c r="J136" s="121">
        <v>0</v>
      </c>
      <c r="K136" s="121">
        <v>0</v>
      </c>
      <c r="L136" s="121">
        <v>0</v>
      </c>
      <c r="M136" s="121">
        <v>0</v>
      </c>
      <c r="N136" s="121">
        <v>0</v>
      </c>
      <c r="O136" s="121">
        <v>0</v>
      </c>
      <c r="P136" s="121">
        <v>0</v>
      </c>
      <c r="Q136" s="121">
        <v>0</v>
      </c>
      <c r="R136" s="121">
        <v>0</v>
      </c>
      <c r="S136" s="121">
        <v>0</v>
      </c>
      <c r="T136" s="121">
        <v>0</v>
      </c>
      <c r="U136" s="121">
        <v>0</v>
      </c>
      <c r="V136" s="121">
        <v>0</v>
      </c>
      <c r="W136" s="121">
        <v>0</v>
      </c>
      <c r="X136" s="121">
        <v>0</v>
      </c>
      <c r="Y136" s="121">
        <v>0</v>
      </c>
      <c r="Z136" s="121">
        <v>0</v>
      </c>
      <c r="AA136" s="121">
        <v>0</v>
      </c>
      <c r="AB136" s="121">
        <v>0</v>
      </c>
      <c r="AC136" s="121">
        <v>0</v>
      </c>
      <c r="AD136" s="121">
        <v>0</v>
      </c>
      <c r="AE136" s="121">
        <v>0</v>
      </c>
      <c r="AF136" s="121">
        <v>0</v>
      </c>
      <c r="AG136" s="121">
        <v>0</v>
      </c>
      <c r="AH136" s="121">
        <v>0</v>
      </c>
      <c r="AI136" s="121">
        <v>0</v>
      </c>
    </row>
    <row r="137" spans="1:35" x14ac:dyDescent="0.4">
      <c r="A137" s="104" t="s">
        <v>72</v>
      </c>
      <c r="B137" s="1326" t="s">
        <v>458</v>
      </c>
      <c r="C137" s="121">
        <v>2.6421199999999997E-5</v>
      </c>
      <c r="D137" s="121">
        <v>1.32106E-4</v>
      </c>
      <c r="E137" s="121">
        <v>2.2102349999999993E-5</v>
      </c>
      <c r="F137" s="121">
        <v>2.5150949999999997E-5</v>
      </c>
      <c r="G137" s="121">
        <v>5.0809999999999996E-5</v>
      </c>
      <c r="H137" s="121">
        <v>2.0832099999999997E-5</v>
      </c>
      <c r="I137" s="121">
        <v>2.9977899999999993E-5</v>
      </c>
      <c r="J137" s="121">
        <v>3.2772449999999988E-5</v>
      </c>
      <c r="K137" s="121">
        <v>3.2264349999999992E-5</v>
      </c>
      <c r="L137" s="121">
        <v>1.5243E-5</v>
      </c>
      <c r="M137" s="121">
        <v>4.6491149999999996E-5</v>
      </c>
      <c r="N137" s="121">
        <v>1.3210599999999999E-5</v>
      </c>
      <c r="O137" s="121">
        <v>1.295655E-5</v>
      </c>
      <c r="P137" s="121">
        <v>1.6005149999999997E-5</v>
      </c>
      <c r="Q137" s="121">
        <v>1.0771719999999997E-4</v>
      </c>
      <c r="R137" s="121">
        <v>7.1133999999999987E-6</v>
      </c>
      <c r="S137" s="121">
        <v>2.7945499999999994E-6</v>
      </c>
      <c r="T137" s="121">
        <v>7.6214999999999987E-7</v>
      </c>
      <c r="U137" s="121">
        <v>1.4988949999999996E-5</v>
      </c>
      <c r="V137" s="121">
        <v>4.572899999999999E-6</v>
      </c>
      <c r="W137" s="121">
        <v>7.6214999999999987E-7</v>
      </c>
      <c r="X137" s="121">
        <v>2.5404999999999992E-7</v>
      </c>
      <c r="Y137" s="121">
        <v>5.0809999999999984E-7</v>
      </c>
      <c r="Z137" s="121">
        <v>1.7783499999999997E-6</v>
      </c>
      <c r="AA137" s="121">
        <v>2.2864499999999995E-6</v>
      </c>
      <c r="AB137" s="121">
        <v>7.6214999999999987E-7</v>
      </c>
      <c r="AC137" s="121">
        <v>1.0161999999999997E-6</v>
      </c>
      <c r="AD137" s="121">
        <v>3.8107499999999999E-6</v>
      </c>
      <c r="AE137" s="121">
        <v>2.5404999999999992E-7</v>
      </c>
      <c r="AF137" s="121">
        <v>5.5890999999999987E-6</v>
      </c>
      <c r="AG137" s="121">
        <v>1.5242999999999997E-6</v>
      </c>
      <c r="AH137" s="121">
        <v>1.0161999999999997E-6</v>
      </c>
      <c r="AI137" s="121">
        <v>4.3188499999999993E-6</v>
      </c>
    </row>
    <row r="138" spans="1:35" x14ac:dyDescent="0.4">
      <c r="A138" s="104" t="s">
        <v>73</v>
      </c>
      <c r="B138" s="1326" t="s">
        <v>458</v>
      </c>
      <c r="C138" s="121">
        <v>8.7535113757289322E-5</v>
      </c>
      <c r="D138" s="121">
        <v>8.7462473201920177E-5</v>
      </c>
      <c r="E138" s="121">
        <v>1.1263449690801593E-4</v>
      </c>
      <c r="F138" s="121">
        <v>7.4318142280296596E-5</v>
      </c>
      <c r="G138" s="121">
        <v>8.2700534706294559E-5</v>
      </c>
      <c r="H138" s="121">
        <v>1.0322346961910003E-4</v>
      </c>
      <c r="I138" s="121">
        <v>3.3697187484584118E-5</v>
      </c>
      <c r="J138" s="121">
        <v>2.8687387501164326E-5</v>
      </c>
      <c r="K138" s="121">
        <v>5.7582702418251051E-5</v>
      </c>
      <c r="L138" s="121">
        <v>1.2125098996448964E-4</v>
      </c>
      <c r="M138" s="121">
        <v>1.4150410791425994E-4</v>
      </c>
      <c r="N138" s="121">
        <v>1.155781064518183E-4</v>
      </c>
      <c r="O138" s="121">
        <v>3.7280117378814956E-5</v>
      </c>
      <c r="P138" s="121">
        <v>1.4447557091988394E-5</v>
      </c>
      <c r="Q138" s="121">
        <v>6.4519160011434112E-5</v>
      </c>
      <c r="R138" s="121">
        <v>1.9101015154088355E-4</v>
      </c>
      <c r="S138" s="121">
        <v>1.5722378177670398E-4</v>
      </c>
      <c r="T138" s="121">
        <v>2.2251271872062214E-5</v>
      </c>
      <c r="U138" s="121">
        <v>1.6010683363824096E-5</v>
      </c>
      <c r="V138" s="121">
        <v>1.3890006511335532E-5</v>
      </c>
      <c r="W138" s="121">
        <v>2.378728505422418E-5</v>
      </c>
      <c r="X138" s="121">
        <v>3.0105983723245058E-5</v>
      </c>
      <c r="Y138" s="121">
        <v>3.1431507562572739E-5</v>
      </c>
      <c r="Z138" s="121">
        <v>3.0163592070847532E-5</v>
      </c>
      <c r="AA138" s="121">
        <v>2.31692964340399E-5</v>
      </c>
      <c r="AB138" s="121">
        <v>2.5097303124365564E-5</v>
      </c>
      <c r="AC138" s="121">
        <v>2.2349301421618553E-5</v>
      </c>
      <c r="AD138" s="121">
        <v>2.0806067842004621E-5</v>
      </c>
      <c r="AE138" s="121">
        <v>2.5835938539950573E-5</v>
      </c>
      <c r="AF138" s="121">
        <v>2.562401652275083E-5</v>
      </c>
      <c r="AG138" s="121">
        <v>2.5967725935999918E-5</v>
      </c>
      <c r="AH138" s="121">
        <v>2.4649195423029549E-5</v>
      </c>
      <c r="AI138" s="121">
        <v>2.3953304318961848E-5</v>
      </c>
    </row>
    <row r="139" spans="1:35" x14ac:dyDescent="0.4">
      <c r="A139" s="104" t="s">
        <v>84</v>
      </c>
      <c r="B139" s="1326" t="s">
        <v>458</v>
      </c>
      <c r="C139" s="121">
        <v>0</v>
      </c>
      <c r="D139" s="121">
        <v>0</v>
      </c>
      <c r="E139" s="121">
        <v>0</v>
      </c>
      <c r="F139" s="121">
        <v>0</v>
      </c>
      <c r="G139" s="121">
        <v>0</v>
      </c>
      <c r="H139" s="121">
        <v>0</v>
      </c>
      <c r="I139" s="121">
        <v>0</v>
      </c>
      <c r="J139" s="121">
        <v>0</v>
      </c>
      <c r="K139" s="121">
        <v>0</v>
      </c>
      <c r="L139" s="121">
        <v>0</v>
      </c>
      <c r="M139" s="121">
        <v>0</v>
      </c>
      <c r="N139" s="121">
        <v>0</v>
      </c>
      <c r="O139" s="121">
        <v>0</v>
      </c>
      <c r="P139" s="121">
        <v>0</v>
      </c>
      <c r="Q139" s="121">
        <v>0</v>
      </c>
      <c r="R139" s="121">
        <v>0</v>
      </c>
      <c r="S139" s="121">
        <v>0</v>
      </c>
      <c r="T139" s="121">
        <v>0</v>
      </c>
      <c r="U139" s="121">
        <v>0</v>
      </c>
      <c r="V139" s="121">
        <v>0</v>
      </c>
      <c r="W139" s="121">
        <v>0</v>
      </c>
      <c r="X139" s="121">
        <v>0</v>
      </c>
      <c r="Y139" s="121">
        <v>0</v>
      </c>
      <c r="Z139" s="121">
        <v>0</v>
      </c>
      <c r="AA139" s="121">
        <v>0</v>
      </c>
      <c r="AB139" s="121">
        <v>0</v>
      </c>
      <c r="AC139" s="121">
        <v>0</v>
      </c>
      <c r="AD139" s="121">
        <v>0</v>
      </c>
      <c r="AE139" s="121">
        <v>0</v>
      </c>
      <c r="AF139" s="121">
        <v>0</v>
      </c>
      <c r="AG139" s="121">
        <v>0</v>
      </c>
      <c r="AH139" s="121">
        <v>0</v>
      </c>
      <c r="AI139" s="121">
        <v>0</v>
      </c>
    </row>
    <row r="140" spans="1:35" x14ac:dyDescent="0.4">
      <c r="A140" s="104" t="s">
        <v>75</v>
      </c>
      <c r="B140" s="1326" t="s">
        <v>458</v>
      </c>
      <c r="C140" s="121">
        <v>4.4280914999999984E-4</v>
      </c>
      <c r="D140" s="121">
        <v>4.4585774999999995E-4</v>
      </c>
      <c r="E140" s="121">
        <v>2.3169359999999993E-4</v>
      </c>
      <c r="F140" s="121">
        <v>4.603385999999999E-4</v>
      </c>
      <c r="G140" s="121">
        <v>4.9311104999999998E-4</v>
      </c>
      <c r="H140" s="121">
        <v>4.9285699999999987E-4</v>
      </c>
      <c r="I140" s="121">
        <v>5.177538999999999E-4</v>
      </c>
      <c r="J140" s="121">
        <v>4.1791224999999997E-4</v>
      </c>
      <c r="K140" s="121">
        <v>3.9250724999999998E-4</v>
      </c>
      <c r="L140" s="121">
        <v>4.0495569999999994E-4</v>
      </c>
      <c r="M140" s="121">
        <v>1.2062293999999998E-3</v>
      </c>
      <c r="N140" s="121">
        <v>1.2102941999999996E-3</v>
      </c>
      <c r="O140" s="121">
        <v>1.2374775499999998E-3</v>
      </c>
      <c r="P140" s="121">
        <v>1.2766012499999999E-3</v>
      </c>
      <c r="Q140" s="121">
        <v>1.1777757999999999E-3</v>
      </c>
      <c r="R140" s="121">
        <v>1.16634355E-3</v>
      </c>
      <c r="S140" s="121">
        <v>9.7377364999999983E-4</v>
      </c>
      <c r="T140" s="121">
        <v>8.9552624999999987E-4</v>
      </c>
      <c r="U140" s="121">
        <v>8.4319194999999986E-4</v>
      </c>
      <c r="V140" s="121">
        <v>1.0786962999999998E-3</v>
      </c>
      <c r="W140" s="121">
        <v>1.1350953999999997E-3</v>
      </c>
      <c r="X140" s="121">
        <v>1.1020688999999998E-3</v>
      </c>
      <c r="Y140" s="121">
        <v>1.14144665E-3</v>
      </c>
      <c r="Z140" s="121">
        <v>9.0873684999999991E-4</v>
      </c>
      <c r="AA140" s="121">
        <v>8.9705054999999968E-4</v>
      </c>
      <c r="AB140" s="121">
        <v>9.0568824999999985E-4</v>
      </c>
      <c r="AC140" s="121">
        <v>9.1839074999999965E-4</v>
      </c>
      <c r="AD140" s="121">
        <v>9.3871474999999982E-4</v>
      </c>
      <c r="AE140" s="121">
        <v>9.4760649999999988E-4</v>
      </c>
      <c r="AF140" s="121">
        <v>9.5167129999999996E-4</v>
      </c>
      <c r="AG140" s="121">
        <v>9.4481194999999994E-4</v>
      </c>
      <c r="AH140" s="121">
        <v>9.7758439999999979E-4</v>
      </c>
      <c r="AI140" s="121">
        <v>9.7834654999999992E-4</v>
      </c>
    </row>
    <row r="141" spans="1:35" x14ac:dyDescent="0.4">
      <c r="A141" s="104" t="s">
        <v>85</v>
      </c>
      <c r="B141" s="1326" t="s">
        <v>458</v>
      </c>
      <c r="C141" s="121">
        <v>0</v>
      </c>
      <c r="D141" s="121">
        <v>0</v>
      </c>
      <c r="E141" s="121">
        <v>0</v>
      </c>
      <c r="F141" s="121">
        <v>0</v>
      </c>
      <c r="G141" s="121">
        <v>0</v>
      </c>
      <c r="H141" s="121">
        <v>0</v>
      </c>
      <c r="I141" s="121">
        <v>0</v>
      </c>
      <c r="J141" s="121">
        <v>0</v>
      </c>
      <c r="K141" s="121">
        <v>0</v>
      </c>
      <c r="L141" s="121">
        <v>0</v>
      </c>
      <c r="M141" s="121">
        <v>0</v>
      </c>
      <c r="N141" s="121">
        <v>0</v>
      </c>
      <c r="O141" s="121">
        <v>0</v>
      </c>
      <c r="P141" s="121">
        <v>0</v>
      </c>
      <c r="Q141" s="121">
        <v>0</v>
      </c>
      <c r="R141" s="121">
        <v>0</v>
      </c>
      <c r="S141" s="121">
        <v>0</v>
      </c>
      <c r="T141" s="121">
        <v>0</v>
      </c>
      <c r="U141" s="121">
        <v>0</v>
      </c>
      <c r="V141" s="121">
        <v>0</v>
      </c>
      <c r="W141" s="121">
        <v>0</v>
      </c>
      <c r="X141" s="121">
        <v>0</v>
      </c>
      <c r="Y141" s="121">
        <v>0</v>
      </c>
      <c r="Z141" s="121">
        <v>0</v>
      </c>
      <c r="AA141" s="121">
        <v>0</v>
      </c>
      <c r="AB141" s="121">
        <v>0</v>
      </c>
      <c r="AC141" s="121">
        <v>0</v>
      </c>
      <c r="AD141" s="121">
        <v>0</v>
      </c>
      <c r="AE141" s="121">
        <v>0</v>
      </c>
      <c r="AF141" s="121">
        <v>0</v>
      </c>
      <c r="AG141" s="121">
        <v>0</v>
      </c>
      <c r="AH141" s="121">
        <v>0</v>
      </c>
      <c r="AI141" s="121">
        <v>0</v>
      </c>
    </row>
    <row r="142" spans="1:35" x14ac:dyDescent="0.4">
      <c r="A142" s="104" t="s">
        <v>86</v>
      </c>
      <c r="B142" s="1326" t="s">
        <v>458</v>
      </c>
      <c r="C142" s="121">
        <v>0</v>
      </c>
      <c r="D142" s="121">
        <v>0</v>
      </c>
      <c r="E142" s="121">
        <v>0</v>
      </c>
      <c r="F142" s="121">
        <v>0</v>
      </c>
      <c r="G142" s="121">
        <v>0</v>
      </c>
      <c r="H142" s="121">
        <v>0</v>
      </c>
      <c r="I142" s="121">
        <v>0</v>
      </c>
      <c r="J142" s="121">
        <v>0</v>
      </c>
      <c r="K142" s="121">
        <v>0</v>
      </c>
      <c r="L142" s="121">
        <v>0</v>
      </c>
      <c r="M142" s="121">
        <v>0</v>
      </c>
      <c r="N142" s="121">
        <v>0</v>
      </c>
      <c r="O142" s="121">
        <v>0</v>
      </c>
      <c r="P142" s="121">
        <v>0</v>
      </c>
      <c r="Q142" s="121">
        <v>0</v>
      </c>
      <c r="R142" s="121">
        <v>0</v>
      </c>
      <c r="S142" s="121">
        <v>0</v>
      </c>
      <c r="T142" s="121">
        <v>0</v>
      </c>
      <c r="U142" s="121">
        <v>0</v>
      </c>
      <c r="V142" s="121">
        <v>0</v>
      </c>
      <c r="W142" s="121">
        <v>0</v>
      </c>
      <c r="X142" s="121">
        <v>0</v>
      </c>
      <c r="Y142" s="121">
        <v>0</v>
      </c>
      <c r="Z142" s="121">
        <v>0</v>
      </c>
      <c r="AA142" s="121">
        <v>0</v>
      </c>
      <c r="AB142" s="121">
        <v>0</v>
      </c>
      <c r="AC142" s="121">
        <v>0</v>
      </c>
      <c r="AD142" s="121">
        <v>0</v>
      </c>
      <c r="AE142" s="121">
        <v>0</v>
      </c>
      <c r="AF142" s="121">
        <v>0</v>
      </c>
      <c r="AG142" s="121">
        <v>0</v>
      </c>
      <c r="AH142" s="121">
        <v>0</v>
      </c>
      <c r="AI142" s="121">
        <v>0</v>
      </c>
    </row>
    <row r="143" spans="1:35" x14ac:dyDescent="0.4">
      <c r="A143" s="104" t="s">
        <v>87</v>
      </c>
      <c r="B143" s="1326" t="s">
        <v>458</v>
      </c>
      <c r="C143" s="121">
        <v>0</v>
      </c>
      <c r="D143" s="121">
        <v>0</v>
      </c>
      <c r="E143" s="121">
        <v>0</v>
      </c>
      <c r="F143" s="121">
        <v>0</v>
      </c>
      <c r="G143" s="121">
        <v>0</v>
      </c>
      <c r="H143" s="121">
        <v>0</v>
      </c>
      <c r="I143" s="121">
        <v>0</v>
      </c>
      <c r="J143" s="121">
        <v>0</v>
      </c>
      <c r="K143" s="121">
        <v>0</v>
      </c>
      <c r="L143" s="121">
        <v>0</v>
      </c>
      <c r="M143" s="121">
        <v>0</v>
      </c>
      <c r="N143" s="121">
        <v>0</v>
      </c>
      <c r="O143" s="121">
        <v>0</v>
      </c>
      <c r="P143" s="121">
        <v>0</v>
      </c>
      <c r="Q143" s="121">
        <v>0</v>
      </c>
      <c r="R143" s="121">
        <v>0</v>
      </c>
      <c r="S143" s="121">
        <v>0</v>
      </c>
      <c r="T143" s="121">
        <v>0</v>
      </c>
      <c r="U143" s="121">
        <v>0</v>
      </c>
      <c r="V143" s="121">
        <v>0</v>
      </c>
      <c r="W143" s="121">
        <v>0</v>
      </c>
      <c r="X143" s="121">
        <v>0</v>
      </c>
      <c r="Y143" s="121">
        <v>0</v>
      </c>
      <c r="Z143" s="121">
        <v>0</v>
      </c>
      <c r="AA143" s="121">
        <v>0</v>
      </c>
      <c r="AB143" s="121">
        <v>0</v>
      </c>
      <c r="AC143" s="121">
        <v>0</v>
      </c>
      <c r="AD143" s="121">
        <v>0</v>
      </c>
      <c r="AE143" s="121">
        <v>0</v>
      </c>
      <c r="AF143" s="121">
        <v>0</v>
      </c>
      <c r="AG143" s="121">
        <v>0</v>
      </c>
      <c r="AH143" s="121">
        <v>0</v>
      </c>
      <c r="AI143" s="121">
        <v>0</v>
      </c>
    </row>
    <row r="144" spans="1:35" x14ac:dyDescent="0.4">
      <c r="A144" s="104" t="s">
        <v>88</v>
      </c>
      <c r="B144" s="1326" t="s">
        <v>458</v>
      </c>
      <c r="C144" s="121">
        <v>0</v>
      </c>
      <c r="D144" s="121">
        <v>0</v>
      </c>
      <c r="E144" s="121">
        <v>0</v>
      </c>
      <c r="F144" s="121">
        <v>0</v>
      </c>
      <c r="G144" s="121">
        <v>0</v>
      </c>
      <c r="H144" s="121">
        <v>0</v>
      </c>
      <c r="I144" s="121">
        <v>0</v>
      </c>
      <c r="J144" s="121">
        <v>0</v>
      </c>
      <c r="K144" s="121">
        <v>0</v>
      </c>
      <c r="L144" s="121">
        <v>0</v>
      </c>
      <c r="M144" s="121">
        <v>0</v>
      </c>
      <c r="N144" s="121">
        <v>0</v>
      </c>
      <c r="O144" s="121">
        <v>0</v>
      </c>
      <c r="P144" s="121">
        <v>0</v>
      </c>
      <c r="Q144" s="121">
        <v>0</v>
      </c>
      <c r="R144" s="121">
        <v>0</v>
      </c>
      <c r="S144" s="121">
        <v>0</v>
      </c>
      <c r="T144" s="121">
        <v>0</v>
      </c>
      <c r="U144" s="121">
        <v>0</v>
      </c>
      <c r="V144" s="121">
        <v>0</v>
      </c>
      <c r="W144" s="121">
        <v>0</v>
      </c>
      <c r="X144" s="121">
        <v>0</v>
      </c>
      <c r="Y144" s="121">
        <v>0</v>
      </c>
      <c r="Z144" s="121">
        <v>0</v>
      </c>
      <c r="AA144" s="121">
        <v>0</v>
      </c>
      <c r="AB144" s="121">
        <v>0</v>
      </c>
      <c r="AC144" s="121">
        <v>0</v>
      </c>
      <c r="AD144" s="121">
        <v>0</v>
      </c>
      <c r="AE144" s="121">
        <v>0</v>
      </c>
      <c r="AF144" s="121">
        <v>0</v>
      </c>
      <c r="AG144" s="121">
        <v>0</v>
      </c>
      <c r="AH144" s="121">
        <v>0</v>
      </c>
      <c r="AI144" s="121">
        <v>0</v>
      </c>
    </row>
    <row r="145" spans="1:35" x14ac:dyDescent="0.4">
      <c r="A145" s="104" t="s">
        <v>69</v>
      </c>
      <c r="B145" s="1326" t="s">
        <v>458</v>
      </c>
      <c r="C145" s="121">
        <v>1.8117031062125284E-3</v>
      </c>
      <c r="D145" s="121">
        <v>2.9189274760343174E-3</v>
      </c>
      <c r="E145" s="121">
        <v>4.8911036502732241E-3</v>
      </c>
      <c r="F145" s="121">
        <v>3.7774956275826192E-3</v>
      </c>
      <c r="G145" s="121">
        <v>1.9685655159825013E-3</v>
      </c>
      <c r="H145" s="121">
        <v>2.2681391420698339E-3</v>
      </c>
      <c r="I145" s="121">
        <v>2.2301732979345596E-3</v>
      </c>
      <c r="J145" s="121">
        <v>2.1429650102940722E-3</v>
      </c>
      <c r="K145" s="121">
        <v>1.06736385076528E-3</v>
      </c>
      <c r="L145" s="121">
        <v>1.3889715415320938E-3</v>
      </c>
      <c r="M145" s="121">
        <v>2.640852490463193E-3</v>
      </c>
      <c r="N145" s="121">
        <v>2.1263420096992742E-3</v>
      </c>
      <c r="O145" s="121">
        <v>1.2053882909041161E-3</v>
      </c>
      <c r="P145" s="121">
        <v>9.0336545103424874E-4</v>
      </c>
      <c r="Q145" s="121">
        <v>9.7205170978612184E-4</v>
      </c>
      <c r="R145" s="121">
        <v>1.3131236280957434E-3</v>
      </c>
      <c r="S145" s="121">
        <v>9.7974862001478724E-4</v>
      </c>
      <c r="T145" s="121">
        <v>3.6831429439687776E-4</v>
      </c>
      <c r="U145" s="121">
        <v>1.5839191792112664E-4</v>
      </c>
      <c r="V145" s="121">
        <v>4.0885038091197201E-5</v>
      </c>
      <c r="W145" s="121">
        <v>1.3551709362201214E-4</v>
      </c>
      <c r="X145" s="121">
        <v>0</v>
      </c>
      <c r="Y145" s="121">
        <v>0</v>
      </c>
      <c r="Z145" s="121">
        <v>0</v>
      </c>
      <c r="AA145" s="121">
        <v>0</v>
      </c>
      <c r="AB145" s="121">
        <v>9.7570419250214294E-7</v>
      </c>
      <c r="AC145" s="121">
        <v>1.6857413295752611E-6</v>
      </c>
      <c r="AD145" s="121">
        <v>0</v>
      </c>
      <c r="AE145" s="121">
        <v>0</v>
      </c>
      <c r="AF145" s="121">
        <v>0</v>
      </c>
      <c r="AG145" s="121">
        <v>1.126973137584259E-6</v>
      </c>
      <c r="AH145" s="121">
        <v>1.8280631945331437E-6</v>
      </c>
      <c r="AI145" s="121">
        <v>2.4134749999999991E-5</v>
      </c>
    </row>
    <row r="146" spans="1:35" x14ac:dyDescent="0.4">
      <c r="A146" s="104" t="s">
        <v>89</v>
      </c>
      <c r="B146" s="1326" t="s">
        <v>458</v>
      </c>
      <c r="C146" s="121">
        <v>0</v>
      </c>
      <c r="D146" s="121">
        <v>0</v>
      </c>
      <c r="E146" s="121">
        <v>0</v>
      </c>
      <c r="F146" s="121">
        <v>0</v>
      </c>
      <c r="G146" s="121">
        <v>0</v>
      </c>
      <c r="H146" s="121">
        <v>0</v>
      </c>
      <c r="I146" s="121">
        <v>0</v>
      </c>
      <c r="J146" s="121">
        <v>0</v>
      </c>
      <c r="K146" s="121">
        <v>0</v>
      </c>
      <c r="L146" s="121">
        <v>0</v>
      </c>
      <c r="M146" s="121">
        <v>0</v>
      </c>
      <c r="N146" s="121">
        <v>0</v>
      </c>
      <c r="O146" s="121">
        <v>0</v>
      </c>
      <c r="P146" s="121">
        <v>0</v>
      </c>
      <c r="Q146" s="121">
        <v>0</v>
      </c>
      <c r="R146" s="121">
        <v>0</v>
      </c>
      <c r="S146" s="121">
        <v>0</v>
      </c>
      <c r="T146" s="121">
        <v>0</v>
      </c>
      <c r="U146" s="121">
        <v>0</v>
      </c>
      <c r="V146" s="121">
        <v>0</v>
      </c>
      <c r="W146" s="121">
        <v>0</v>
      </c>
      <c r="X146" s="121">
        <v>0</v>
      </c>
      <c r="Y146" s="121">
        <v>0</v>
      </c>
      <c r="Z146" s="121">
        <v>0</v>
      </c>
      <c r="AA146" s="121">
        <v>0</v>
      </c>
      <c r="AB146" s="121">
        <v>0</v>
      </c>
      <c r="AC146" s="121">
        <v>0</v>
      </c>
      <c r="AD146" s="121">
        <v>0</v>
      </c>
      <c r="AE146" s="121">
        <v>0</v>
      </c>
      <c r="AF146" s="121">
        <v>0</v>
      </c>
      <c r="AG146" s="121">
        <v>0</v>
      </c>
      <c r="AH146" s="121">
        <v>0</v>
      </c>
      <c r="AI146" s="121">
        <v>0</v>
      </c>
    </row>
    <row r="147" spans="1:35" x14ac:dyDescent="0.4">
      <c r="A147" s="104" t="s">
        <v>90</v>
      </c>
      <c r="B147" s="1326" t="s">
        <v>458</v>
      </c>
      <c r="C147" s="121">
        <v>3.8055227775442592E-5</v>
      </c>
      <c r="D147" s="121">
        <v>4.0624566106471998E-5</v>
      </c>
      <c r="E147" s="121">
        <v>4.8854756661434515E-5</v>
      </c>
      <c r="F147" s="121">
        <v>2.9592196088141368E-5</v>
      </c>
      <c r="G147" s="121">
        <v>2.2708001132522519E-5</v>
      </c>
      <c r="H147" s="121">
        <v>1.5801279821609358E-5</v>
      </c>
      <c r="I147" s="121">
        <v>1.6765805877157042E-5</v>
      </c>
      <c r="J147" s="121">
        <v>1.5729510798888001E-5</v>
      </c>
      <c r="K147" s="121">
        <v>2.0510216696594318E-5</v>
      </c>
      <c r="L147" s="121">
        <v>1.3712917761527016E-5</v>
      </c>
      <c r="M147" s="121">
        <v>2.499578011261054E-6</v>
      </c>
      <c r="N147" s="121">
        <v>1.2251914518773967E-5</v>
      </c>
      <c r="O147" s="121">
        <v>2.0033510785014392E-5</v>
      </c>
      <c r="P147" s="121">
        <v>1.6319694246581621E-5</v>
      </c>
      <c r="Q147" s="121">
        <v>6.8083527453698907E-6</v>
      </c>
      <c r="R147" s="121">
        <v>4.6754202016111597E-6</v>
      </c>
      <c r="S147" s="121">
        <v>1.1337619925096564E-5</v>
      </c>
      <c r="T147" s="121">
        <v>7.1818033674535671E-6</v>
      </c>
      <c r="U147" s="121">
        <v>8.3814449310460265E-6</v>
      </c>
      <c r="V147" s="121">
        <v>3.4401741014188566E-6</v>
      </c>
      <c r="W147" s="121">
        <v>3.2714814947846108E-6</v>
      </c>
      <c r="X147" s="121">
        <v>2.7002240184533393E-6</v>
      </c>
      <c r="Y147" s="121">
        <v>1.2310037292512959E-5</v>
      </c>
      <c r="Z147" s="121">
        <v>5.9274641515677396E-6</v>
      </c>
      <c r="AA147" s="121">
        <v>7.7742400863931613E-6</v>
      </c>
      <c r="AB147" s="121">
        <v>1.679050222785559E-5</v>
      </c>
      <c r="AC147" s="121">
        <v>1.6517267935422795E-5</v>
      </c>
      <c r="AD147" s="121">
        <v>1.68605428529903E-5</v>
      </c>
      <c r="AE147" s="121">
        <v>2.1582691289571353E-5</v>
      </c>
      <c r="AF147" s="121">
        <v>2.0198591132313779E-5</v>
      </c>
      <c r="AG147" s="121">
        <v>1.8089207058917883E-5</v>
      </c>
      <c r="AH147" s="121">
        <v>2.0720051811783293E-5</v>
      </c>
      <c r="AI147" s="121">
        <v>2.0754441939271733E-5</v>
      </c>
    </row>
    <row r="148" spans="1:35" x14ac:dyDescent="0.4">
      <c r="A148" s="104" t="s">
        <v>91</v>
      </c>
      <c r="B148" s="1326" t="s">
        <v>458</v>
      </c>
      <c r="C148" s="121">
        <v>0</v>
      </c>
      <c r="D148" s="121">
        <v>0</v>
      </c>
      <c r="E148" s="121">
        <v>0</v>
      </c>
      <c r="F148" s="121">
        <v>0</v>
      </c>
      <c r="G148" s="121">
        <v>0</v>
      </c>
      <c r="H148" s="121">
        <v>0</v>
      </c>
      <c r="I148" s="121">
        <v>0</v>
      </c>
      <c r="J148" s="121">
        <v>0</v>
      </c>
      <c r="K148" s="121">
        <v>0</v>
      </c>
      <c r="L148" s="121">
        <v>0</v>
      </c>
      <c r="M148" s="121">
        <v>0</v>
      </c>
      <c r="N148" s="121">
        <v>0</v>
      </c>
      <c r="O148" s="121">
        <v>0</v>
      </c>
      <c r="P148" s="121">
        <v>0</v>
      </c>
      <c r="Q148" s="121">
        <v>0</v>
      </c>
      <c r="R148" s="121">
        <v>0</v>
      </c>
      <c r="S148" s="121">
        <v>0</v>
      </c>
      <c r="T148" s="121">
        <v>0</v>
      </c>
      <c r="U148" s="121">
        <v>0</v>
      </c>
      <c r="V148" s="121">
        <v>0</v>
      </c>
      <c r="W148" s="121">
        <v>0</v>
      </c>
      <c r="X148" s="121">
        <v>0</v>
      </c>
      <c r="Y148" s="121">
        <v>0</v>
      </c>
      <c r="Z148" s="121">
        <v>0</v>
      </c>
      <c r="AA148" s="121">
        <v>0</v>
      </c>
      <c r="AB148" s="121">
        <v>0</v>
      </c>
      <c r="AC148" s="121">
        <v>0</v>
      </c>
      <c r="AD148" s="121">
        <v>0</v>
      </c>
      <c r="AE148" s="121">
        <v>0</v>
      </c>
      <c r="AF148" s="121">
        <v>0</v>
      </c>
      <c r="AG148" s="121">
        <v>0</v>
      </c>
      <c r="AH148" s="121">
        <v>0</v>
      </c>
      <c r="AI148" s="121">
        <v>0</v>
      </c>
    </row>
    <row r="149" spans="1:35" x14ac:dyDescent="0.4">
      <c r="A149" s="104" t="s">
        <v>92</v>
      </c>
      <c r="B149" s="1326" t="s">
        <v>458</v>
      </c>
      <c r="C149" s="121">
        <v>0</v>
      </c>
      <c r="D149" s="121">
        <v>0</v>
      </c>
      <c r="E149" s="121">
        <v>0</v>
      </c>
      <c r="F149" s="121">
        <v>0</v>
      </c>
      <c r="G149" s="121">
        <v>0</v>
      </c>
      <c r="H149" s="121">
        <v>0</v>
      </c>
      <c r="I149" s="121">
        <v>0</v>
      </c>
      <c r="J149" s="121">
        <v>0</v>
      </c>
      <c r="K149" s="121">
        <v>0</v>
      </c>
      <c r="L149" s="121">
        <v>0</v>
      </c>
      <c r="M149" s="121">
        <v>0</v>
      </c>
      <c r="N149" s="121">
        <v>0</v>
      </c>
      <c r="O149" s="121">
        <v>0</v>
      </c>
      <c r="P149" s="121">
        <v>0</v>
      </c>
      <c r="Q149" s="121">
        <v>0</v>
      </c>
      <c r="R149" s="121">
        <v>0</v>
      </c>
      <c r="S149" s="121">
        <v>0</v>
      </c>
      <c r="T149" s="121">
        <v>0</v>
      </c>
      <c r="U149" s="121">
        <v>0</v>
      </c>
      <c r="V149" s="121">
        <v>0</v>
      </c>
      <c r="W149" s="121">
        <v>0</v>
      </c>
      <c r="X149" s="121">
        <v>0</v>
      </c>
      <c r="Y149" s="121">
        <v>0</v>
      </c>
      <c r="Z149" s="121">
        <v>0</v>
      </c>
      <c r="AA149" s="121">
        <v>0</v>
      </c>
      <c r="AB149" s="121">
        <v>0</v>
      </c>
      <c r="AC149" s="121">
        <v>0</v>
      </c>
      <c r="AD149" s="121">
        <v>0</v>
      </c>
      <c r="AE149" s="121">
        <v>0</v>
      </c>
      <c r="AF149" s="121">
        <v>0</v>
      </c>
      <c r="AG149" s="121">
        <v>0</v>
      </c>
      <c r="AH149" s="121">
        <v>0</v>
      </c>
      <c r="AI149" s="121">
        <v>0</v>
      </c>
    </row>
    <row r="150" spans="1:35" x14ac:dyDescent="0.4">
      <c r="A150" s="104" t="s">
        <v>62</v>
      </c>
      <c r="B150" s="1326" t="s">
        <v>458</v>
      </c>
      <c r="C150" s="121">
        <v>2.6298439495149239E-3</v>
      </c>
      <c r="D150" s="121">
        <v>3.3944220074241648E-3</v>
      </c>
      <c r="E150" s="121">
        <v>3.4152258756312112E-3</v>
      </c>
      <c r="F150" s="121">
        <v>3.0803529336881049E-3</v>
      </c>
      <c r="G150" s="121">
        <v>2.9976808157625486E-3</v>
      </c>
      <c r="H150" s="121">
        <v>2.9233279158951183E-3</v>
      </c>
      <c r="I150" s="121">
        <v>3.0409044103430669E-3</v>
      </c>
      <c r="J150" s="121">
        <v>2.9234222795189646E-3</v>
      </c>
      <c r="K150" s="121">
        <v>3.7601802591724649E-3</v>
      </c>
      <c r="L150" s="121">
        <v>3.6021126734642858E-3</v>
      </c>
      <c r="M150" s="121">
        <v>3.9263947273084163E-3</v>
      </c>
      <c r="N150" s="121">
        <v>4.1171478338655745E-3</v>
      </c>
      <c r="O150" s="121">
        <v>2.1239529082702842E-3</v>
      </c>
      <c r="P150" s="121">
        <v>2.1003659338914506E-3</v>
      </c>
      <c r="Q150" s="121">
        <v>2.2706451883042107E-3</v>
      </c>
      <c r="R150" s="121">
        <v>2.0576616750008054E-3</v>
      </c>
      <c r="S150" s="121">
        <v>2.2100128488042907E-3</v>
      </c>
      <c r="T150" s="121">
        <v>2.1316656788990763E-3</v>
      </c>
      <c r="U150" s="121">
        <v>1.9081146914229827E-3</v>
      </c>
      <c r="V150" s="121">
        <v>2.1459687143313916E-3</v>
      </c>
      <c r="W150" s="121">
        <v>2.2983100246609565E-3</v>
      </c>
      <c r="X150" s="121">
        <v>2.1344235429232852E-3</v>
      </c>
      <c r="Y150" s="121">
        <v>2.2717232351975999E-3</v>
      </c>
      <c r="Z150" s="121">
        <v>2.2008231774210693E-3</v>
      </c>
      <c r="AA150" s="121">
        <v>2.1406717986617472E-3</v>
      </c>
      <c r="AB150" s="121">
        <v>2.1807895968310991E-3</v>
      </c>
      <c r="AC150" s="121">
        <v>2.2061243852339318E-3</v>
      </c>
      <c r="AD150" s="121">
        <v>2.2183899839017304E-3</v>
      </c>
      <c r="AE150" s="121">
        <v>2.2850940318536184E-3</v>
      </c>
      <c r="AF150" s="121">
        <v>2.1349886978638362E-3</v>
      </c>
      <c r="AG150" s="121">
        <v>2.228211937330915E-3</v>
      </c>
      <c r="AH150" s="121">
        <v>2.2322610686538796E-3</v>
      </c>
      <c r="AI150" s="121">
        <v>2.0982242850220365E-3</v>
      </c>
    </row>
    <row r="151" spans="1:35" x14ac:dyDescent="0.4">
      <c r="A151" s="104" t="s">
        <v>94</v>
      </c>
      <c r="B151" s="1326" t="s">
        <v>458</v>
      </c>
      <c r="C151" s="121">
        <v>1.042780645E-2</v>
      </c>
      <c r="D151" s="121">
        <v>9.389268499999999E-3</v>
      </c>
      <c r="E151" s="121">
        <v>9.8135379999999984E-3</v>
      </c>
      <c r="F151" s="121">
        <v>1.068236815E-2</v>
      </c>
      <c r="G151" s="121">
        <v>1.2774201249999999E-2</v>
      </c>
      <c r="H151" s="121">
        <v>1.2646920399999999E-2</v>
      </c>
      <c r="I151" s="121">
        <v>1.3753710400000001E-2</v>
      </c>
      <c r="J151" s="121">
        <v>1.1623139649999999E-2</v>
      </c>
      <c r="K151" s="121">
        <v>1.2028962650000001E-2</v>
      </c>
      <c r="L151" s="121">
        <v>1.15991592E-2</v>
      </c>
      <c r="M151" s="121">
        <v>8.4706328000000008E-3</v>
      </c>
      <c r="N151" s="121">
        <v>5.5819108999999988E-3</v>
      </c>
      <c r="O151" s="121">
        <v>5.6981238500000003E-3</v>
      </c>
      <c r="P151" s="121">
        <v>6.0449180499999996E-3</v>
      </c>
      <c r="Q151" s="121">
        <v>6.109480799999999E-3</v>
      </c>
      <c r="R151" s="121">
        <v>6.3271495000000004E-3</v>
      </c>
      <c r="S151" s="121">
        <v>6.5540414499999991E-3</v>
      </c>
      <c r="T151" s="121">
        <v>6.290256499999999E-3</v>
      </c>
      <c r="U151" s="121">
        <v>5.5081248999999995E-3</v>
      </c>
      <c r="V151" s="121">
        <v>9.389268499999999E-3</v>
      </c>
      <c r="W151" s="121">
        <v>1.2857210499999999E-2</v>
      </c>
      <c r="X151" s="121">
        <v>1.2857210499999999E-2</v>
      </c>
      <c r="Y151" s="121">
        <v>1.2857210499999999E-2</v>
      </c>
      <c r="Z151" s="121">
        <v>1.2506726999999999E-2</v>
      </c>
      <c r="AA151" s="121">
        <v>1.2506726999999999E-2</v>
      </c>
      <c r="AB151" s="121">
        <v>1.2506726999999999E-2</v>
      </c>
      <c r="AC151" s="121">
        <v>5.1723985999999993E-3</v>
      </c>
      <c r="AD151" s="121">
        <v>5.1189037499999989E-3</v>
      </c>
      <c r="AE151" s="121">
        <v>5.1189037499999989E-3</v>
      </c>
      <c r="AF151" s="121">
        <v>5.1189037499999989E-3</v>
      </c>
      <c r="AG151" s="121">
        <v>5.1189037499999989E-3</v>
      </c>
      <c r="AH151" s="121">
        <v>5.8844334999999985E-3</v>
      </c>
      <c r="AI151" s="121">
        <v>5.8844334999999985E-3</v>
      </c>
    </row>
    <row r="152" spans="1:35" ht="16.5" thickBot="1" x14ac:dyDescent="0.45">
      <c r="A152" s="138" t="s">
        <v>63</v>
      </c>
      <c r="B152" s="1360" t="s">
        <v>458</v>
      </c>
      <c r="C152" s="129">
        <v>0</v>
      </c>
      <c r="D152" s="129">
        <v>0</v>
      </c>
      <c r="E152" s="129">
        <v>0</v>
      </c>
      <c r="F152" s="129">
        <v>0</v>
      </c>
      <c r="G152" s="129">
        <v>0</v>
      </c>
      <c r="H152" s="129">
        <v>0</v>
      </c>
      <c r="I152" s="129">
        <v>0</v>
      </c>
      <c r="J152" s="129">
        <v>0</v>
      </c>
      <c r="K152" s="129">
        <v>0</v>
      </c>
      <c r="L152" s="129">
        <v>0</v>
      </c>
      <c r="M152" s="129">
        <v>0</v>
      </c>
      <c r="N152" s="129">
        <v>0</v>
      </c>
      <c r="O152" s="129">
        <v>0</v>
      </c>
      <c r="P152" s="129">
        <v>0</v>
      </c>
      <c r="Q152" s="129">
        <v>0</v>
      </c>
      <c r="R152" s="129">
        <v>0</v>
      </c>
      <c r="S152" s="129">
        <v>0</v>
      </c>
      <c r="T152" s="129">
        <v>0</v>
      </c>
      <c r="U152" s="129">
        <v>0</v>
      </c>
      <c r="V152" s="129">
        <v>0</v>
      </c>
      <c r="W152" s="129">
        <v>0</v>
      </c>
      <c r="X152" s="129">
        <v>0</v>
      </c>
      <c r="Y152" s="129">
        <v>0</v>
      </c>
      <c r="Z152" s="129">
        <v>0</v>
      </c>
      <c r="AA152" s="129">
        <v>0</v>
      </c>
      <c r="AB152" s="129">
        <v>0</v>
      </c>
      <c r="AC152" s="129">
        <v>0</v>
      </c>
      <c r="AD152" s="129">
        <v>0</v>
      </c>
      <c r="AE152" s="129">
        <v>0</v>
      </c>
      <c r="AF152" s="129">
        <v>0</v>
      </c>
      <c r="AG152" s="129">
        <v>0</v>
      </c>
      <c r="AH152" s="129">
        <v>0</v>
      </c>
      <c r="AI152" s="129">
        <v>0</v>
      </c>
    </row>
    <row r="153" spans="1:35" x14ac:dyDescent="0.4">
      <c r="A153" s="256" t="s">
        <v>14</v>
      </c>
      <c r="B153" s="1326" t="s">
        <v>458</v>
      </c>
      <c r="C153" s="28">
        <v>9.6822959449999982E-2</v>
      </c>
      <c r="D153" s="28">
        <v>9.0914300149999974E-2</v>
      </c>
      <c r="E153" s="28">
        <v>8.0968274290000003E-2</v>
      </c>
      <c r="F153" s="28">
        <v>8.0141949439999999E-2</v>
      </c>
      <c r="G153" s="28">
        <v>7.4410357889999987E-2</v>
      </c>
      <c r="H153" s="28">
        <v>7.7208636349999998E-2</v>
      </c>
      <c r="I153" s="28">
        <v>9.464468308E-2</v>
      </c>
      <c r="J153" s="28">
        <v>9.7751476769999984E-2</v>
      </c>
      <c r="K153" s="28">
        <v>8.8358784709999999E-2</v>
      </c>
      <c r="L153" s="28">
        <v>8.329262925E-2</v>
      </c>
      <c r="M153" s="28">
        <v>8.0602514299999969E-2</v>
      </c>
      <c r="N153" s="28">
        <v>8.0620520639999985E-2</v>
      </c>
      <c r="O153" s="28">
        <v>8.1508139919999986E-2</v>
      </c>
      <c r="P153" s="28">
        <v>7.7900124000000001E-2</v>
      </c>
      <c r="Q153" s="28">
        <v>8.3379175530000002E-2</v>
      </c>
      <c r="R153" s="28">
        <v>7.0483499379999995E-2</v>
      </c>
      <c r="S153" s="28">
        <v>7.637341520999999E-2</v>
      </c>
      <c r="T153" s="28">
        <v>6.6561128449999993E-2</v>
      </c>
      <c r="U153" s="28">
        <v>5.6023901600000009E-2</v>
      </c>
      <c r="V153" s="28">
        <v>5.2000805639999995E-2</v>
      </c>
      <c r="W153" s="28">
        <v>3.2640806059999999E-2</v>
      </c>
      <c r="X153" s="28">
        <v>2.3186098119999998E-2</v>
      </c>
      <c r="Y153" s="28">
        <v>3.0803675749999995E-2</v>
      </c>
      <c r="Z153" s="28">
        <v>2.7060503100000001E-2</v>
      </c>
      <c r="AA153" s="28">
        <v>2.4717739169999996E-2</v>
      </c>
      <c r="AB153" s="28">
        <v>2.267397904E-2</v>
      </c>
      <c r="AC153" s="28">
        <v>1.9232342219999997E-2</v>
      </c>
      <c r="AD153" s="28">
        <v>1.1824468089999998E-2</v>
      </c>
      <c r="AE153" s="28">
        <v>9.5259709299999988E-3</v>
      </c>
      <c r="AF153" s="28">
        <v>9.4215021799999993E-3</v>
      </c>
      <c r="AG153" s="28">
        <v>8.6309824299999997E-3</v>
      </c>
      <c r="AH153" s="28">
        <v>9.3795677599999988E-3</v>
      </c>
      <c r="AI153" s="28">
        <v>7.2759398299999988E-3</v>
      </c>
    </row>
    <row r="154" spans="1:35" x14ac:dyDescent="0.4">
      <c r="A154" s="104" t="s">
        <v>60</v>
      </c>
      <c r="B154" s="1326" t="s">
        <v>458</v>
      </c>
      <c r="C154" s="121">
        <v>5.4341359999999991E-2</v>
      </c>
      <c r="D154" s="121">
        <v>5.0383167999999999E-2</v>
      </c>
      <c r="E154" s="121">
        <v>4.5142079999999994E-2</v>
      </c>
      <c r="F154" s="121">
        <v>4.6998455999999994E-2</v>
      </c>
      <c r="G154" s="121">
        <v>4.8915719999999996E-2</v>
      </c>
      <c r="H154" s="121">
        <v>5.2830960000000003E-2</v>
      </c>
      <c r="I154" s="121">
        <v>5.7236608000000001E-2</v>
      </c>
      <c r="J154" s="121">
        <v>5.1116655999999989E-2</v>
      </c>
      <c r="K154" s="121">
        <v>5.2758743999999996E-2</v>
      </c>
      <c r="L154" s="121">
        <v>5.3210919999999995E-2</v>
      </c>
      <c r="M154" s="121">
        <v>5.0572911999999984E-2</v>
      </c>
      <c r="N154" s="121">
        <v>5.4277168000000001E-2</v>
      </c>
      <c r="O154" s="121">
        <v>5.0291599999999999E-2</v>
      </c>
      <c r="P154" s="121">
        <v>4.8490919999999993E-2</v>
      </c>
      <c r="Q154" s="121">
        <v>5.4936079999999998E-2</v>
      </c>
      <c r="R154" s="121">
        <v>5.1800583999999997E-2</v>
      </c>
      <c r="S154" s="121">
        <v>5.5395807999999991E-2</v>
      </c>
      <c r="T154" s="121">
        <v>4.9406599999999995E-2</v>
      </c>
      <c r="U154" s="121">
        <v>4.2829280000000004E-2</v>
      </c>
      <c r="V154" s="121">
        <v>3.8749783999999995E-2</v>
      </c>
      <c r="W154" s="121">
        <v>1.9507288000000001E-2</v>
      </c>
      <c r="X154" s="121">
        <v>1.0559583999999999E-2</v>
      </c>
      <c r="Y154" s="121">
        <v>1.9160368000000001E-2</v>
      </c>
      <c r="Z154" s="121">
        <v>1.3370343999999999E-2</v>
      </c>
      <c r="AA154" s="121">
        <v>1.0838063999999998E-2</v>
      </c>
      <c r="AB154" s="121">
        <v>9.447551999999998E-3</v>
      </c>
      <c r="AC154" s="121">
        <v>5.8074879999999995E-3</v>
      </c>
      <c r="AD154" s="121">
        <v>0</v>
      </c>
      <c r="AE154" s="121">
        <v>0</v>
      </c>
      <c r="AF154" s="121">
        <v>0</v>
      </c>
      <c r="AG154" s="121">
        <v>0</v>
      </c>
      <c r="AH154" s="121">
        <v>0</v>
      </c>
      <c r="AI154" s="121">
        <v>0</v>
      </c>
    </row>
    <row r="155" spans="1:35" x14ac:dyDescent="0.4">
      <c r="A155" s="104" t="s">
        <v>68</v>
      </c>
      <c r="B155" s="1326" t="s">
        <v>458</v>
      </c>
      <c r="C155" s="121">
        <v>7.5554469999999994E-4</v>
      </c>
      <c r="D155" s="121">
        <v>6.7043794999999985E-4</v>
      </c>
      <c r="E155" s="121">
        <v>6.9457269999999977E-4</v>
      </c>
      <c r="F155" s="121">
        <v>1.0710747999999998E-3</v>
      </c>
      <c r="G155" s="121">
        <v>1.0022272499999999E-3</v>
      </c>
      <c r="H155" s="121">
        <v>8.922235999999997E-4</v>
      </c>
      <c r="I155" s="121">
        <v>6.8110804999999984E-4</v>
      </c>
      <c r="J155" s="121">
        <v>8.2591654999999986E-4</v>
      </c>
      <c r="K155" s="121">
        <v>8.7596439999999983E-4</v>
      </c>
      <c r="L155" s="121">
        <v>5.5509924999999996E-4</v>
      </c>
      <c r="M155" s="121">
        <v>4.8066259999999991E-4</v>
      </c>
      <c r="N155" s="121">
        <v>6.5113014999999992E-4</v>
      </c>
      <c r="O155" s="121">
        <v>1.4074369999999997E-3</v>
      </c>
      <c r="P155" s="121">
        <v>8.973045999999998E-4</v>
      </c>
      <c r="Q155" s="121">
        <v>5.6322884999999989E-4</v>
      </c>
      <c r="R155" s="121">
        <v>2.2889904999999998E-4</v>
      </c>
      <c r="S155" s="121">
        <v>2.1187769999999999E-4</v>
      </c>
      <c r="T155" s="121">
        <v>2.8148739999999994E-4</v>
      </c>
      <c r="U155" s="121">
        <v>3.7269134999999988E-4</v>
      </c>
      <c r="V155" s="121">
        <v>2.0323999999999999E-4</v>
      </c>
      <c r="W155" s="121">
        <v>2.0933719999999999E-4</v>
      </c>
      <c r="X155" s="121">
        <v>1.5725694999999999E-4</v>
      </c>
      <c r="Y155" s="121">
        <v>3.7573994999999999E-4</v>
      </c>
      <c r="Z155" s="121">
        <v>6.6459479999999985E-4</v>
      </c>
      <c r="AA155" s="121">
        <v>5.0682974999999991E-4</v>
      </c>
      <c r="AB155" s="121">
        <v>9.8825449999999967E-5</v>
      </c>
      <c r="AC155" s="121">
        <v>2.5379594999999996E-4</v>
      </c>
      <c r="AD155" s="121">
        <v>4.2096084999999992E-4</v>
      </c>
      <c r="AE155" s="121">
        <v>9.5776850000000004E-5</v>
      </c>
      <c r="AF155" s="121">
        <v>8.764725E-5</v>
      </c>
      <c r="AG155" s="121">
        <v>9.4252549999999989E-5</v>
      </c>
      <c r="AH155" s="121">
        <v>9.9689219999999973E-4</v>
      </c>
      <c r="AI155" s="121">
        <v>1.5192189999999997E-4</v>
      </c>
    </row>
    <row r="156" spans="1:35" x14ac:dyDescent="0.4">
      <c r="A156" s="104" t="s">
        <v>87</v>
      </c>
      <c r="B156" s="1326" t="s">
        <v>458</v>
      </c>
      <c r="C156" s="121">
        <v>0</v>
      </c>
      <c r="D156" s="121">
        <v>0</v>
      </c>
      <c r="E156" s="121">
        <v>0</v>
      </c>
      <c r="F156" s="121">
        <v>0</v>
      </c>
      <c r="G156" s="121">
        <v>0</v>
      </c>
      <c r="H156" s="121">
        <v>0</v>
      </c>
      <c r="I156" s="121">
        <v>0</v>
      </c>
      <c r="J156" s="121">
        <v>0</v>
      </c>
      <c r="K156" s="121">
        <v>0</v>
      </c>
      <c r="L156" s="121">
        <v>0</v>
      </c>
      <c r="M156" s="121">
        <v>0</v>
      </c>
      <c r="N156" s="121">
        <v>0</v>
      </c>
      <c r="O156" s="121">
        <v>0</v>
      </c>
      <c r="P156" s="121">
        <v>0</v>
      </c>
      <c r="Q156" s="121">
        <v>0</v>
      </c>
      <c r="R156" s="121">
        <v>0</v>
      </c>
      <c r="S156" s="121">
        <v>0</v>
      </c>
      <c r="T156" s="121">
        <v>0</v>
      </c>
      <c r="U156" s="121">
        <v>0</v>
      </c>
      <c r="V156" s="121">
        <v>0</v>
      </c>
      <c r="W156" s="121">
        <v>0</v>
      </c>
      <c r="X156" s="121">
        <v>0</v>
      </c>
      <c r="Y156" s="121">
        <v>0</v>
      </c>
      <c r="Z156" s="121">
        <v>0</v>
      </c>
      <c r="AA156" s="121">
        <v>0</v>
      </c>
      <c r="AB156" s="121">
        <v>0</v>
      </c>
      <c r="AC156" s="121">
        <v>0</v>
      </c>
      <c r="AD156" s="121">
        <v>0</v>
      </c>
      <c r="AE156" s="121">
        <v>0</v>
      </c>
      <c r="AF156" s="121">
        <v>0</v>
      </c>
      <c r="AG156" s="121">
        <v>0</v>
      </c>
      <c r="AH156" s="121">
        <v>0</v>
      </c>
      <c r="AI156" s="121">
        <v>0</v>
      </c>
    </row>
    <row r="157" spans="1:35" x14ac:dyDescent="0.4">
      <c r="A157" s="104" t="s">
        <v>69</v>
      </c>
      <c r="B157" s="1326" t="s">
        <v>458</v>
      </c>
      <c r="C157" s="121">
        <v>3.8539639049999991E-2</v>
      </c>
      <c r="D157" s="121">
        <v>3.3638252399999992E-2</v>
      </c>
      <c r="E157" s="121">
        <v>2.8562841499999998E-2</v>
      </c>
      <c r="F157" s="121">
        <v>2.3927953299999999E-2</v>
      </c>
      <c r="G157" s="121">
        <v>1.4602539949999997E-2</v>
      </c>
      <c r="H157" s="121">
        <v>1.4811369049999999E-2</v>
      </c>
      <c r="I157" s="121">
        <v>2.7221965599999995E-2</v>
      </c>
      <c r="J157" s="121">
        <v>3.5828671499999992E-2</v>
      </c>
      <c r="K157" s="121">
        <v>2.7379984699999995E-2</v>
      </c>
      <c r="L157" s="121">
        <v>2.1765733749999995E-2</v>
      </c>
      <c r="M157" s="121">
        <v>2.1377291299999993E-2</v>
      </c>
      <c r="N157" s="121">
        <v>1.6218806049999996E-2</v>
      </c>
      <c r="O157" s="121">
        <v>1.7529195949999996E-2</v>
      </c>
      <c r="P157" s="121">
        <v>1.7023382399999998E-2</v>
      </c>
      <c r="Q157" s="121">
        <v>1.645761305E-2</v>
      </c>
      <c r="R157" s="121">
        <v>6.1398803999999987E-3</v>
      </c>
      <c r="S157" s="121">
        <v>7.8702149499999992E-3</v>
      </c>
      <c r="T157" s="121">
        <v>5.3853518999999982E-3</v>
      </c>
      <c r="U157" s="121">
        <v>1.9300178499999997E-3</v>
      </c>
      <c r="V157" s="121">
        <v>5.2613754999999984E-4</v>
      </c>
      <c r="W157" s="121">
        <v>3.0435189999999989E-4</v>
      </c>
      <c r="X157" s="121">
        <v>2.3194764999999998E-4</v>
      </c>
      <c r="Y157" s="121">
        <v>6.6408669999999995E-4</v>
      </c>
      <c r="Z157" s="121">
        <v>1.7648853499999998E-3</v>
      </c>
      <c r="AA157" s="121">
        <v>1.4734899999999996E-3</v>
      </c>
      <c r="AB157" s="121">
        <v>8.1168974999999981E-4</v>
      </c>
      <c r="AC157" s="121">
        <v>4.7710589999999989E-4</v>
      </c>
      <c r="AD157" s="121">
        <v>7.5859329999999989E-4</v>
      </c>
      <c r="AE157" s="121">
        <v>1.7554854999999995E-4</v>
      </c>
      <c r="AF157" s="121">
        <v>2.7945499999999992E-5</v>
      </c>
      <c r="AG157" s="121">
        <v>1.2727904999999996E-4</v>
      </c>
      <c r="AH157" s="121">
        <v>7.5300419999999989E-4</v>
      </c>
      <c r="AI157" s="121">
        <v>1.3159789999999999E-4</v>
      </c>
    </row>
    <row r="158" spans="1:35" x14ac:dyDescent="0.4">
      <c r="A158" s="104" t="s">
        <v>62</v>
      </c>
      <c r="B158" s="1326" t="s">
        <v>458</v>
      </c>
      <c r="C158" s="121">
        <v>3.1864156999999995E-3</v>
      </c>
      <c r="D158" s="121">
        <v>3.9295418499999991E-3</v>
      </c>
      <c r="E158" s="121">
        <v>4.04898819E-3</v>
      </c>
      <c r="F158" s="121">
        <v>5.2206950899999997E-3</v>
      </c>
      <c r="G158" s="121">
        <v>6.6543545899999997E-3</v>
      </c>
      <c r="H158" s="121">
        <v>5.3444904500000003E-3</v>
      </c>
      <c r="I158" s="121">
        <v>6.0979328799999994E-3</v>
      </c>
      <c r="J158" s="121">
        <v>5.3612291199999999E-3</v>
      </c>
      <c r="K158" s="121">
        <v>4.7800281100000008E-3</v>
      </c>
      <c r="L158" s="121">
        <v>4.6102140500000003E-3</v>
      </c>
      <c r="M158" s="121">
        <v>5.0486559499999997E-3</v>
      </c>
      <c r="N158" s="121">
        <v>6.6252768399999995E-3</v>
      </c>
      <c r="O158" s="121">
        <v>8.7972077699999991E-3</v>
      </c>
      <c r="P158" s="121">
        <v>8.2161079000000001E-3</v>
      </c>
      <c r="Q158" s="121">
        <v>7.9616902299999986E-3</v>
      </c>
      <c r="R158" s="121">
        <v>8.8203688300000013E-3</v>
      </c>
      <c r="S158" s="121">
        <v>9.6046589599999999E-3</v>
      </c>
      <c r="T158" s="121">
        <v>8.1046010499999984E-3</v>
      </c>
      <c r="U158" s="121">
        <v>7.8537738499999989E-3</v>
      </c>
      <c r="V158" s="121">
        <v>9.7454458399999985E-3</v>
      </c>
      <c r="W158" s="121">
        <v>9.7680000600000004E-3</v>
      </c>
      <c r="X158" s="121">
        <v>9.4131503700000015E-3</v>
      </c>
      <c r="Y158" s="121">
        <v>8.0818445499999982E-3</v>
      </c>
      <c r="Z158" s="121">
        <v>7.0272071999999998E-3</v>
      </c>
      <c r="AA158" s="121">
        <v>8.1547159199999997E-3</v>
      </c>
      <c r="AB158" s="121">
        <v>8.1451581900000014E-3</v>
      </c>
      <c r="AC158" s="121">
        <v>8.4899950199999984E-3</v>
      </c>
      <c r="AD158" s="121">
        <v>6.9777497399999989E-3</v>
      </c>
      <c r="AE158" s="121">
        <v>5.8734020799999995E-3</v>
      </c>
      <c r="AF158" s="121">
        <v>5.4579695300000005E-3</v>
      </c>
      <c r="AG158" s="121">
        <v>5.8066496799999995E-3</v>
      </c>
      <c r="AH158" s="121">
        <v>6.0119133099999994E-3</v>
      </c>
      <c r="AI158" s="121">
        <v>5.6273790299999991E-3</v>
      </c>
    </row>
    <row r="159" spans="1:35" x14ac:dyDescent="0.4">
      <c r="A159" s="104" t="s">
        <v>94</v>
      </c>
      <c r="B159" s="1326" t="s">
        <v>458</v>
      </c>
      <c r="C159" s="121">
        <v>0</v>
      </c>
      <c r="D159" s="121">
        <v>2.2928999499999998E-3</v>
      </c>
      <c r="E159" s="121">
        <v>2.5197918999999998E-3</v>
      </c>
      <c r="F159" s="121">
        <v>2.9237702499999994E-3</v>
      </c>
      <c r="G159" s="121">
        <v>3.2355160999999995E-3</v>
      </c>
      <c r="H159" s="121">
        <v>3.3295932499999995E-3</v>
      </c>
      <c r="I159" s="121">
        <v>3.4070685499999996E-3</v>
      </c>
      <c r="J159" s="121">
        <v>4.6190035999999993E-3</v>
      </c>
      <c r="K159" s="121">
        <v>2.5640634999999998E-3</v>
      </c>
      <c r="L159" s="121">
        <v>3.1506621999999995E-3</v>
      </c>
      <c r="M159" s="121">
        <v>3.1229924499999989E-3</v>
      </c>
      <c r="N159" s="121">
        <v>2.8481395999999997E-3</v>
      </c>
      <c r="O159" s="121">
        <v>3.4826991999999998E-3</v>
      </c>
      <c r="P159" s="121">
        <v>3.2724090999999992E-3</v>
      </c>
      <c r="Q159" s="121">
        <v>3.4605633999999995E-3</v>
      </c>
      <c r="R159" s="121">
        <v>3.4937670999999997E-3</v>
      </c>
      <c r="S159" s="121">
        <v>3.2908556000000003E-3</v>
      </c>
      <c r="T159" s="121">
        <v>3.3830880999999994E-3</v>
      </c>
      <c r="U159" s="121">
        <v>3.0381385499999997E-3</v>
      </c>
      <c r="V159" s="121">
        <v>2.77619825E-3</v>
      </c>
      <c r="W159" s="121">
        <v>2.8518288999999997E-3</v>
      </c>
      <c r="X159" s="121">
        <v>2.82415915E-3</v>
      </c>
      <c r="Y159" s="121">
        <v>2.5216365499999994E-3</v>
      </c>
      <c r="Z159" s="121">
        <v>4.2334717500000004E-3</v>
      </c>
      <c r="AA159" s="121">
        <v>3.7446394999999999E-3</v>
      </c>
      <c r="AB159" s="121">
        <v>4.1707536499999993E-3</v>
      </c>
      <c r="AC159" s="121">
        <v>4.2039573499999998E-3</v>
      </c>
      <c r="AD159" s="121">
        <v>3.6671641999999997E-3</v>
      </c>
      <c r="AE159" s="121">
        <v>3.3812434499999994E-3</v>
      </c>
      <c r="AF159" s="121">
        <v>3.8479398999999989E-3</v>
      </c>
      <c r="AG159" s="121">
        <v>2.6028011499999995E-3</v>
      </c>
      <c r="AH159" s="121">
        <v>1.6177580499999998E-3</v>
      </c>
      <c r="AI159" s="121">
        <v>1.3650409999999998E-3</v>
      </c>
    </row>
    <row r="160" spans="1:35" ht="16.5" thickBot="1" x14ac:dyDescent="0.45">
      <c r="A160" s="138" t="s">
        <v>63</v>
      </c>
      <c r="B160" s="1360" t="s">
        <v>458</v>
      </c>
      <c r="C160" s="129">
        <v>0</v>
      </c>
      <c r="D160" s="129">
        <v>0</v>
      </c>
      <c r="E160" s="129">
        <v>0</v>
      </c>
      <c r="F160" s="129">
        <v>0</v>
      </c>
      <c r="G160" s="129">
        <v>0</v>
      </c>
      <c r="H160" s="129">
        <v>0</v>
      </c>
      <c r="I160" s="129">
        <v>0</v>
      </c>
      <c r="J160" s="129">
        <v>0</v>
      </c>
      <c r="K160" s="129">
        <v>0</v>
      </c>
      <c r="L160" s="129">
        <v>0</v>
      </c>
      <c r="M160" s="129">
        <v>0</v>
      </c>
      <c r="N160" s="129">
        <v>0</v>
      </c>
      <c r="O160" s="129">
        <v>0</v>
      </c>
      <c r="P160" s="129">
        <v>0</v>
      </c>
      <c r="Q160" s="129">
        <v>0</v>
      </c>
      <c r="R160" s="129">
        <v>0</v>
      </c>
      <c r="S160" s="129">
        <v>0</v>
      </c>
      <c r="T160" s="129">
        <v>0</v>
      </c>
      <c r="U160" s="129">
        <v>0</v>
      </c>
      <c r="V160" s="129">
        <v>0</v>
      </c>
      <c r="W160" s="129">
        <v>0</v>
      </c>
      <c r="X160" s="129">
        <v>0</v>
      </c>
      <c r="Y160" s="129">
        <v>0</v>
      </c>
      <c r="Z160" s="129">
        <v>0</v>
      </c>
      <c r="AA160" s="129">
        <v>0</v>
      </c>
      <c r="AB160" s="129">
        <v>0</v>
      </c>
      <c r="AC160" s="129">
        <v>0</v>
      </c>
      <c r="AD160" s="129">
        <v>0</v>
      </c>
      <c r="AE160" s="129">
        <v>0</v>
      </c>
      <c r="AF160" s="129">
        <v>0</v>
      </c>
      <c r="AG160" s="129">
        <v>0</v>
      </c>
      <c r="AH160" s="129">
        <v>0</v>
      </c>
      <c r="AI160" s="129">
        <v>0</v>
      </c>
    </row>
    <row r="161" spans="1:36" x14ac:dyDescent="0.4">
      <c r="A161" s="1076" t="s">
        <v>20</v>
      </c>
      <c r="B161" s="1326" t="s">
        <v>458</v>
      </c>
      <c r="C161" s="124">
        <f>SUM(C110,C118,C128,C153)</f>
        <v>0.40013422191377523</v>
      </c>
      <c r="D161" s="124">
        <f t="shared" ref="D161:AH161" si="83">SUM(D110,D118,D128,D153)</f>
        <v>0.4133509793223365</v>
      </c>
      <c r="E161" s="124">
        <f t="shared" si="83"/>
        <v>0.40883048725675808</v>
      </c>
      <c r="F161" s="124">
        <f t="shared" si="83"/>
        <v>0.39752885369571223</v>
      </c>
      <c r="G161" s="124">
        <f t="shared" si="83"/>
        <v>0.38568525536627052</v>
      </c>
      <c r="H161" s="124">
        <f t="shared" si="83"/>
        <v>0.39130273358983747</v>
      </c>
      <c r="I161" s="124">
        <f t="shared" si="83"/>
        <v>0.35964916068274089</v>
      </c>
      <c r="J161" s="124">
        <f t="shared" si="83"/>
        <v>0.33385425765324217</v>
      </c>
      <c r="K161" s="124">
        <f t="shared" si="83"/>
        <v>0.32505108406398581</v>
      </c>
      <c r="L161" s="124">
        <f t="shared" si="83"/>
        <v>0.3407538899819802</v>
      </c>
      <c r="M161" s="124">
        <f t="shared" si="83"/>
        <v>0.30966049804689061</v>
      </c>
      <c r="N161" s="124">
        <f t="shared" si="83"/>
        <v>0.30878319847806796</v>
      </c>
      <c r="O161" s="124">
        <f t="shared" si="83"/>
        <v>0.32113947398188225</v>
      </c>
      <c r="P161" s="124">
        <f t="shared" si="83"/>
        <v>0.31065072400356897</v>
      </c>
      <c r="Q161" s="124">
        <f t="shared" si="83"/>
        <v>0.22965144003025872</v>
      </c>
      <c r="R161" s="124">
        <f t="shared" si="83"/>
        <v>0.19430822105942844</v>
      </c>
      <c r="S161" s="124">
        <f t="shared" si="83"/>
        <v>0.20554037620253798</v>
      </c>
      <c r="T161" s="124">
        <f t="shared" si="83"/>
        <v>0.20003144311819249</v>
      </c>
      <c r="U161" s="124">
        <f t="shared" si="83"/>
        <v>0.24294078582556575</v>
      </c>
      <c r="V161" s="124">
        <f t="shared" si="83"/>
        <v>0.25470182259440116</v>
      </c>
      <c r="W161" s="124">
        <f t="shared" si="83"/>
        <v>0.23196311216810303</v>
      </c>
      <c r="X161" s="124">
        <f t="shared" si="83"/>
        <v>0.19197804955934261</v>
      </c>
      <c r="Y161" s="124">
        <f t="shared" si="83"/>
        <v>0.23078859174012933</v>
      </c>
      <c r="Z161" s="124">
        <f t="shared" si="83"/>
        <v>0.23527864540800461</v>
      </c>
      <c r="AA161" s="124">
        <f t="shared" si="83"/>
        <v>0.22528116471521029</v>
      </c>
      <c r="AB161" s="124">
        <f t="shared" si="83"/>
        <v>0.19024063645742983</v>
      </c>
      <c r="AC161" s="124">
        <f t="shared" si="83"/>
        <v>0.18475983478625091</v>
      </c>
      <c r="AD161" s="135">
        <f t="shared" si="83"/>
        <v>0.18100000056889026</v>
      </c>
      <c r="AE161" s="124">
        <f t="shared" si="83"/>
        <v>0.19755403527822971</v>
      </c>
      <c r="AF161" s="124">
        <f t="shared" si="83"/>
        <v>0.18701437160180778</v>
      </c>
      <c r="AG161" s="124">
        <f t="shared" si="83"/>
        <v>0.19273984116406112</v>
      </c>
      <c r="AH161" s="124">
        <f t="shared" si="83"/>
        <v>0.21819674027142155</v>
      </c>
      <c r="AI161" s="124">
        <f>SUM(AI110,AI118,AI128,AI153)</f>
        <v>0.1957703356981729</v>
      </c>
    </row>
    <row r="162" spans="1:36" x14ac:dyDescent="0.4">
      <c r="A162" s="1067" t="s">
        <v>1063</v>
      </c>
      <c r="B162" s="1077"/>
      <c r="C162" s="1077"/>
      <c r="D162" s="1077"/>
      <c r="E162" s="1077"/>
      <c r="F162" s="1077"/>
      <c r="G162" s="1077"/>
      <c r="H162" s="1077"/>
      <c r="I162" s="1077"/>
      <c r="J162" s="1077"/>
      <c r="K162" s="1077"/>
      <c r="L162" s="1077"/>
      <c r="M162" s="1077"/>
      <c r="N162" s="1077"/>
      <c r="O162" s="1077"/>
      <c r="P162" s="1077"/>
      <c r="Q162" s="1077"/>
      <c r="R162" s="1077"/>
      <c r="S162" s="1077"/>
      <c r="T162" s="1077"/>
      <c r="U162" s="1077"/>
      <c r="V162" s="1077"/>
      <c r="W162" s="1077"/>
      <c r="X162" s="1077"/>
      <c r="Y162" s="1077"/>
      <c r="Z162" s="1077"/>
      <c r="AA162" s="1077"/>
      <c r="AB162" s="1077"/>
      <c r="AC162" s="1077"/>
      <c r="AD162" s="1077"/>
      <c r="AE162" s="1077"/>
      <c r="AF162" s="1077"/>
      <c r="AG162" s="1077"/>
      <c r="AH162" s="1077"/>
      <c r="AI162" s="1077"/>
    </row>
    <row r="163" spans="1:36" x14ac:dyDescent="0.4">
      <c r="A163" s="196"/>
      <c r="B163" s="98"/>
      <c r="C163" s="98"/>
      <c r="D163" s="98"/>
      <c r="E163" s="98"/>
      <c r="F163" s="98"/>
      <c r="G163" s="98"/>
      <c r="H163" s="98"/>
      <c r="I163" s="98"/>
      <c r="J163" s="98"/>
      <c r="K163" s="98"/>
      <c r="L163" s="98"/>
      <c r="M163" s="98"/>
      <c r="N163" s="98"/>
      <c r="O163" s="98"/>
      <c r="P163" s="98"/>
      <c r="Q163" s="98"/>
      <c r="R163" s="98"/>
      <c r="S163" s="98"/>
      <c r="T163" s="98"/>
      <c r="U163" s="98"/>
      <c r="V163" s="98"/>
      <c r="W163" s="98"/>
      <c r="X163" s="98"/>
      <c r="Y163" s="98"/>
      <c r="Z163" s="98"/>
      <c r="AA163" s="98"/>
      <c r="AB163" s="98"/>
      <c r="AC163" s="98"/>
      <c r="AD163" s="98"/>
      <c r="AE163" s="98"/>
      <c r="AF163" s="98"/>
      <c r="AG163" s="98"/>
      <c r="AH163" s="98"/>
      <c r="AI163" s="98"/>
    </row>
    <row r="164" spans="1:36" x14ac:dyDescent="0.4">
      <c r="A164" s="1326" t="s">
        <v>1178</v>
      </c>
    </row>
    <row r="165" spans="1:36" x14ac:dyDescent="0.4">
      <c r="A165" s="28"/>
    </row>
    <row r="166" spans="1:36" ht="17.5" thickBot="1" x14ac:dyDescent="0.5">
      <c r="A166" s="108" t="s">
        <v>1051</v>
      </c>
    </row>
    <row r="167" spans="1:36" s="86" customFormat="1" ht="16.5" thickBot="1" x14ac:dyDescent="0.45">
      <c r="A167" s="998" t="s">
        <v>668</v>
      </c>
      <c r="B167" s="975" t="s">
        <v>391</v>
      </c>
      <c r="C167" s="975" t="s">
        <v>392</v>
      </c>
      <c r="D167" s="975" t="s">
        <v>393</v>
      </c>
      <c r="E167" s="975" t="s">
        <v>394</v>
      </c>
      <c r="F167" s="975" t="s">
        <v>395</v>
      </c>
      <c r="G167" s="975" t="s">
        <v>396</v>
      </c>
      <c r="H167" s="975" t="s">
        <v>397</v>
      </c>
      <c r="I167" s="975" t="s">
        <v>398</v>
      </c>
      <c r="J167" s="975" t="s">
        <v>399</v>
      </c>
      <c r="K167" s="975" t="s">
        <v>400</v>
      </c>
      <c r="L167" s="975" t="s">
        <v>401</v>
      </c>
      <c r="M167" s="975" t="s">
        <v>402</v>
      </c>
      <c r="N167" s="975" t="s">
        <v>403</v>
      </c>
      <c r="O167" s="975" t="s">
        <v>404</v>
      </c>
      <c r="P167" s="975" t="s">
        <v>405</v>
      </c>
      <c r="Q167" s="975" t="s">
        <v>406</v>
      </c>
      <c r="R167" s="975" t="s">
        <v>407</v>
      </c>
      <c r="S167" s="975" t="s">
        <v>408</v>
      </c>
      <c r="T167" s="975" t="s">
        <v>409</v>
      </c>
      <c r="U167" s="975" t="s">
        <v>410</v>
      </c>
      <c r="V167" s="975" t="s">
        <v>411</v>
      </c>
      <c r="W167" s="975" t="s">
        <v>412</v>
      </c>
      <c r="X167" s="975" t="s">
        <v>413</v>
      </c>
      <c r="Y167" s="975" t="s">
        <v>414</v>
      </c>
      <c r="Z167" s="975" t="s">
        <v>415</v>
      </c>
      <c r="AA167" s="975" t="s">
        <v>416</v>
      </c>
      <c r="AB167" s="975" t="s">
        <v>417</v>
      </c>
      <c r="AC167" s="975" t="s">
        <v>418</v>
      </c>
      <c r="AD167" s="975" t="s">
        <v>419</v>
      </c>
      <c r="AE167" s="975" t="s">
        <v>420</v>
      </c>
      <c r="AF167" s="975" t="s">
        <v>421</v>
      </c>
      <c r="AG167" s="975" t="s">
        <v>422</v>
      </c>
      <c r="AH167" s="975" t="s">
        <v>423</v>
      </c>
      <c r="AI167" s="975" t="s">
        <v>424</v>
      </c>
      <c r="AJ167" s="3"/>
    </row>
    <row r="168" spans="1:36" x14ac:dyDescent="0.4">
      <c r="A168" s="248" t="s">
        <v>59</v>
      </c>
      <c r="B168" s="139">
        <f t="shared" ref="B168:O168" si="84">B169</f>
        <v>0</v>
      </c>
      <c r="C168" s="139">
        <f t="shared" si="84"/>
        <v>0</v>
      </c>
      <c r="D168" s="139">
        <f t="shared" si="84"/>
        <v>0</v>
      </c>
      <c r="E168" s="139">
        <f t="shared" si="84"/>
        <v>0</v>
      </c>
      <c r="F168" s="139">
        <f t="shared" si="84"/>
        <v>0</v>
      </c>
      <c r="G168" s="139">
        <f t="shared" si="84"/>
        <v>0</v>
      </c>
      <c r="H168" s="139">
        <f t="shared" si="84"/>
        <v>0</v>
      </c>
      <c r="I168" s="139">
        <f t="shared" si="84"/>
        <v>0</v>
      </c>
      <c r="J168" s="139">
        <f t="shared" si="84"/>
        <v>0</v>
      </c>
      <c r="K168" s="139">
        <f t="shared" si="84"/>
        <v>0</v>
      </c>
      <c r="L168" s="139">
        <f t="shared" si="84"/>
        <v>0</v>
      </c>
      <c r="M168" s="139">
        <f t="shared" si="84"/>
        <v>4.2196E-7</v>
      </c>
      <c r="N168" s="139">
        <f t="shared" si="84"/>
        <v>6.6307999999999993E-7</v>
      </c>
      <c r="O168" s="139">
        <f t="shared" si="84"/>
        <v>5.4252000000000002E-7</v>
      </c>
      <c r="P168" s="139">
        <f t="shared" ref="P168:AI168" si="85">P169</f>
        <v>1.08504E-6</v>
      </c>
      <c r="Q168" s="139">
        <f t="shared" si="85"/>
        <v>3.64694E-6</v>
      </c>
      <c r="R168" s="139">
        <f t="shared" si="85"/>
        <v>1.048872E-5</v>
      </c>
      <c r="S168" s="139">
        <f t="shared" si="85"/>
        <v>1.4226079999999998E-5</v>
      </c>
      <c r="T168" s="139">
        <f t="shared" si="85"/>
        <v>1.22067E-5</v>
      </c>
      <c r="U168" s="139">
        <f t="shared" si="85"/>
        <v>1.2930060000000001E-5</v>
      </c>
      <c r="V168" s="139">
        <f t="shared" si="85"/>
        <v>1.0458579999999999E-5</v>
      </c>
      <c r="W168" s="139">
        <f t="shared" si="85"/>
        <v>3.547478E-5</v>
      </c>
      <c r="X168" s="139">
        <f t="shared" si="85"/>
        <v>3.4269179999999999E-5</v>
      </c>
      <c r="Y168" s="139">
        <f t="shared" si="85"/>
        <v>7.6555600000000003E-5</v>
      </c>
      <c r="Z168" s="139">
        <f t="shared" si="85"/>
        <v>5.3136819999999997E-5</v>
      </c>
      <c r="AA168" s="139">
        <f t="shared" si="85"/>
        <v>5.5397319999999994E-5</v>
      </c>
      <c r="AB168" s="139">
        <f t="shared" si="85"/>
        <v>8.3638499999999996E-5</v>
      </c>
      <c r="AC168" s="139">
        <f t="shared" si="85"/>
        <v>7.0497459999999991E-5</v>
      </c>
      <c r="AD168" s="139">
        <f t="shared" si="85"/>
        <v>6.2570639999999996E-5</v>
      </c>
      <c r="AE168" s="139">
        <f t="shared" si="85"/>
        <v>5.2534019999999997E-5</v>
      </c>
      <c r="AF168" s="139">
        <f t="shared" si="85"/>
        <v>5.6904319999999991E-5</v>
      </c>
      <c r="AG168" s="139">
        <f t="shared" si="85"/>
        <v>4.4577059999999994E-5</v>
      </c>
      <c r="AH168" s="139">
        <f t="shared" si="85"/>
        <v>4.1713759999999998E-5</v>
      </c>
      <c r="AI168" s="139">
        <f t="shared" si="85"/>
        <v>5.6391939999999994E-5</v>
      </c>
    </row>
    <row r="169" spans="1:36" x14ac:dyDescent="0.4">
      <c r="A169" s="114" t="s">
        <v>334</v>
      </c>
      <c r="B169" s="98">
        <f>'Biogenic Combustion'!C178</f>
        <v>0</v>
      </c>
      <c r="C169" s="98">
        <f>'Biogenic Combustion'!D178</f>
        <v>0</v>
      </c>
      <c r="D169" s="98">
        <f>'Biogenic Combustion'!E178</f>
        <v>0</v>
      </c>
      <c r="E169" s="98">
        <f>'Biogenic Combustion'!F178</f>
        <v>0</v>
      </c>
      <c r="F169" s="98">
        <f>'Biogenic Combustion'!G178</f>
        <v>0</v>
      </c>
      <c r="G169" s="98">
        <f>'Biogenic Combustion'!H178</f>
        <v>0</v>
      </c>
      <c r="H169" s="98">
        <f>'Biogenic Combustion'!I178</f>
        <v>0</v>
      </c>
      <c r="I169" s="98">
        <f>'Biogenic Combustion'!J178</f>
        <v>0</v>
      </c>
      <c r="J169" s="98">
        <f>'Biogenic Combustion'!K178</f>
        <v>0</v>
      </c>
      <c r="K169" s="98">
        <f>'Biogenic Combustion'!L178</f>
        <v>0</v>
      </c>
      <c r="L169" s="98">
        <f>'Biogenic Combustion'!M178</f>
        <v>0</v>
      </c>
      <c r="M169" s="98">
        <f>'Biogenic Combustion'!N178</f>
        <v>4.2196E-7</v>
      </c>
      <c r="N169" s="98">
        <f>'Biogenic Combustion'!O178</f>
        <v>6.6307999999999993E-7</v>
      </c>
      <c r="O169" s="98">
        <f>'Biogenic Combustion'!P178</f>
        <v>5.4252000000000002E-7</v>
      </c>
      <c r="P169" s="98">
        <f>'Biogenic Combustion'!Q178</f>
        <v>1.08504E-6</v>
      </c>
      <c r="Q169" s="98">
        <f>'Biogenic Combustion'!R178</f>
        <v>3.64694E-6</v>
      </c>
      <c r="R169" s="98">
        <f>'Biogenic Combustion'!S178</f>
        <v>1.048872E-5</v>
      </c>
      <c r="S169" s="98">
        <f>'Biogenic Combustion'!T178</f>
        <v>1.4226079999999998E-5</v>
      </c>
      <c r="T169" s="98">
        <f>'Biogenic Combustion'!U178</f>
        <v>1.22067E-5</v>
      </c>
      <c r="U169" s="98">
        <f>'Biogenic Combustion'!V178</f>
        <v>1.2930060000000001E-5</v>
      </c>
      <c r="V169" s="98">
        <f>'Biogenic Combustion'!W178</f>
        <v>1.0458579999999999E-5</v>
      </c>
      <c r="W169" s="98">
        <f>'Biogenic Combustion'!X178</f>
        <v>3.547478E-5</v>
      </c>
      <c r="X169" s="98">
        <f>'Biogenic Combustion'!Y178</f>
        <v>3.4269179999999999E-5</v>
      </c>
      <c r="Y169" s="98">
        <f>'Biogenic Combustion'!Z178</f>
        <v>7.6555600000000003E-5</v>
      </c>
      <c r="Z169" s="98">
        <f>'Biogenic Combustion'!AA178</f>
        <v>5.3136819999999997E-5</v>
      </c>
      <c r="AA169" s="98">
        <f>'Biogenic Combustion'!AB178</f>
        <v>5.5397319999999994E-5</v>
      </c>
      <c r="AB169" s="98">
        <f>'Biogenic Combustion'!AC178</f>
        <v>8.3638499999999996E-5</v>
      </c>
      <c r="AC169" s="98">
        <f>'Biogenic Combustion'!AD178</f>
        <v>7.0497459999999991E-5</v>
      </c>
      <c r="AD169" s="98">
        <f>'Biogenic Combustion'!AE178</f>
        <v>6.2570639999999996E-5</v>
      </c>
      <c r="AE169" s="98">
        <f>'Biogenic Combustion'!AF178</f>
        <v>5.2534019999999997E-5</v>
      </c>
      <c r="AF169" s="98">
        <f>'Biogenic Combustion'!AG178</f>
        <v>5.6904319999999991E-5</v>
      </c>
      <c r="AG169" s="98">
        <f>'Biogenic Combustion'!AH178</f>
        <v>4.4577059999999994E-5</v>
      </c>
      <c r="AH169" s="98">
        <f>'Biogenic Combustion'!AI178</f>
        <v>4.1713759999999998E-5</v>
      </c>
      <c r="AI169" s="98">
        <f>'Biogenic Combustion'!AJ178</f>
        <v>5.6391939999999994E-5</v>
      </c>
    </row>
    <row r="170" spans="1:36" x14ac:dyDescent="0.4">
      <c r="A170" s="249" t="s">
        <v>74</v>
      </c>
      <c r="B170" s="139">
        <f t="shared" ref="B170:O170" si="86">SUM(B171:B172)</f>
        <v>0</v>
      </c>
      <c r="C170" s="139">
        <f t="shared" si="86"/>
        <v>0</v>
      </c>
      <c r="D170" s="139">
        <f t="shared" si="86"/>
        <v>0</v>
      </c>
      <c r="E170" s="139">
        <f t="shared" si="86"/>
        <v>0</v>
      </c>
      <c r="F170" s="139">
        <f t="shared" si="86"/>
        <v>0</v>
      </c>
      <c r="G170" s="139">
        <f t="shared" si="86"/>
        <v>0</v>
      </c>
      <c r="H170" s="139">
        <f t="shared" si="86"/>
        <v>0</v>
      </c>
      <c r="I170" s="139">
        <f t="shared" si="86"/>
        <v>0</v>
      </c>
      <c r="J170" s="139">
        <f t="shared" si="86"/>
        <v>0</v>
      </c>
      <c r="K170" s="139">
        <f t="shared" si="86"/>
        <v>0</v>
      </c>
      <c r="L170" s="139">
        <f t="shared" si="86"/>
        <v>1.4308594000000002E-3</v>
      </c>
      <c r="M170" s="139">
        <f t="shared" si="86"/>
        <v>1.2840543999999999E-3</v>
      </c>
      <c r="N170" s="139">
        <f t="shared" si="86"/>
        <v>1.6970657999999998E-3</v>
      </c>
      <c r="O170" s="139">
        <f t="shared" si="86"/>
        <v>1.4778370000000001E-3</v>
      </c>
      <c r="P170" s="139">
        <f t="shared" ref="P170:AI170" si="87">SUM(P171:P172)</f>
        <v>3.3941918799999995E-3</v>
      </c>
      <c r="Q170" s="139">
        <f t="shared" si="87"/>
        <v>1.8081427325504593E-3</v>
      </c>
      <c r="R170" s="139">
        <f t="shared" si="87"/>
        <v>1.9303409801680988E-3</v>
      </c>
      <c r="S170" s="139">
        <f t="shared" si="87"/>
        <v>1.8500258015776969E-3</v>
      </c>
      <c r="T170" s="139">
        <f t="shared" si="87"/>
        <v>1.869402490010761E-3</v>
      </c>
      <c r="U170" s="139">
        <f t="shared" si="87"/>
        <v>1.9417859778827901E-3</v>
      </c>
      <c r="V170" s="139">
        <f t="shared" si="87"/>
        <v>1.8225159451011272E-3</v>
      </c>
      <c r="W170" s="139">
        <f t="shared" si="87"/>
        <v>1.9632675339859196E-3</v>
      </c>
      <c r="X170" s="139">
        <f t="shared" si="87"/>
        <v>1.8976091821568571E-3</v>
      </c>
      <c r="Y170" s="139">
        <f t="shared" si="87"/>
        <v>1.988531026612313E-3</v>
      </c>
      <c r="Z170" s="139">
        <f t="shared" si="87"/>
        <v>2.0039387686210577E-3</v>
      </c>
      <c r="AA170" s="139">
        <f t="shared" si="87"/>
        <v>1.9984368143573282E-3</v>
      </c>
      <c r="AB170" s="139">
        <f t="shared" si="87"/>
        <v>2.0334255302494227E-3</v>
      </c>
      <c r="AC170" s="139">
        <f t="shared" si="87"/>
        <v>2.0751169493624924E-3</v>
      </c>
      <c r="AD170" s="139">
        <f t="shared" si="87"/>
        <v>2.0934783102778973E-3</v>
      </c>
      <c r="AE170" s="139">
        <f t="shared" si="87"/>
        <v>2.1010340311255378E-3</v>
      </c>
      <c r="AF170" s="139">
        <f t="shared" si="87"/>
        <v>1.8858209171263845E-3</v>
      </c>
      <c r="AG170" s="139">
        <f t="shared" si="87"/>
        <v>1.8777172134419801E-3</v>
      </c>
      <c r="AH170" s="139">
        <f t="shared" si="87"/>
        <v>1.8020966909137635E-3</v>
      </c>
      <c r="AI170" s="139">
        <f t="shared" si="87"/>
        <v>1.8985276978371538E-3</v>
      </c>
    </row>
    <row r="171" spans="1:36" x14ac:dyDescent="0.4">
      <c r="A171" s="114" t="s">
        <v>331</v>
      </c>
      <c r="B171" s="98">
        <f>'Biogenic Combustion'!C108</f>
        <v>0</v>
      </c>
      <c r="C171" s="98">
        <f>'Biogenic Combustion'!D108</f>
        <v>0</v>
      </c>
      <c r="D171" s="98">
        <f>'Biogenic Combustion'!E108</f>
        <v>0</v>
      </c>
      <c r="E171" s="98">
        <f>'Biogenic Combustion'!F108</f>
        <v>0</v>
      </c>
      <c r="F171" s="98">
        <f>'Biogenic Combustion'!G108</f>
        <v>0</v>
      </c>
      <c r="G171" s="98">
        <f>'Biogenic Combustion'!H108</f>
        <v>0</v>
      </c>
      <c r="H171" s="98">
        <f>'Biogenic Combustion'!I108</f>
        <v>0</v>
      </c>
      <c r="I171" s="98">
        <f>'Biogenic Combustion'!J108</f>
        <v>0</v>
      </c>
      <c r="J171" s="98">
        <f>'Biogenic Combustion'!K108</f>
        <v>0</v>
      </c>
      <c r="K171" s="98">
        <f>'Biogenic Combustion'!L108</f>
        <v>0</v>
      </c>
      <c r="L171" s="98">
        <f>'Biogenic Combustion'!M108</f>
        <v>1.4308594000000002E-3</v>
      </c>
      <c r="M171" s="98">
        <f>'Biogenic Combustion'!N108</f>
        <v>1.2840543999999999E-3</v>
      </c>
      <c r="N171" s="98">
        <f>'Biogenic Combustion'!O108</f>
        <v>1.6970657999999998E-3</v>
      </c>
      <c r="O171" s="98">
        <f>'Biogenic Combustion'!P108</f>
        <v>1.4778370000000001E-3</v>
      </c>
      <c r="P171" s="98">
        <f>'Biogenic Combustion'!Q108</f>
        <v>3.3941315999999997E-3</v>
      </c>
      <c r="Q171" s="98">
        <f>'Biogenic Combustion'!R108</f>
        <v>1.8078413325504593E-3</v>
      </c>
      <c r="R171" s="98">
        <f>'Biogenic Combustion'!S108</f>
        <v>1.9292559401680989E-3</v>
      </c>
      <c r="S171" s="98">
        <f>'Biogenic Combustion'!T108</f>
        <v>1.848579081577697E-3</v>
      </c>
      <c r="T171" s="98">
        <f>'Biogenic Combustion'!U108</f>
        <v>1.8681366100107609E-3</v>
      </c>
      <c r="U171" s="98">
        <f>'Biogenic Combustion'!V108</f>
        <v>1.9403392578827901E-3</v>
      </c>
      <c r="V171" s="98">
        <f>'Biogenic Combustion'!W108</f>
        <v>1.8214309051011273E-3</v>
      </c>
      <c r="W171" s="98">
        <f>'Biogenic Combustion'!X108</f>
        <v>1.9601329739859195E-3</v>
      </c>
      <c r="X171" s="98">
        <f>'Biogenic Combustion'!Y108</f>
        <v>1.8967049821568571E-3</v>
      </c>
      <c r="Y171" s="98">
        <f>'Biogenic Combustion'!Z108</f>
        <v>1.987506266612313E-3</v>
      </c>
      <c r="Z171" s="98">
        <f>'Biogenic Combustion'!AA108</f>
        <v>2.0029140086210576E-3</v>
      </c>
      <c r="AA171" s="98">
        <f>'Biogenic Combustion'!AB108</f>
        <v>1.968176254357328E-3</v>
      </c>
      <c r="AB171" s="98">
        <f>'Biogenic Combustion'!AC108</f>
        <v>2.0031046902494226E-3</v>
      </c>
      <c r="AC171" s="98">
        <f>'Biogenic Combustion'!AD108</f>
        <v>2.0442535893624922E-3</v>
      </c>
      <c r="AD171" s="98">
        <f>'Biogenic Combustion'!AE108</f>
        <v>2.0629766302778974E-3</v>
      </c>
      <c r="AE171" s="98">
        <f>'Biogenic Combustion'!AF108</f>
        <v>2.0698089911255378E-3</v>
      </c>
      <c r="AF171" s="98">
        <f>'Biogenic Combustion'!AG108</f>
        <v>1.8540533571263845E-3</v>
      </c>
      <c r="AG171" s="98">
        <f>'Biogenic Combustion'!AH108</f>
        <v>1.8453468534419802E-3</v>
      </c>
      <c r="AH171" s="98">
        <f>'Biogenic Combustion'!AI108</f>
        <v>1.7662300909137634E-3</v>
      </c>
      <c r="AI171" s="98">
        <f>'Biogenic Combustion'!AJ108</f>
        <v>1.8644092178371539E-3</v>
      </c>
    </row>
    <row r="172" spans="1:36" x14ac:dyDescent="0.4">
      <c r="A172" s="114" t="s">
        <v>333</v>
      </c>
      <c r="B172" s="98">
        <f>'Biogenic Combustion'!C94</f>
        <v>0</v>
      </c>
      <c r="C172" s="98">
        <f>'Biogenic Combustion'!D94</f>
        <v>0</v>
      </c>
      <c r="D172" s="98">
        <f>'Biogenic Combustion'!E94</f>
        <v>0</v>
      </c>
      <c r="E172" s="98">
        <f>'Biogenic Combustion'!F94</f>
        <v>0</v>
      </c>
      <c r="F172" s="98">
        <f>'Biogenic Combustion'!G94</f>
        <v>0</v>
      </c>
      <c r="G172" s="98">
        <f>'Biogenic Combustion'!H94</f>
        <v>0</v>
      </c>
      <c r="H172" s="98">
        <f>'Biogenic Combustion'!I94</f>
        <v>0</v>
      </c>
      <c r="I172" s="98">
        <f>'Biogenic Combustion'!J94</f>
        <v>0</v>
      </c>
      <c r="J172" s="98">
        <f>'Biogenic Combustion'!K94</f>
        <v>0</v>
      </c>
      <c r="K172" s="98">
        <f>'Biogenic Combustion'!L94</f>
        <v>0</v>
      </c>
      <c r="L172" s="98">
        <f>'Biogenic Combustion'!M94</f>
        <v>0</v>
      </c>
      <c r="M172" s="98">
        <f>'Biogenic Combustion'!N94</f>
        <v>0</v>
      </c>
      <c r="N172" s="98">
        <f>'Biogenic Combustion'!O94</f>
        <v>0</v>
      </c>
      <c r="O172" s="98">
        <f>'Biogenic Combustion'!P94</f>
        <v>0</v>
      </c>
      <c r="P172" s="98">
        <f>'Biogenic Combustion'!Q94</f>
        <v>6.0280000000000008E-8</v>
      </c>
      <c r="Q172" s="98">
        <f>'Biogenic Combustion'!R94</f>
        <v>3.0139999999999999E-7</v>
      </c>
      <c r="R172" s="98">
        <f>'Biogenic Combustion'!S94</f>
        <v>1.08504E-6</v>
      </c>
      <c r="S172" s="98">
        <f>'Biogenic Combustion'!T94</f>
        <v>1.44672E-6</v>
      </c>
      <c r="T172" s="98">
        <f>'Biogenic Combustion'!U94</f>
        <v>1.2658800000000001E-6</v>
      </c>
      <c r="U172" s="98">
        <f>'Biogenic Combustion'!V94</f>
        <v>1.44672E-6</v>
      </c>
      <c r="V172" s="98">
        <f>'Biogenic Combustion'!W94</f>
        <v>1.08504E-6</v>
      </c>
      <c r="W172" s="98">
        <f>'Biogenic Combustion'!X94</f>
        <v>3.1345600000000002E-6</v>
      </c>
      <c r="X172" s="98">
        <f>'Biogenic Combustion'!Y94</f>
        <v>9.0419999999999996E-7</v>
      </c>
      <c r="Y172" s="98">
        <f>'Biogenic Combustion'!Z94</f>
        <v>1.0247600000000001E-6</v>
      </c>
      <c r="Z172" s="98">
        <f>'Biogenic Combustion'!AA94</f>
        <v>1.0247600000000001E-6</v>
      </c>
      <c r="AA172" s="98">
        <f>'Biogenic Combustion'!AB94</f>
        <v>3.0260559999999997E-5</v>
      </c>
      <c r="AB172" s="98">
        <f>'Biogenic Combustion'!AC94</f>
        <v>3.0320839999999999E-5</v>
      </c>
      <c r="AC172" s="98">
        <f>'Biogenic Combustion'!AD94</f>
        <v>3.0863360000000004E-5</v>
      </c>
      <c r="AD172" s="98">
        <f>'Biogenic Combustion'!AE94</f>
        <v>3.0501679999999998E-5</v>
      </c>
      <c r="AE172" s="98">
        <f>'Biogenic Combustion'!AF94</f>
        <v>3.1225040000000003E-5</v>
      </c>
      <c r="AF172" s="98">
        <f>'Biogenic Combustion'!AG94</f>
        <v>3.1767560000000001E-5</v>
      </c>
      <c r="AG172" s="98">
        <f>'Biogenic Combustion'!AH94</f>
        <v>3.2370360000000002E-5</v>
      </c>
      <c r="AH172" s="98">
        <f>'Biogenic Combustion'!AI94</f>
        <v>3.58666E-5</v>
      </c>
      <c r="AI172" s="98">
        <f>'Biogenic Combustion'!AJ94</f>
        <v>3.4118480000000001E-5</v>
      </c>
    </row>
    <row r="173" spans="1:36" x14ac:dyDescent="0.4">
      <c r="A173" s="250" t="s">
        <v>76</v>
      </c>
      <c r="B173" s="139">
        <f t="shared" ref="B173:O173" si="88">B174</f>
        <v>0</v>
      </c>
      <c r="C173" s="139">
        <f t="shared" si="88"/>
        <v>0</v>
      </c>
      <c r="D173" s="139">
        <f t="shared" si="88"/>
        <v>0</v>
      </c>
      <c r="E173" s="139">
        <f t="shared" si="88"/>
        <v>0</v>
      </c>
      <c r="F173" s="139">
        <f t="shared" si="88"/>
        <v>0</v>
      </c>
      <c r="G173" s="139">
        <f t="shared" si="88"/>
        <v>0</v>
      </c>
      <c r="H173" s="139">
        <f t="shared" si="88"/>
        <v>0</v>
      </c>
      <c r="I173" s="139">
        <f t="shared" si="88"/>
        <v>0</v>
      </c>
      <c r="J173" s="139">
        <f t="shared" si="88"/>
        <v>0</v>
      </c>
      <c r="K173" s="139">
        <f t="shared" si="88"/>
        <v>0</v>
      </c>
      <c r="L173" s="139">
        <f t="shared" si="88"/>
        <v>0</v>
      </c>
      <c r="M173" s="139">
        <f t="shared" si="88"/>
        <v>0</v>
      </c>
      <c r="N173" s="139">
        <f t="shared" si="88"/>
        <v>6.0280000000000008E-8</v>
      </c>
      <c r="O173" s="139">
        <f t="shared" si="88"/>
        <v>6.0280000000000008E-8</v>
      </c>
      <c r="P173" s="139">
        <f t="shared" ref="P173:AI173" si="89">P174</f>
        <v>6.0279999999999997E-7</v>
      </c>
      <c r="Q173" s="139">
        <f t="shared" si="89"/>
        <v>4.9429599999999997E-6</v>
      </c>
      <c r="R173" s="139">
        <f t="shared" si="89"/>
        <v>1.350272E-5</v>
      </c>
      <c r="S173" s="139">
        <f t="shared" si="89"/>
        <v>1.428636E-5</v>
      </c>
      <c r="T173" s="139">
        <f t="shared" si="89"/>
        <v>1.1392920000000002E-5</v>
      </c>
      <c r="U173" s="139">
        <f t="shared" si="89"/>
        <v>1.2297119999999999E-5</v>
      </c>
      <c r="V173" s="139">
        <f t="shared" si="89"/>
        <v>2.001296E-5</v>
      </c>
      <c r="W173" s="139">
        <f t="shared" si="89"/>
        <v>2.04952E-5</v>
      </c>
      <c r="X173" s="139">
        <f t="shared" si="89"/>
        <v>1.9470439999999999E-5</v>
      </c>
      <c r="Y173" s="139">
        <f t="shared" si="89"/>
        <v>2.0615759999999997E-5</v>
      </c>
      <c r="Z173" s="139">
        <f t="shared" si="89"/>
        <v>1.6577000000000001E-5</v>
      </c>
      <c r="AA173" s="139">
        <f t="shared" si="89"/>
        <v>1.6396160000000001E-5</v>
      </c>
      <c r="AB173" s="139">
        <f t="shared" si="89"/>
        <v>1.6456439999999997E-5</v>
      </c>
      <c r="AC173" s="139">
        <f t="shared" si="89"/>
        <v>1.6818120000000002E-5</v>
      </c>
      <c r="AD173" s="139">
        <f t="shared" si="89"/>
        <v>1.705924E-5</v>
      </c>
      <c r="AE173" s="139">
        <f t="shared" si="89"/>
        <v>1.754148E-5</v>
      </c>
      <c r="AF173" s="139">
        <f t="shared" si="89"/>
        <v>1.7782600000000001E-5</v>
      </c>
      <c r="AG173" s="139">
        <f t="shared" si="89"/>
        <v>1.7782600000000001E-5</v>
      </c>
      <c r="AH173" s="139">
        <f t="shared" si="89"/>
        <v>1.8505959999999999E-5</v>
      </c>
      <c r="AI173" s="139">
        <f t="shared" si="89"/>
        <v>1.8505959999999999E-5</v>
      </c>
    </row>
    <row r="174" spans="1:36" x14ac:dyDescent="0.4">
      <c r="A174" s="114" t="s">
        <v>333</v>
      </c>
      <c r="B174" s="98">
        <f>'Biogenic Combustion'!C152</f>
        <v>0</v>
      </c>
      <c r="C174" s="98">
        <f>'Biogenic Combustion'!D152</f>
        <v>0</v>
      </c>
      <c r="D174" s="98">
        <f>'Biogenic Combustion'!E152</f>
        <v>0</v>
      </c>
      <c r="E174" s="98">
        <f>'Biogenic Combustion'!F152</f>
        <v>0</v>
      </c>
      <c r="F174" s="98">
        <f>'Biogenic Combustion'!G152</f>
        <v>0</v>
      </c>
      <c r="G174" s="98">
        <f>'Biogenic Combustion'!H152</f>
        <v>0</v>
      </c>
      <c r="H174" s="98">
        <f>'Biogenic Combustion'!I152</f>
        <v>0</v>
      </c>
      <c r="I174" s="98">
        <f>'Biogenic Combustion'!J152</f>
        <v>0</v>
      </c>
      <c r="J174" s="98">
        <f>'Biogenic Combustion'!K152</f>
        <v>0</v>
      </c>
      <c r="K174" s="98">
        <f>'Biogenic Combustion'!L152</f>
        <v>0</v>
      </c>
      <c r="L174" s="98">
        <f>'Biogenic Combustion'!M152</f>
        <v>0</v>
      </c>
      <c r="M174" s="98">
        <f>'Biogenic Combustion'!N152</f>
        <v>0</v>
      </c>
      <c r="N174" s="98">
        <f>'Biogenic Combustion'!O152</f>
        <v>6.0280000000000008E-8</v>
      </c>
      <c r="O174" s="98">
        <f>'Biogenic Combustion'!P152</f>
        <v>6.0280000000000008E-8</v>
      </c>
      <c r="P174" s="98">
        <f>'Biogenic Combustion'!Q152</f>
        <v>6.0279999999999997E-7</v>
      </c>
      <c r="Q174" s="98">
        <f>'Biogenic Combustion'!R152</f>
        <v>4.9429599999999997E-6</v>
      </c>
      <c r="R174" s="98">
        <f>'Biogenic Combustion'!S152</f>
        <v>1.350272E-5</v>
      </c>
      <c r="S174" s="98">
        <f>'Biogenic Combustion'!T152</f>
        <v>1.428636E-5</v>
      </c>
      <c r="T174" s="98">
        <f>'Biogenic Combustion'!U152</f>
        <v>1.1392920000000002E-5</v>
      </c>
      <c r="U174" s="98">
        <f>'Biogenic Combustion'!V152</f>
        <v>1.2297119999999999E-5</v>
      </c>
      <c r="V174" s="98">
        <f>'Biogenic Combustion'!W152</f>
        <v>2.001296E-5</v>
      </c>
      <c r="W174" s="98">
        <f>'Biogenic Combustion'!X152</f>
        <v>2.04952E-5</v>
      </c>
      <c r="X174" s="98">
        <f>'Biogenic Combustion'!Y152</f>
        <v>1.9470439999999999E-5</v>
      </c>
      <c r="Y174" s="98">
        <f>'Biogenic Combustion'!Z152</f>
        <v>2.0615759999999997E-5</v>
      </c>
      <c r="Z174" s="98">
        <f>'Biogenic Combustion'!AA152</f>
        <v>1.6577000000000001E-5</v>
      </c>
      <c r="AA174" s="98">
        <f>'Biogenic Combustion'!AB152</f>
        <v>1.6396160000000001E-5</v>
      </c>
      <c r="AB174" s="98">
        <f>'Biogenic Combustion'!AC152</f>
        <v>1.6456439999999997E-5</v>
      </c>
      <c r="AC174" s="98">
        <f>'Biogenic Combustion'!AD152</f>
        <v>1.6818120000000002E-5</v>
      </c>
      <c r="AD174" s="98">
        <f>'Biogenic Combustion'!AE152</f>
        <v>1.705924E-5</v>
      </c>
      <c r="AE174" s="98">
        <f>'Biogenic Combustion'!AF152</f>
        <v>1.754148E-5</v>
      </c>
      <c r="AF174" s="98">
        <f>'Biogenic Combustion'!AG152</f>
        <v>1.7782600000000001E-5</v>
      </c>
      <c r="AG174" s="98">
        <f>'Biogenic Combustion'!AH152</f>
        <v>1.7782600000000001E-5</v>
      </c>
      <c r="AH174" s="98">
        <f>'Biogenic Combustion'!AI152</f>
        <v>1.8505959999999999E-5</v>
      </c>
      <c r="AI174" s="98">
        <f>'Biogenic Combustion'!AJ152</f>
        <v>1.8505959999999999E-5</v>
      </c>
    </row>
    <row r="175" spans="1:36" x14ac:dyDescent="0.4">
      <c r="A175" s="1144" t="s">
        <v>14</v>
      </c>
      <c r="B175" s="139">
        <f t="shared" ref="B175:O175" si="90">B176</f>
        <v>0</v>
      </c>
      <c r="C175" s="139">
        <f t="shared" si="90"/>
        <v>0</v>
      </c>
      <c r="D175" s="139">
        <f t="shared" si="90"/>
        <v>0</v>
      </c>
      <c r="E175" s="139">
        <f t="shared" si="90"/>
        <v>1.428902E-4</v>
      </c>
      <c r="F175" s="139">
        <f t="shared" si="90"/>
        <v>3.3569409999999997E-4</v>
      </c>
      <c r="G175" s="139">
        <f t="shared" si="90"/>
        <v>4.6488249999999997E-4</v>
      </c>
      <c r="H175" s="139">
        <f t="shared" si="90"/>
        <v>5.7053316500000001E-4</v>
      </c>
      <c r="I175" s="139">
        <f t="shared" si="90"/>
        <v>1.5515135360000001E-3</v>
      </c>
      <c r="J175" s="139">
        <f t="shared" si="90"/>
        <v>1.9599407051999998E-3</v>
      </c>
      <c r="K175" s="139">
        <f t="shared" si="90"/>
        <v>2.7462684118999998E-3</v>
      </c>
      <c r="L175" s="139">
        <f t="shared" si="90"/>
        <v>2.7462684118999998E-3</v>
      </c>
      <c r="M175" s="139">
        <f t="shared" si="90"/>
        <v>3.5325961185999999E-3</v>
      </c>
      <c r="N175" s="139">
        <f t="shared" si="90"/>
        <v>3.0188177665999997E-3</v>
      </c>
      <c r="O175" s="139">
        <f t="shared" si="90"/>
        <v>3.6280252407999997E-3</v>
      </c>
      <c r="P175" s="139">
        <f t="shared" ref="P175:AI175" si="91">P176</f>
        <v>3.3176285783999998E-3</v>
      </c>
      <c r="Q175" s="139">
        <f t="shared" si="91"/>
        <v>3.6742551139999999E-3</v>
      </c>
      <c r="R175" s="139">
        <f t="shared" si="91"/>
        <v>3.4024505499999995E-3</v>
      </c>
      <c r="S175" s="139">
        <f t="shared" si="91"/>
        <v>3.5811318089999998E-3</v>
      </c>
      <c r="T175" s="139">
        <f t="shared" si="91"/>
        <v>3.8858892019999996E-3</v>
      </c>
      <c r="U175" s="139">
        <f t="shared" si="91"/>
        <v>3.4047152617999996E-3</v>
      </c>
      <c r="V175" s="139">
        <f t="shared" si="91"/>
        <v>3.5030824414000001E-3</v>
      </c>
      <c r="W175" s="139">
        <f t="shared" si="91"/>
        <v>3.5151204513999995E-3</v>
      </c>
      <c r="X175" s="139">
        <f t="shared" si="91"/>
        <v>3.4854580117999992E-3</v>
      </c>
      <c r="Y175" s="139">
        <f t="shared" si="91"/>
        <v>3.6451975109999995E-3</v>
      </c>
      <c r="Z175" s="139">
        <f t="shared" si="91"/>
        <v>4.0514832845999996E-3</v>
      </c>
      <c r="AA175" s="139">
        <f t="shared" si="91"/>
        <v>3.6261852847999996E-3</v>
      </c>
      <c r="AB175" s="139">
        <f t="shared" si="91"/>
        <v>4.1120237092000002E-3</v>
      </c>
      <c r="AC175" s="139">
        <f t="shared" si="91"/>
        <v>3.5003577405999997E-3</v>
      </c>
      <c r="AD175" s="139">
        <f t="shared" si="91"/>
        <v>3.8600417349999999E-3</v>
      </c>
      <c r="AE175" s="139">
        <f t="shared" si="91"/>
        <v>3.4766360099999999E-3</v>
      </c>
      <c r="AF175" s="139">
        <f t="shared" si="91"/>
        <v>3.4634294321999998E-3</v>
      </c>
      <c r="AG175" s="139">
        <f t="shared" si="91"/>
        <v>3.1417013811999997E-3</v>
      </c>
      <c r="AH175" s="139">
        <f t="shared" si="91"/>
        <v>2.4575548479999999E-3</v>
      </c>
      <c r="AI175" s="139">
        <f t="shared" si="91"/>
        <v>2.0491355084000002E-3</v>
      </c>
    </row>
    <row r="176" spans="1:36" ht="16.5" thickBot="1" x14ac:dyDescent="0.45">
      <c r="A176" s="140" t="s">
        <v>330</v>
      </c>
      <c r="B176" s="129">
        <f>'Biogenic Combustion'!C63</f>
        <v>0</v>
      </c>
      <c r="C176" s="129">
        <f>'Biogenic Combustion'!D63</f>
        <v>0</v>
      </c>
      <c r="D176" s="129">
        <f>'Biogenic Combustion'!E63</f>
        <v>0</v>
      </c>
      <c r="E176" s="129">
        <f>'Biogenic Combustion'!F63</f>
        <v>1.428902E-4</v>
      </c>
      <c r="F176" s="129">
        <f>'Biogenic Combustion'!G63</f>
        <v>3.3569409999999997E-4</v>
      </c>
      <c r="G176" s="129">
        <f>'Biogenic Combustion'!H63</f>
        <v>4.6488249999999997E-4</v>
      </c>
      <c r="H176" s="129">
        <f>'Biogenic Combustion'!I63</f>
        <v>5.7053316500000001E-4</v>
      </c>
      <c r="I176" s="129">
        <f>'Biogenic Combustion'!J63</f>
        <v>1.5515135360000001E-3</v>
      </c>
      <c r="J176" s="129">
        <f>'Biogenic Combustion'!K63</f>
        <v>1.9599407051999998E-3</v>
      </c>
      <c r="K176" s="129">
        <f>'Biogenic Combustion'!L63</f>
        <v>2.7462684118999998E-3</v>
      </c>
      <c r="L176" s="129">
        <f>'Biogenic Combustion'!M63</f>
        <v>2.7462684118999998E-3</v>
      </c>
      <c r="M176" s="129">
        <f>'Biogenic Combustion'!N63</f>
        <v>3.5325961185999999E-3</v>
      </c>
      <c r="N176" s="129">
        <f>'Biogenic Combustion'!O63</f>
        <v>3.0188177665999997E-3</v>
      </c>
      <c r="O176" s="129">
        <f>'Biogenic Combustion'!P63</f>
        <v>3.6280252407999997E-3</v>
      </c>
      <c r="P176" s="129">
        <f>'Biogenic Combustion'!Q63</f>
        <v>3.3176285783999998E-3</v>
      </c>
      <c r="Q176" s="129">
        <f>'Biogenic Combustion'!R63</f>
        <v>3.6742551139999999E-3</v>
      </c>
      <c r="R176" s="129">
        <f>'Biogenic Combustion'!S63</f>
        <v>3.4024505499999995E-3</v>
      </c>
      <c r="S176" s="129">
        <f>'Biogenic Combustion'!T63</f>
        <v>3.5811318089999998E-3</v>
      </c>
      <c r="T176" s="129">
        <f>'Biogenic Combustion'!U63</f>
        <v>3.8858892019999996E-3</v>
      </c>
      <c r="U176" s="129">
        <f>'Biogenic Combustion'!V63</f>
        <v>3.4047152617999996E-3</v>
      </c>
      <c r="V176" s="129">
        <f>'Biogenic Combustion'!W63</f>
        <v>3.5030824414000001E-3</v>
      </c>
      <c r="W176" s="129">
        <f>'Biogenic Combustion'!X63</f>
        <v>3.5151204513999995E-3</v>
      </c>
      <c r="X176" s="129">
        <f>'Biogenic Combustion'!Y63</f>
        <v>3.4854580117999992E-3</v>
      </c>
      <c r="Y176" s="129">
        <f>'Biogenic Combustion'!Z63</f>
        <v>3.6451975109999995E-3</v>
      </c>
      <c r="Z176" s="129">
        <f>'Biogenic Combustion'!AA63</f>
        <v>4.0514832845999996E-3</v>
      </c>
      <c r="AA176" s="129">
        <f>'Biogenic Combustion'!AB63</f>
        <v>3.6261852847999996E-3</v>
      </c>
      <c r="AB176" s="129">
        <f>'Biogenic Combustion'!AC63</f>
        <v>4.1120237092000002E-3</v>
      </c>
      <c r="AC176" s="129">
        <f>'Biogenic Combustion'!AD63</f>
        <v>3.5003577405999997E-3</v>
      </c>
      <c r="AD176" s="129">
        <f>'Biogenic Combustion'!AE63</f>
        <v>3.8600417349999999E-3</v>
      </c>
      <c r="AE176" s="129">
        <f>'Biogenic Combustion'!AF63</f>
        <v>3.4766360099999999E-3</v>
      </c>
      <c r="AF176" s="129">
        <f>'Biogenic Combustion'!AG63</f>
        <v>3.4634294321999998E-3</v>
      </c>
      <c r="AG176" s="129">
        <f>'Biogenic Combustion'!AH63</f>
        <v>3.1417013811999997E-3</v>
      </c>
      <c r="AH176" s="129">
        <f>'Biogenic Combustion'!AI63</f>
        <v>2.4575548479999999E-3</v>
      </c>
      <c r="AI176" s="129">
        <f>'Biogenic Combustion'!AJ63</f>
        <v>2.0491355084000002E-3</v>
      </c>
    </row>
    <row r="177" spans="1:35" x14ac:dyDescent="0.4">
      <c r="A177" s="244" t="s">
        <v>20</v>
      </c>
      <c r="B177" s="124">
        <f t="shared" ref="B177:O177" si="92">SUM(B168,B170,B173,B175)</f>
        <v>0</v>
      </c>
      <c r="C177" s="124">
        <f t="shared" si="92"/>
        <v>0</v>
      </c>
      <c r="D177" s="124">
        <f t="shared" si="92"/>
        <v>0</v>
      </c>
      <c r="E177" s="124">
        <f t="shared" si="92"/>
        <v>1.428902E-4</v>
      </c>
      <c r="F177" s="124">
        <f t="shared" si="92"/>
        <v>3.3569409999999997E-4</v>
      </c>
      <c r="G177" s="124">
        <f t="shared" si="92"/>
        <v>4.6488249999999997E-4</v>
      </c>
      <c r="H177" s="124">
        <f t="shared" si="92"/>
        <v>5.7053316500000001E-4</v>
      </c>
      <c r="I177" s="124">
        <f t="shared" si="92"/>
        <v>1.5515135360000001E-3</v>
      </c>
      <c r="J177" s="124">
        <f t="shared" si="92"/>
        <v>1.9599407051999998E-3</v>
      </c>
      <c r="K177" s="124">
        <f t="shared" si="92"/>
        <v>2.7462684118999998E-3</v>
      </c>
      <c r="L177" s="124">
        <f t="shared" si="92"/>
        <v>4.1771278118999996E-3</v>
      </c>
      <c r="M177" s="124">
        <f t="shared" si="92"/>
        <v>4.8170724786000003E-3</v>
      </c>
      <c r="N177" s="124">
        <f t="shared" si="92"/>
        <v>4.7166069265999998E-3</v>
      </c>
      <c r="O177" s="124">
        <f t="shared" si="92"/>
        <v>5.1064650407999998E-3</v>
      </c>
      <c r="P177" s="124">
        <f t="shared" ref="P177:AI177" si="93">SUM(P168,P170,P173,P175)</f>
        <v>6.7135082983999991E-3</v>
      </c>
      <c r="Q177" s="124">
        <f t="shared" si="93"/>
        <v>5.4909877465504596E-3</v>
      </c>
      <c r="R177" s="124">
        <f t="shared" si="93"/>
        <v>5.3567829701680978E-3</v>
      </c>
      <c r="S177" s="124">
        <f t="shared" si="93"/>
        <v>5.4596700505776963E-3</v>
      </c>
      <c r="T177" s="124">
        <f t="shared" si="93"/>
        <v>5.7788913120107605E-3</v>
      </c>
      <c r="U177" s="124">
        <f t="shared" si="93"/>
        <v>5.3717284196827895E-3</v>
      </c>
      <c r="V177" s="124">
        <f t="shared" si="93"/>
        <v>5.3560699265011273E-3</v>
      </c>
      <c r="W177" s="124">
        <f t="shared" si="93"/>
        <v>5.5343579653859189E-3</v>
      </c>
      <c r="X177" s="124">
        <f t="shared" si="93"/>
        <v>5.4368068139568557E-3</v>
      </c>
      <c r="Y177" s="124">
        <f t="shared" si="93"/>
        <v>5.730899897612312E-3</v>
      </c>
      <c r="Z177" s="124">
        <f t="shared" si="93"/>
        <v>6.1251358732210565E-3</v>
      </c>
      <c r="AA177" s="124">
        <f t="shared" si="93"/>
        <v>5.6964155791573278E-3</v>
      </c>
      <c r="AB177" s="124">
        <f t="shared" si="93"/>
        <v>6.2455441794494228E-3</v>
      </c>
      <c r="AC177" s="124">
        <f t="shared" si="93"/>
        <v>5.6627902699624925E-3</v>
      </c>
      <c r="AD177" s="135">
        <f t="shared" si="93"/>
        <v>6.0331499252778975E-3</v>
      </c>
      <c r="AE177" s="124">
        <f t="shared" si="93"/>
        <v>5.6477455411255376E-3</v>
      </c>
      <c r="AF177" s="124">
        <f t="shared" si="93"/>
        <v>5.4239372693263843E-3</v>
      </c>
      <c r="AG177" s="124">
        <f t="shared" si="93"/>
        <v>5.0817782546419797E-3</v>
      </c>
      <c r="AH177" s="124">
        <f t="shared" si="93"/>
        <v>4.3198712589137631E-3</v>
      </c>
      <c r="AI177" s="124">
        <f t="shared" si="93"/>
        <v>4.0225611062371536E-3</v>
      </c>
    </row>
    <row r="178" spans="1:35" x14ac:dyDescent="0.4">
      <c r="A178" s="3" t="s">
        <v>1063</v>
      </c>
      <c r="AI178" s="28"/>
    </row>
    <row r="180" spans="1:35" x14ac:dyDescent="0.4">
      <c r="A180" s="395" t="s">
        <v>1064</v>
      </c>
    </row>
  </sheetData>
  <phoneticPr fontId="34" type="noConversion"/>
  <conditionalFormatting sqref="L1:L38">
    <cfRule type="cellIs" dxfId="28" priority="1" stopIfTrue="1" operator="equal">
      <formula>0</formula>
    </cfRule>
    <cfRule type="cellIs" dxfId="27" priority="2" stopIfTrue="1" operator="notEqual">
      <formula>0</formula>
    </cfRule>
  </conditionalFormatting>
  <hyperlinks>
    <hyperlink ref="A2" location="Contents!A1" display="Return to Contents tab" xr:uid="{9C4A2912-E2AA-4E77-B47D-889E5FF0834B}"/>
    <hyperlink ref="A3" location="'Stationary CH4 and N2O'!A23" display="Go to Data on Stationary CH4 and N2O Worksheet" xr:uid="{92E87EF5-0DAD-40F7-ACDB-94638199A3E5}"/>
  </hyperlinks>
  <pageMargins left="0.7" right="0.7" top="0.75" bottom="0.75" header="0.3" footer="0.3"/>
  <pageSetup scale="17" orientation="landscape" r:id="rId1"/>
  <headerFooter>
    <oddFooter>&amp;L&amp;F &amp;A&amp;R Page &amp;P of &amp;N</oddFooter>
  </headerFooter>
  <drawing r:id="rId2"/>
  <tableParts count="8">
    <tablePart r:id="rId3"/>
    <tablePart r:id="rId4"/>
    <tablePart r:id="rId5"/>
    <tablePart r:id="rId6"/>
    <tablePart r:id="rId7"/>
    <tablePart r:id="rId8"/>
    <tablePart r:id="rId9"/>
    <tablePart r:id="rId10"/>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AJ182"/>
  <sheetViews>
    <sheetView zoomScaleNormal="100" zoomScaleSheetLayoutView="30" workbookViewId="0">
      <pane xSplit="1" topLeftCell="B1" activePane="topRight" state="frozen"/>
      <selection pane="topRight"/>
    </sheetView>
  </sheetViews>
  <sheetFormatPr defaultColWidth="8.81640625" defaultRowHeight="16" x14ac:dyDescent="0.4"/>
  <cols>
    <col min="1" max="1" width="71" style="3" customWidth="1"/>
    <col min="2" max="2" width="16.26953125" style="3" customWidth="1"/>
    <col min="3" max="3" width="14.7265625" style="3" customWidth="1"/>
    <col min="4" max="4" width="15.26953125" style="3" customWidth="1"/>
    <col min="5" max="25" width="11.453125" style="3" customWidth="1"/>
    <col min="26" max="26" width="12.1796875" style="3" customWidth="1"/>
    <col min="27" max="27" width="12.453125" style="3" customWidth="1"/>
    <col min="28" max="28" width="15.26953125" style="3" bestFit="1" customWidth="1"/>
    <col min="29" max="29" width="11.453125" style="3" customWidth="1"/>
    <col min="30" max="30" width="15.26953125" style="3" bestFit="1" customWidth="1"/>
    <col min="31" max="31" width="11.453125" style="3" customWidth="1"/>
    <col min="32" max="33" width="15.26953125" style="3" bestFit="1" customWidth="1"/>
    <col min="34" max="36" width="14.1796875" style="3" customWidth="1"/>
    <col min="37" max="16384" width="8.81640625" style="3"/>
  </cols>
  <sheetData>
    <row r="1" spans="1:19" ht="24" x14ac:dyDescent="0.65">
      <c r="A1" s="332" t="s">
        <v>1187</v>
      </c>
      <c r="B1" s="28"/>
      <c r="C1" s="28"/>
      <c r="D1" s="28"/>
      <c r="E1" s="108"/>
      <c r="F1" s="28"/>
      <c r="G1" s="144"/>
      <c r="H1" s="144"/>
      <c r="I1" s="28"/>
      <c r="J1" s="28"/>
      <c r="K1" s="28"/>
      <c r="L1" s="28"/>
      <c r="M1" s="28"/>
      <c r="N1" s="28"/>
      <c r="O1" s="28"/>
      <c r="P1" s="28"/>
      <c r="Q1" s="28"/>
      <c r="R1" s="28"/>
      <c r="S1" s="28"/>
    </row>
    <row r="2" spans="1:19" x14ac:dyDescent="0.4">
      <c r="A2" s="1011" t="s">
        <v>730</v>
      </c>
      <c r="B2" s="28"/>
      <c r="C2" s="28"/>
      <c r="D2" s="28"/>
      <c r="E2" s="108"/>
      <c r="F2" s="28"/>
      <c r="G2" s="144"/>
      <c r="H2" s="28"/>
      <c r="I2" s="28"/>
      <c r="J2" s="28"/>
      <c r="K2" s="28"/>
      <c r="L2" s="28"/>
      <c r="M2" s="28"/>
      <c r="N2" s="28"/>
      <c r="O2" s="28"/>
      <c r="P2" s="28"/>
      <c r="Q2" s="28"/>
      <c r="R2" s="28"/>
      <c r="S2" s="28"/>
    </row>
    <row r="3" spans="1:19" x14ac:dyDescent="0.4">
      <c r="A3" s="1265" t="s">
        <v>902</v>
      </c>
      <c r="B3" s="28"/>
      <c r="C3" s="28"/>
      <c r="D3" s="28"/>
      <c r="E3" s="108"/>
      <c r="F3" s="28"/>
      <c r="G3" s="144"/>
      <c r="H3" s="28"/>
      <c r="I3" s="28"/>
      <c r="J3" s="28"/>
      <c r="K3" s="28"/>
      <c r="L3" s="28"/>
      <c r="M3" s="28"/>
      <c r="N3" s="28"/>
      <c r="O3" s="28"/>
      <c r="P3" s="28"/>
      <c r="Q3" s="28"/>
      <c r="R3" s="28"/>
      <c r="S3" s="28"/>
    </row>
    <row r="4" spans="1:19" x14ac:dyDescent="0.4">
      <c r="A4" s="1052"/>
      <c r="B4" s="28"/>
      <c r="C4" s="28"/>
      <c r="D4" s="28"/>
      <c r="E4" s="108"/>
      <c r="F4" s="28"/>
      <c r="G4" s="144"/>
      <c r="H4" s="28"/>
      <c r="I4" s="28"/>
      <c r="J4" s="28"/>
      <c r="K4" s="28"/>
      <c r="L4" s="28"/>
      <c r="M4" s="28"/>
      <c r="N4" s="28"/>
      <c r="O4" s="28"/>
      <c r="P4" s="28"/>
      <c r="Q4" s="28"/>
      <c r="R4" s="28"/>
      <c r="S4" s="28"/>
    </row>
    <row r="5" spans="1:19" ht="17" x14ac:dyDescent="0.45">
      <c r="A5" s="108" t="s">
        <v>1188</v>
      </c>
      <c r="B5" s="28"/>
      <c r="C5" s="28"/>
      <c r="D5" s="28"/>
      <c r="E5" s="108"/>
      <c r="F5" s="28"/>
      <c r="G5" s="144"/>
      <c r="H5" s="28"/>
      <c r="I5" s="28"/>
      <c r="J5" s="28"/>
      <c r="K5" s="28"/>
      <c r="L5" s="28"/>
      <c r="M5" s="28"/>
      <c r="N5" s="28"/>
      <c r="O5" s="28"/>
      <c r="P5" s="28"/>
      <c r="Q5" s="28"/>
      <c r="R5" s="28"/>
      <c r="S5" s="28"/>
    </row>
    <row r="6" spans="1:19" x14ac:dyDescent="0.4">
      <c r="A6" s="1175" t="s">
        <v>912</v>
      </c>
      <c r="B6" s="1174" t="s">
        <v>676</v>
      </c>
      <c r="C6" s="1174" t="s">
        <v>673</v>
      </c>
      <c r="D6" s="1174" t="s">
        <v>888</v>
      </c>
      <c r="E6" s="108"/>
      <c r="F6" s="28"/>
      <c r="G6" s="144"/>
      <c r="H6" s="28"/>
      <c r="I6" s="28"/>
      <c r="J6" s="28"/>
      <c r="K6" s="28"/>
      <c r="L6" s="28"/>
      <c r="M6" s="28"/>
      <c r="N6" s="28"/>
      <c r="O6" s="28"/>
      <c r="P6" s="28"/>
      <c r="Q6" s="28"/>
      <c r="R6" s="28"/>
      <c r="S6" s="28"/>
    </row>
    <row r="7" spans="1:19" x14ac:dyDescent="0.4">
      <c r="A7" s="1004">
        <v>1990</v>
      </c>
      <c r="B7" s="1005" t="s">
        <v>700</v>
      </c>
      <c r="C7" s="1313" t="s">
        <v>1052</v>
      </c>
      <c r="D7" s="1061">
        <v>44916</v>
      </c>
      <c r="E7" s="108"/>
      <c r="F7" s="28"/>
      <c r="G7" s="144"/>
      <c r="H7" s="28"/>
      <c r="I7" s="28"/>
      <c r="J7" s="28"/>
      <c r="K7" s="28"/>
      <c r="L7" s="28"/>
      <c r="M7" s="28"/>
      <c r="N7" s="28"/>
      <c r="O7" s="28"/>
      <c r="P7" s="28"/>
      <c r="Q7" s="28"/>
      <c r="R7" s="28"/>
      <c r="S7" s="28"/>
    </row>
    <row r="8" spans="1:19" x14ac:dyDescent="0.4">
      <c r="A8" s="1490" t="s">
        <v>1619</v>
      </c>
      <c r="B8" s="1006" t="s">
        <v>700</v>
      </c>
      <c r="C8" s="1006" t="s">
        <v>671</v>
      </c>
      <c r="D8" s="1007">
        <v>46133</v>
      </c>
      <c r="E8" s="1389"/>
      <c r="F8" s="28"/>
      <c r="G8" s="144"/>
      <c r="H8" s="28"/>
      <c r="I8" s="28"/>
      <c r="J8" s="28"/>
      <c r="K8" s="28"/>
      <c r="L8" s="28"/>
      <c r="M8" s="28"/>
      <c r="N8" s="28"/>
      <c r="O8" s="28"/>
      <c r="P8" s="28"/>
      <c r="Q8" s="28"/>
      <c r="R8" s="28"/>
      <c r="S8" s="28"/>
    </row>
    <row r="9" spans="1:19" x14ac:dyDescent="0.4">
      <c r="A9" s="1097">
        <v>2023</v>
      </c>
      <c r="B9" s="1003" t="s">
        <v>674</v>
      </c>
      <c r="C9" s="1006" t="s">
        <v>672</v>
      </c>
      <c r="D9" s="1007">
        <v>46050</v>
      </c>
      <c r="E9" s="1389"/>
      <c r="F9" s="28"/>
      <c r="G9" s="144"/>
      <c r="H9" s="28"/>
      <c r="I9" s="28"/>
      <c r="J9" s="28"/>
      <c r="K9" s="28"/>
      <c r="L9" s="28"/>
      <c r="M9" s="28"/>
      <c r="N9" s="28"/>
      <c r="O9" s="28"/>
      <c r="P9" s="28"/>
      <c r="Q9" s="28"/>
      <c r="R9" s="28"/>
      <c r="S9" s="28"/>
    </row>
    <row r="10" spans="1:19" x14ac:dyDescent="0.4">
      <c r="A10" s="196" t="s">
        <v>1063</v>
      </c>
      <c r="B10" s="28"/>
      <c r="C10" s="86"/>
      <c r="D10" s="1009"/>
      <c r="E10" s="12"/>
      <c r="F10" s="28"/>
      <c r="G10" s="144"/>
      <c r="H10" s="28"/>
      <c r="I10" s="28"/>
      <c r="J10" s="28"/>
      <c r="K10" s="28"/>
      <c r="L10" s="28"/>
      <c r="M10" s="28"/>
      <c r="N10" s="28"/>
      <c r="O10" s="28"/>
      <c r="P10" s="28"/>
      <c r="Q10" s="28"/>
      <c r="R10" s="28"/>
      <c r="S10" s="28"/>
    </row>
    <row r="11" spans="1:19" x14ac:dyDescent="0.4">
      <c r="A11" s="1011"/>
      <c r="B11" s="28"/>
      <c r="C11" s="28"/>
      <c r="D11" s="28"/>
      <c r="E11" s="108"/>
      <c r="F11" s="28"/>
      <c r="G11" s="144"/>
      <c r="H11" s="28"/>
      <c r="I11" s="28"/>
      <c r="J11" s="28"/>
      <c r="K11" s="28"/>
      <c r="L11" s="28"/>
      <c r="M11" s="28"/>
      <c r="N11" s="28"/>
      <c r="O11" s="28"/>
      <c r="P11" s="28"/>
      <c r="Q11" s="28"/>
      <c r="R11" s="28"/>
      <c r="S11" s="28"/>
    </row>
    <row r="12" spans="1:19" x14ac:dyDescent="0.4">
      <c r="A12" s="108" t="s">
        <v>1067</v>
      </c>
      <c r="B12" s="28"/>
      <c r="C12" s="28"/>
      <c r="D12" s="28"/>
      <c r="E12" s="108"/>
      <c r="F12" s="28"/>
      <c r="G12" s="144"/>
      <c r="H12" s="28"/>
      <c r="I12" s="28"/>
      <c r="J12" s="28"/>
      <c r="K12" s="28"/>
      <c r="L12" s="28"/>
      <c r="M12" s="28"/>
      <c r="N12" s="28"/>
      <c r="O12" s="28"/>
      <c r="P12" s="28"/>
      <c r="Q12" s="28"/>
      <c r="R12" s="28"/>
      <c r="S12" s="28"/>
    </row>
    <row r="13" spans="1:19" ht="17" x14ac:dyDescent="0.45">
      <c r="A13" s="1365" t="s">
        <v>1190</v>
      </c>
      <c r="B13" s="28"/>
      <c r="C13" s="28"/>
      <c r="D13" s="28"/>
      <c r="E13" s="108"/>
      <c r="F13" s="28"/>
      <c r="G13" s="144"/>
      <c r="H13" s="28"/>
      <c r="I13" s="28"/>
      <c r="J13" s="28"/>
      <c r="K13" s="28"/>
      <c r="L13" s="28"/>
      <c r="M13" s="28"/>
      <c r="N13" s="28"/>
      <c r="O13" s="28"/>
      <c r="P13" s="28"/>
      <c r="Q13" s="28"/>
      <c r="R13" s="28"/>
      <c r="S13" s="28"/>
    </row>
    <row r="14" spans="1:19" ht="17" x14ac:dyDescent="0.45">
      <c r="A14" s="1365" t="s">
        <v>1191</v>
      </c>
      <c r="B14" s="28"/>
      <c r="C14" s="28"/>
      <c r="D14" s="28"/>
      <c r="E14" s="108"/>
      <c r="F14" s="28"/>
      <c r="G14" s="144"/>
      <c r="H14" s="28"/>
      <c r="I14" s="28"/>
      <c r="J14" s="28"/>
      <c r="K14" s="28"/>
      <c r="L14" s="28"/>
      <c r="M14" s="28"/>
      <c r="N14" s="28"/>
      <c r="O14" s="28"/>
      <c r="P14" s="28"/>
      <c r="Q14" s="28"/>
      <c r="R14" s="28"/>
      <c r="S14" s="28"/>
    </row>
    <row r="15" spans="1:19" ht="17" x14ac:dyDescent="0.45">
      <c r="A15" s="1365" t="s">
        <v>1192</v>
      </c>
      <c r="B15" s="28"/>
      <c r="C15" s="28"/>
      <c r="D15" s="28"/>
      <c r="E15" s="108"/>
      <c r="F15" s="28"/>
      <c r="G15" s="144"/>
      <c r="H15" s="28"/>
      <c r="I15" s="28"/>
      <c r="J15" s="28"/>
      <c r="K15" s="28"/>
      <c r="L15" s="28"/>
      <c r="M15" s="28"/>
      <c r="N15" s="28"/>
      <c r="O15" s="28"/>
      <c r="P15" s="28"/>
      <c r="Q15" s="28"/>
      <c r="R15" s="28"/>
      <c r="S15" s="28"/>
    </row>
    <row r="16" spans="1:19" ht="17" x14ac:dyDescent="0.45">
      <c r="A16" s="1491" t="s">
        <v>1623</v>
      </c>
      <c r="B16" s="28"/>
      <c r="C16" s="28"/>
      <c r="D16" s="28"/>
      <c r="E16" s="108"/>
      <c r="F16" s="28"/>
      <c r="G16" s="144"/>
      <c r="H16" s="28"/>
      <c r="I16" s="28"/>
      <c r="J16" s="28"/>
      <c r="K16" s="28"/>
      <c r="L16" s="28"/>
      <c r="M16" s="28"/>
      <c r="N16" s="28"/>
      <c r="O16" s="28"/>
      <c r="P16" s="28"/>
      <c r="Q16" s="28"/>
      <c r="R16" s="28"/>
      <c r="S16" s="28"/>
    </row>
    <row r="17" spans="1:36" ht="17" x14ac:dyDescent="0.45">
      <c r="A17" s="1491" t="s">
        <v>1624</v>
      </c>
      <c r="B17" s="28"/>
      <c r="C17" s="28"/>
      <c r="D17" s="28"/>
      <c r="E17" s="108"/>
      <c r="F17" s="28"/>
      <c r="G17" s="144"/>
      <c r="H17" s="28"/>
      <c r="I17" s="28"/>
      <c r="J17" s="28"/>
      <c r="K17" s="28"/>
      <c r="L17" s="28"/>
      <c r="M17" s="28"/>
      <c r="N17" s="28"/>
      <c r="O17" s="28"/>
      <c r="P17" s="28"/>
      <c r="Q17" s="28"/>
      <c r="R17" s="28"/>
      <c r="S17" s="28"/>
    </row>
    <row r="18" spans="1:36" x14ac:dyDescent="0.4">
      <c r="A18" s="108"/>
      <c r="D18" s="28"/>
      <c r="E18" s="28"/>
      <c r="F18" s="12"/>
      <c r="G18" s="144"/>
      <c r="W18" s="4"/>
      <c r="AE18" s="12"/>
    </row>
    <row r="19" spans="1:36" ht="17.5" thickBot="1" x14ac:dyDescent="0.5">
      <c r="A19" s="93" t="s">
        <v>1193</v>
      </c>
      <c r="B19" s="93"/>
      <c r="C19" s="145"/>
      <c r="D19" s="93"/>
      <c r="E19" s="145"/>
      <c r="F19" s="93"/>
      <c r="G19" s="93"/>
      <c r="H19" s="93"/>
      <c r="I19" s="93"/>
      <c r="J19" s="93"/>
      <c r="K19" s="93"/>
      <c r="L19" s="93"/>
      <c r="M19" s="93"/>
      <c r="N19" s="93"/>
      <c r="O19" s="93"/>
      <c r="P19" s="93"/>
      <c r="Q19" s="93"/>
      <c r="R19" s="93"/>
      <c r="S19" s="93"/>
      <c r="U19" s="30"/>
      <c r="V19" s="30"/>
      <c r="W19" s="30"/>
      <c r="AE19" s="12"/>
      <c r="AF19" s="12"/>
      <c r="AH19" s="12"/>
    </row>
    <row r="20" spans="1:36" s="86" customFormat="1" ht="16.5" thickBot="1" x14ac:dyDescent="0.45">
      <c r="A20" s="1001" t="s">
        <v>95</v>
      </c>
      <c r="B20" s="999" t="s">
        <v>391</v>
      </c>
      <c r="C20" s="1000" t="s">
        <v>392</v>
      </c>
      <c r="D20" s="1000" t="s">
        <v>393</v>
      </c>
      <c r="E20" s="1000" t="s">
        <v>394</v>
      </c>
      <c r="F20" s="1000" t="s">
        <v>395</v>
      </c>
      <c r="G20" s="1000" t="s">
        <v>396</v>
      </c>
      <c r="H20" s="1000" t="s">
        <v>397</v>
      </c>
      <c r="I20" s="1000" t="s">
        <v>398</v>
      </c>
      <c r="J20" s="1000" t="s">
        <v>399</v>
      </c>
      <c r="K20" s="1000" t="s">
        <v>400</v>
      </c>
      <c r="L20" s="1000" t="s">
        <v>401</v>
      </c>
      <c r="M20" s="1000" t="s">
        <v>402</v>
      </c>
      <c r="N20" s="1000" t="s">
        <v>403</v>
      </c>
      <c r="O20" s="1000" t="s">
        <v>404</v>
      </c>
      <c r="P20" s="1000" t="s">
        <v>405</v>
      </c>
      <c r="Q20" s="1000" t="s">
        <v>406</v>
      </c>
      <c r="R20" s="1000" t="s">
        <v>407</v>
      </c>
      <c r="S20" s="1000" t="s">
        <v>408</v>
      </c>
      <c r="T20" s="1000" t="s">
        <v>409</v>
      </c>
      <c r="U20" s="1000" t="s">
        <v>410</v>
      </c>
      <c r="V20" s="1000" t="s">
        <v>411</v>
      </c>
      <c r="W20" s="1000" t="s">
        <v>412</v>
      </c>
      <c r="X20" s="1000" t="s">
        <v>413</v>
      </c>
      <c r="Y20" s="1000" t="s">
        <v>414</v>
      </c>
      <c r="Z20" s="1000" t="s">
        <v>415</v>
      </c>
      <c r="AA20" s="1000" t="s">
        <v>416</v>
      </c>
      <c r="AB20" s="1000" t="s">
        <v>417</v>
      </c>
      <c r="AC20" s="1000" t="s">
        <v>418</v>
      </c>
      <c r="AD20" s="1000" t="s">
        <v>419</v>
      </c>
      <c r="AE20" s="1000" t="s">
        <v>420</v>
      </c>
      <c r="AF20" s="1000" t="s">
        <v>421</v>
      </c>
      <c r="AG20" s="1000" t="s">
        <v>422</v>
      </c>
      <c r="AH20" s="1000" t="s">
        <v>423</v>
      </c>
      <c r="AI20" s="1000" t="s">
        <v>424</v>
      </c>
      <c r="AJ20" s="3"/>
    </row>
    <row r="21" spans="1:36" x14ac:dyDescent="0.4">
      <c r="A21" s="108" t="s">
        <v>96</v>
      </c>
      <c r="B21" s="146">
        <v>933098.1178424973</v>
      </c>
      <c r="C21" s="147">
        <v>972494.29810826306</v>
      </c>
      <c r="D21" s="147">
        <v>1013781.1004212949</v>
      </c>
      <c r="E21" s="147">
        <v>1019947.2368343885</v>
      </c>
      <c r="F21" s="147">
        <v>1031308.9089204815</v>
      </c>
      <c r="G21" s="147">
        <v>1056402.1004235889</v>
      </c>
      <c r="H21" s="147">
        <v>1092686.4219179654</v>
      </c>
      <c r="I21" s="147">
        <v>1086579.2340708321</v>
      </c>
      <c r="J21" s="147">
        <v>1093547.1271095681</v>
      </c>
      <c r="K21" s="147">
        <v>1002311.5784269744</v>
      </c>
      <c r="L21" s="147">
        <v>967843.34284195304</v>
      </c>
      <c r="M21" s="147">
        <v>890527.59155174217</v>
      </c>
      <c r="N21" s="147">
        <v>833220.44863042585</v>
      </c>
      <c r="O21" s="147">
        <v>787541.82595616265</v>
      </c>
      <c r="P21" s="147">
        <v>723809.11741562223</v>
      </c>
      <c r="Q21" s="147">
        <v>666289.8843484578</v>
      </c>
      <c r="R21" s="147">
        <v>639245.90278031665</v>
      </c>
      <c r="S21" s="147">
        <v>544206.0197530021</v>
      </c>
      <c r="T21" s="147">
        <v>497802.57792314346</v>
      </c>
      <c r="U21" s="147">
        <v>437666.54368809576</v>
      </c>
      <c r="V21" s="147">
        <v>407119.00302975276</v>
      </c>
      <c r="W21" s="147">
        <v>386925.14737087709</v>
      </c>
      <c r="X21" s="147">
        <v>343153.21997873316</v>
      </c>
      <c r="Y21" s="147">
        <v>302000.29195605841</v>
      </c>
      <c r="Z21" s="147">
        <v>266164.57652635995</v>
      </c>
      <c r="AA21" s="147">
        <v>234702.66379262437</v>
      </c>
      <c r="AB21" s="147">
        <v>217849.41529869655</v>
      </c>
      <c r="AC21" s="147">
        <v>185225.72956904059</v>
      </c>
      <c r="AD21" s="147">
        <v>147746.49008542497</v>
      </c>
      <c r="AE21" s="147">
        <v>173325.85631192298</v>
      </c>
      <c r="AF21" s="147">
        <v>127315.49566860784</v>
      </c>
      <c r="AG21" s="148">
        <v>114521.46905078771</v>
      </c>
      <c r="AH21" s="148">
        <v>128659.48553147803</v>
      </c>
      <c r="AI21" s="148">
        <v>107125.52026235925</v>
      </c>
    </row>
    <row r="22" spans="1:36" x14ac:dyDescent="0.4">
      <c r="A22" s="104" t="s">
        <v>97</v>
      </c>
      <c r="B22" s="146">
        <v>599470.94963486143</v>
      </c>
      <c r="C22" s="147">
        <v>583975.00306587829</v>
      </c>
      <c r="D22" s="147">
        <v>586998.11254147079</v>
      </c>
      <c r="E22" s="147">
        <v>574863.49354570836</v>
      </c>
      <c r="F22" s="147">
        <v>577049.99584017857</v>
      </c>
      <c r="G22" s="147">
        <v>585929.97499798599</v>
      </c>
      <c r="H22" s="147">
        <v>599885.88375123369</v>
      </c>
      <c r="I22" s="147">
        <v>587741.28231457318</v>
      </c>
      <c r="J22" s="147">
        <v>586599.09311258106</v>
      </c>
      <c r="K22" s="147">
        <v>524754.41314859467</v>
      </c>
      <c r="L22" s="147">
        <v>502653.04958828428</v>
      </c>
      <c r="M22" s="147">
        <v>460960.3072243518</v>
      </c>
      <c r="N22" s="147">
        <v>427537.54159737128</v>
      </c>
      <c r="O22" s="147">
        <v>396447.61132462835</v>
      </c>
      <c r="P22" s="147">
        <v>372489.72726255126</v>
      </c>
      <c r="Q22" s="147">
        <v>345119.8416977842</v>
      </c>
      <c r="R22" s="147">
        <v>307963.44547260163</v>
      </c>
      <c r="S22" s="147">
        <v>279926.1299422771</v>
      </c>
      <c r="T22" s="147">
        <v>254026.58537709157</v>
      </c>
      <c r="U22" s="147">
        <v>302611.92449464923</v>
      </c>
      <c r="V22" s="147">
        <v>280724.17854062142</v>
      </c>
      <c r="W22" s="147">
        <v>270826.72109320661</v>
      </c>
      <c r="X22" s="147">
        <v>241846.98394294767</v>
      </c>
      <c r="Y22" s="147">
        <v>213569.9556910044</v>
      </c>
      <c r="Z22" s="147">
        <v>185692.80278384651</v>
      </c>
      <c r="AA22" s="147">
        <v>166813.0228344028</v>
      </c>
      <c r="AB22" s="147">
        <v>149416.98394223276</v>
      </c>
      <c r="AC22" s="147">
        <v>127335.6396579868</v>
      </c>
      <c r="AD22" s="147">
        <v>104681.52730618136</v>
      </c>
      <c r="AE22" s="147">
        <v>116145.61933590603</v>
      </c>
      <c r="AF22" s="147">
        <v>81756.483286937742</v>
      </c>
      <c r="AG22" s="148">
        <v>78561.421718194921</v>
      </c>
      <c r="AH22" s="148">
        <v>89300.356753985281</v>
      </c>
      <c r="AI22" s="148" t="s">
        <v>32</v>
      </c>
    </row>
    <row r="23" spans="1:36" x14ac:dyDescent="0.4">
      <c r="A23" s="104" t="s">
        <v>98</v>
      </c>
      <c r="B23" s="146">
        <v>315103.61517220928</v>
      </c>
      <c r="C23" s="147">
        <v>368048.74446191755</v>
      </c>
      <c r="D23" s="147">
        <v>406329.3465371558</v>
      </c>
      <c r="E23" s="147">
        <v>425441.59920350648</v>
      </c>
      <c r="F23" s="147">
        <v>434283.43199431128</v>
      </c>
      <c r="G23" s="147">
        <v>449910.86573612591</v>
      </c>
      <c r="H23" s="147">
        <v>471049.39247254247</v>
      </c>
      <c r="I23" s="147">
        <v>476456.5011600703</v>
      </c>
      <c r="J23" s="147">
        <v>482814.06404571247</v>
      </c>
      <c r="K23" s="147">
        <v>453308.63493913494</v>
      </c>
      <c r="L23" s="147">
        <v>440861.1513522538</v>
      </c>
      <c r="M23" s="147">
        <v>405333.05684832856</v>
      </c>
      <c r="N23" s="147">
        <v>380356.67233875295</v>
      </c>
      <c r="O23" s="147">
        <v>365193.65770443162</v>
      </c>
      <c r="P23" s="147">
        <v>326285.56412146706</v>
      </c>
      <c r="Q23" s="147">
        <v>298130.29113301664</v>
      </c>
      <c r="R23" s="147">
        <v>324409.27488767257</v>
      </c>
      <c r="S23" s="147">
        <v>257936.32486158563</v>
      </c>
      <c r="T23" s="147">
        <v>237749.32594547392</v>
      </c>
      <c r="U23" s="147">
        <v>126610.01259316967</v>
      </c>
      <c r="V23" s="147">
        <v>119323.64699937691</v>
      </c>
      <c r="W23" s="147">
        <v>109918.71220867313</v>
      </c>
      <c r="X23" s="147">
        <v>95600.069989428652</v>
      </c>
      <c r="Y23" s="147">
        <v>83460.201332420489</v>
      </c>
      <c r="Z23" s="147">
        <v>76124.14281408774</v>
      </c>
      <c r="AA23" s="147">
        <v>64184.476930734716</v>
      </c>
      <c r="AB23" s="147">
        <v>58104.583981238058</v>
      </c>
      <c r="AC23" s="147">
        <v>48974.755686951408</v>
      </c>
      <c r="AD23" s="147">
        <v>35738.836509165543</v>
      </c>
      <c r="AE23" s="147">
        <v>49267.094991677637</v>
      </c>
      <c r="AF23" s="147">
        <v>43745.660051456412</v>
      </c>
      <c r="AG23" s="148">
        <v>31309.713112756825</v>
      </c>
      <c r="AH23" s="148">
        <v>33853.00241992707</v>
      </c>
      <c r="AI23" s="148" t="s">
        <v>32</v>
      </c>
    </row>
    <row r="24" spans="1:36" x14ac:dyDescent="0.4">
      <c r="A24" s="104" t="s">
        <v>99</v>
      </c>
      <c r="B24" s="146">
        <v>17617.99020500691</v>
      </c>
      <c r="C24" s="147">
        <v>19557.927901660798</v>
      </c>
      <c r="D24" s="147">
        <v>19525.114394301978</v>
      </c>
      <c r="E24" s="147">
        <v>18726.757345360042</v>
      </c>
      <c r="F24" s="147">
        <v>19054.915742604579</v>
      </c>
      <c r="G24" s="147">
        <v>19641.947811064882</v>
      </c>
      <c r="H24" s="147">
        <v>20874.662119285411</v>
      </c>
      <c r="I24" s="147">
        <v>21553.457671220865</v>
      </c>
      <c r="J24" s="147">
        <v>23317.393397250118</v>
      </c>
      <c r="K24" s="147">
        <v>23393.021733653233</v>
      </c>
      <c r="L24" s="147">
        <v>23510.223815346711</v>
      </c>
      <c r="M24" s="147">
        <v>23491.25772288044</v>
      </c>
      <c r="N24" s="147">
        <v>24610.869020945203</v>
      </c>
      <c r="O24" s="147">
        <v>25199.371063270228</v>
      </c>
      <c r="P24" s="147">
        <v>24307.666283927425</v>
      </c>
      <c r="Q24" s="147">
        <v>22307.294431756898</v>
      </c>
      <c r="R24" s="147">
        <v>6173.5962161055359</v>
      </c>
      <c r="S24" s="147">
        <v>5864.0128622852353</v>
      </c>
      <c r="T24" s="147">
        <v>5618.4245815082559</v>
      </c>
      <c r="U24" s="147">
        <v>7891.7561277619679</v>
      </c>
      <c r="V24" s="147">
        <v>6627.755894904948</v>
      </c>
      <c r="W24" s="147">
        <v>5764.0574648777765</v>
      </c>
      <c r="X24" s="147">
        <v>5282.0860434509705</v>
      </c>
      <c r="Y24" s="147">
        <v>4613.4184645668001</v>
      </c>
      <c r="Z24" s="147">
        <v>4040.1863007680176</v>
      </c>
      <c r="AA24" s="147">
        <v>3439.6927366671671</v>
      </c>
      <c r="AB24" s="147">
        <v>10082.059009443568</v>
      </c>
      <c r="AC24" s="147">
        <v>8699.3032924581312</v>
      </c>
      <c r="AD24" s="147">
        <v>7148.5531677093477</v>
      </c>
      <c r="AE24" s="147">
        <v>7650.0249818317861</v>
      </c>
      <c r="AF24" s="147">
        <v>1615.2995621371015</v>
      </c>
      <c r="AG24" s="148">
        <v>4198.3642343494212</v>
      </c>
      <c r="AH24" s="148">
        <v>5297.0189328182141</v>
      </c>
      <c r="AI24" s="148" t="s">
        <v>32</v>
      </c>
    </row>
    <row r="25" spans="1:36" ht="16.5" thickBot="1" x14ac:dyDescent="0.45">
      <c r="A25" s="138" t="s">
        <v>100</v>
      </c>
      <c r="B25" s="146">
        <v>905.56283041970892</v>
      </c>
      <c r="C25" s="147">
        <v>912.62267880637569</v>
      </c>
      <c r="D25" s="147">
        <v>928.52694836633793</v>
      </c>
      <c r="E25" s="147">
        <v>915.38673981363627</v>
      </c>
      <c r="F25" s="147">
        <v>920.56534338710014</v>
      </c>
      <c r="G25" s="147">
        <v>919.31187841236567</v>
      </c>
      <c r="H25" s="147">
        <v>876.48357490375554</v>
      </c>
      <c r="I25" s="147">
        <v>827.99292496784074</v>
      </c>
      <c r="J25" s="147">
        <v>816.57655402434079</v>
      </c>
      <c r="K25" s="147">
        <v>855.50860559152079</v>
      </c>
      <c r="L25" s="147">
        <v>818.9180860682236</v>
      </c>
      <c r="M25" s="147">
        <v>742.96975618135389</v>
      </c>
      <c r="N25" s="147">
        <v>715.3656733564917</v>
      </c>
      <c r="O25" s="147">
        <v>701.18586383252159</v>
      </c>
      <c r="P25" s="147">
        <v>726.15974767655962</v>
      </c>
      <c r="Q25" s="147">
        <v>732.457085899959</v>
      </c>
      <c r="R25" s="147">
        <v>699.58620393693332</v>
      </c>
      <c r="S25" s="147">
        <v>479.55208685417131</v>
      </c>
      <c r="T25" s="147">
        <v>408.24201906966482</v>
      </c>
      <c r="U25" s="147">
        <v>552.85047251491642</v>
      </c>
      <c r="V25" s="147">
        <v>443.42159484946205</v>
      </c>
      <c r="W25" s="147">
        <v>415.65660411958896</v>
      </c>
      <c r="X25" s="147">
        <v>424.08000290588689</v>
      </c>
      <c r="Y25" s="147">
        <v>356.71646806673294</v>
      </c>
      <c r="Z25" s="147">
        <v>307.44462765768651</v>
      </c>
      <c r="AA25" s="147">
        <v>265.47129081968177</v>
      </c>
      <c r="AB25" s="147">
        <v>245.7883657821896</v>
      </c>
      <c r="AC25" s="147">
        <v>216.03093164424857</v>
      </c>
      <c r="AD25" s="147">
        <v>177.57310236872485</v>
      </c>
      <c r="AE25" s="147">
        <v>263.11700250752597</v>
      </c>
      <c r="AF25" s="147">
        <v>198.05276807658794</v>
      </c>
      <c r="AG25" s="148">
        <v>451.96998548652937</v>
      </c>
      <c r="AH25" s="148">
        <v>209.10742474746547</v>
      </c>
      <c r="AI25" s="148" t="s">
        <v>32</v>
      </c>
    </row>
    <row r="26" spans="1:36" x14ac:dyDescent="0.4">
      <c r="A26" s="168" t="s">
        <v>101</v>
      </c>
      <c r="B26" s="149">
        <v>3721.6718007483987</v>
      </c>
      <c r="C26" s="150">
        <v>3872.1294651618941</v>
      </c>
      <c r="D26" s="150">
        <v>3969.2535952771368</v>
      </c>
      <c r="E26" s="150">
        <v>3913.5466179848554</v>
      </c>
      <c r="F26" s="150">
        <v>4239.5899203331783</v>
      </c>
      <c r="G26" s="150">
        <v>4383.3571642923698</v>
      </c>
      <c r="H26" s="150">
        <v>4535.3960787975539</v>
      </c>
      <c r="I26" s="150">
        <v>4738.4941663896443</v>
      </c>
      <c r="J26" s="150">
        <v>4953.0614448814922</v>
      </c>
      <c r="K26" s="150">
        <v>5087.1882364177036</v>
      </c>
      <c r="L26" s="150">
        <v>5140.1976985711108</v>
      </c>
      <c r="M26" s="150">
        <v>6054.1955102123657</v>
      </c>
      <c r="N26" s="150">
        <v>6086.1794626744677</v>
      </c>
      <c r="O26" s="150">
        <v>6071.9457325111862</v>
      </c>
      <c r="P26" s="150">
        <v>6321.5275253305263</v>
      </c>
      <c r="Q26" s="150">
        <v>6269.6197514254454</v>
      </c>
      <c r="R26" s="150">
        <v>6818.0912589456057</v>
      </c>
      <c r="S26" s="150">
        <v>13539.68334866935</v>
      </c>
      <c r="T26" s="150">
        <v>17291.778812774068</v>
      </c>
      <c r="U26" s="150">
        <v>24226.436639531585</v>
      </c>
      <c r="V26" s="150">
        <v>26954.267955712792</v>
      </c>
      <c r="W26" s="150">
        <v>29298.93039470349</v>
      </c>
      <c r="X26" s="150">
        <v>34534.170928545049</v>
      </c>
      <c r="Y26" s="150">
        <v>40040.263409641149</v>
      </c>
      <c r="Z26" s="150">
        <v>46626.392063700026</v>
      </c>
      <c r="AA26" s="150">
        <v>51636.619987148813</v>
      </c>
      <c r="AB26" s="150">
        <v>53185.697686526786</v>
      </c>
      <c r="AC26" s="150">
        <v>56561.744750955317</v>
      </c>
      <c r="AD26" s="150">
        <v>59611.068428146544</v>
      </c>
      <c r="AE26" s="150">
        <v>67020.934748452375</v>
      </c>
      <c r="AF26" s="150">
        <v>72881.65910296276</v>
      </c>
      <c r="AG26" s="151">
        <v>73968.732265326631</v>
      </c>
      <c r="AH26" s="151">
        <v>72281.090766111593</v>
      </c>
      <c r="AI26" s="151">
        <v>72242.654649580014</v>
      </c>
    </row>
    <row r="27" spans="1:36" x14ac:dyDescent="0.4">
      <c r="A27" s="104" t="s">
        <v>97</v>
      </c>
      <c r="B27" s="146">
        <v>103.45159832200827</v>
      </c>
      <c r="C27" s="147">
        <v>92.183931627555381</v>
      </c>
      <c r="D27" s="147">
        <v>88.88056790322095</v>
      </c>
      <c r="E27" s="152">
        <v>83.877526832494894</v>
      </c>
      <c r="F27" s="147">
        <v>78.945140722116463</v>
      </c>
      <c r="G27" s="147">
        <v>74.530863407962897</v>
      </c>
      <c r="H27" s="147">
        <v>72.688330033178701</v>
      </c>
      <c r="I27" s="147">
        <v>70.714690499297348</v>
      </c>
      <c r="J27" s="147">
        <v>67.275039566965717</v>
      </c>
      <c r="K27" s="147">
        <v>67.787236916357756</v>
      </c>
      <c r="L27" s="147">
        <v>65.036764757270149</v>
      </c>
      <c r="M27" s="147">
        <v>56.754969073064437</v>
      </c>
      <c r="N27" s="147">
        <v>56.439914553415839</v>
      </c>
      <c r="O27" s="147">
        <v>55.922825960748938</v>
      </c>
      <c r="P27" s="147">
        <v>56.846871105410436</v>
      </c>
      <c r="Q27" s="147">
        <v>56.981536283771362</v>
      </c>
      <c r="R27" s="147">
        <v>49.922524283428352</v>
      </c>
      <c r="S27" s="147">
        <v>56.604579373048026</v>
      </c>
      <c r="T27" s="147">
        <v>63.846089074478584</v>
      </c>
      <c r="U27" s="147">
        <v>193.14953580494091</v>
      </c>
      <c r="V27" s="147">
        <v>355.15982281469434</v>
      </c>
      <c r="W27" s="147">
        <v>527.0274732294838</v>
      </c>
      <c r="X27" s="147">
        <v>709.58123374232161</v>
      </c>
      <c r="Y27" s="147">
        <v>839.58660510834227</v>
      </c>
      <c r="Z27" s="147">
        <v>948.49464053384759</v>
      </c>
      <c r="AA27" s="147">
        <v>1066.9662807368929</v>
      </c>
      <c r="AB27" s="147">
        <v>1088.8636387186937</v>
      </c>
      <c r="AC27" s="147">
        <v>1138.9558554005307</v>
      </c>
      <c r="AD27" s="147">
        <v>1133.3415058735716</v>
      </c>
      <c r="AE27" s="147">
        <v>1206.5917350714335</v>
      </c>
      <c r="AF27" s="147">
        <v>1290.0808727863418</v>
      </c>
      <c r="AG27" s="148">
        <v>1560.1674179790468</v>
      </c>
      <c r="AH27" s="148">
        <v>1394.6971209261822</v>
      </c>
      <c r="AI27" s="148" t="s">
        <v>32</v>
      </c>
    </row>
    <row r="28" spans="1:36" x14ac:dyDescent="0.4">
      <c r="A28" s="104" t="s">
        <v>98</v>
      </c>
      <c r="B28" s="146">
        <v>167.82483632521624</v>
      </c>
      <c r="C28" s="147">
        <v>182.50124345947663</v>
      </c>
      <c r="D28" s="147">
        <v>197.97509754562589</v>
      </c>
      <c r="E28" s="152">
        <v>205.87143450863553</v>
      </c>
      <c r="F28" s="147">
        <v>207.12769361836115</v>
      </c>
      <c r="G28" s="147">
        <v>212.76527049492216</v>
      </c>
      <c r="H28" s="147">
        <v>223.37213823471089</v>
      </c>
      <c r="I28" s="147">
        <v>230.76730516953404</v>
      </c>
      <c r="J28" s="147">
        <v>234.77126648954112</v>
      </c>
      <c r="K28" s="147">
        <v>235.24384416713005</v>
      </c>
      <c r="L28" s="147">
        <v>241.68346646111775</v>
      </c>
      <c r="M28" s="147">
        <v>238.51302720284934</v>
      </c>
      <c r="N28" s="147">
        <v>240.28622165281899</v>
      </c>
      <c r="O28" s="147">
        <v>247.08258638190699</v>
      </c>
      <c r="P28" s="147">
        <v>249.80233051843024</v>
      </c>
      <c r="Q28" s="147">
        <v>255.85375289112233</v>
      </c>
      <c r="R28" s="147">
        <v>290.8693494904644</v>
      </c>
      <c r="S28" s="147">
        <v>936.54265974284067</v>
      </c>
      <c r="T28" s="147">
        <v>1469.421542456761</v>
      </c>
      <c r="U28" s="147">
        <v>935.45575244571887</v>
      </c>
      <c r="V28" s="147">
        <v>1053.8628623313018</v>
      </c>
      <c r="W28" s="147">
        <v>1205.512348204184</v>
      </c>
      <c r="X28" s="147">
        <v>1465.1578020781269</v>
      </c>
      <c r="Y28" s="147">
        <v>1704.9012571642816</v>
      </c>
      <c r="Z28" s="147">
        <v>2064.6889699011904</v>
      </c>
      <c r="AA28" s="147">
        <v>2278.938404673173</v>
      </c>
      <c r="AB28" s="147">
        <v>2465.1039008234029</v>
      </c>
      <c r="AC28" s="147">
        <v>2652.7455415689351</v>
      </c>
      <c r="AD28" s="147">
        <v>2676.6218963313381</v>
      </c>
      <c r="AE28" s="147">
        <v>2641.0458196814234</v>
      </c>
      <c r="AF28" s="147">
        <v>2911.7183345834833</v>
      </c>
      <c r="AG28" s="148">
        <v>3379.2898639609139</v>
      </c>
      <c r="AH28" s="148">
        <v>3196.8666446416119</v>
      </c>
      <c r="AI28" s="148" t="s">
        <v>32</v>
      </c>
    </row>
    <row r="29" spans="1:36" x14ac:dyDescent="0.4">
      <c r="A29" s="104" t="s">
        <v>99</v>
      </c>
      <c r="B29" s="146">
        <v>3450.3953661011742</v>
      </c>
      <c r="C29" s="147">
        <v>3284.2642351564004</v>
      </c>
      <c r="D29" s="147">
        <v>3372.9620836856116</v>
      </c>
      <c r="E29" s="152">
        <v>3307.3529765144399</v>
      </c>
      <c r="F29" s="147">
        <v>3629.1820649642641</v>
      </c>
      <c r="G29" s="147">
        <v>3772.5729473709375</v>
      </c>
      <c r="H29" s="147">
        <v>3903.675799205821</v>
      </c>
      <c r="I29" s="147">
        <v>4094.1675444641951</v>
      </c>
      <c r="J29" s="147">
        <v>4298.7859958004292</v>
      </c>
      <c r="K29" s="147">
        <v>4408.8569214604495</v>
      </c>
      <c r="L29" s="147">
        <v>4463.1078075326104</v>
      </c>
      <c r="M29" s="147">
        <v>5418.5767680359986</v>
      </c>
      <c r="N29" s="147">
        <v>5465.8282662524334</v>
      </c>
      <c r="O29" s="147">
        <v>5454.3284829175618</v>
      </c>
      <c r="P29" s="147">
        <v>5701.4196308974879</v>
      </c>
      <c r="Q29" s="147">
        <v>5632.7544518090381</v>
      </c>
      <c r="R29" s="147">
        <v>6167.1684284989396</v>
      </c>
      <c r="S29" s="147">
        <v>11484.355192733492</v>
      </c>
      <c r="T29" s="147">
        <v>14307.637328712281</v>
      </c>
      <c r="U29" s="147">
        <v>21427.626096280488</v>
      </c>
      <c r="V29" s="147">
        <v>23781.12105696521</v>
      </c>
      <c r="W29" s="147">
        <v>25462.409957148539</v>
      </c>
      <c r="X29" s="147">
        <v>29837.399067300812</v>
      </c>
      <c r="Y29" s="147">
        <v>34645.804796663826</v>
      </c>
      <c r="Z29" s="147">
        <v>40292.667384814464</v>
      </c>
      <c r="AA29" s="147">
        <v>44624.185040479017</v>
      </c>
      <c r="AB29" s="147">
        <v>45611.374358042885</v>
      </c>
      <c r="AC29" s="147">
        <v>48322.70526735251</v>
      </c>
      <c r="AD29" s="147">
        <v>51029.434531955434</v>
      </c>
      <c r="AE29" s="147">
        <v>57242.868156518431</v>
      </c>
      <c r="AF29" s="147">
        <v>64254.574517274108</v>
      </c>
      <c r="AG29" s="148">
        <v>63574.212015390905</v>
      </c>
      <c r="AH29" s="148">
        <v>62304.161409924527</v>
      </c>
      <c r="AI29" s="148" t="s">
        <v>32</v>
      </c>
    </row>
    <row r="30" spans="1:36" ht="16.5" thickBot="1" x14ac:dyDescent="0.45">
      <c r="A30" s="104" t="s">
        <v>102</v>
      </c>
      <c r="B30" s="153" t="s">
        <v>103</v>
      </c>
      <c r="C30" s="147">
        <v>313.18005491846168</v>
      </c>
      <c r="D30" s="147">
        <v>309.4358461426782</v>
      </c>
      <c r="E30" s="147">
        <v>316.44468012928508</v>
      </c>
      <c r="F30" s="147">
        <v>324.33502102843619</v>
      </c>
      <c r="G30" s="147">
        <v>323.48808301854694</v>
      </c>
      <c r="H30" s="147">
        <v>335.65981132384331</v>
      </c>
      <c r="I30" s="147">
        <v>342.84462625661808</v>
      </c>
      <c r="J30" s="147">
        <v>352.22914302455627</v>
      </c>
      <c r="K30" s="147">
        <v>375.30023387376593</v>
      </c>
      <c r="L30" s="147">
        <v>370.36965982011196</v>
      </c>
      <c r="M30" s="147">
        <v>340.35074590045292</v>
      </c>
      <c r="N30" s="147">
        <v>323.62506021579946</v>
      </c>
      <c r="O30" s="147">
        <v>314.61183725096782</v>
      </c>
      <c r="P30" s="147">
        <v>313.4586928091972</v>
      </c>
      <c r="Q30" s="147">
        <v>324.03001044151353</v>
      </c>
      <c r="R30" s="147">
        <v>310.13095667277332</v>
      </c>
      <c r="S30" s="147">
        <v>1062.1809168199688</v>
      </c>
      <c r="T30" s="147">
        <v>1450.8738525305473</v>
      </c>
      <c r="U30" s="147">
        <v>1670.2052550004369</v>
      </c>
      <c r="V30" s="147">
        <v>1764.124213601586</v>
      </c>
      <c r="W30" s="147">
        <v>2103.9806161212837</v>
      </c>
      <c r="X30" s="147">
        <v>2522.0328254237879</v>
      </c>
      <c r="Y30" s="147">
        <v>2849.9707507046996</v>
      </c>
      <c r="Z30" s="147">
        <v>3320.5410684505246</v>
      </c>
      <c r="AA30" s="147">
        <v>3666.5302612597284</v>
      </c>
      <c r="AB30" s="147">
        <v>4020.3557889418107</v>
      </c>
      <c r="AC30" s="147">
        <v>4447.3380866333364</v>
      </c>
      <c r="AD30" s="147">
        <v>4771.6704939862038</v>
      </c>
      <c r="AE30" s="147">
        <v>5930.4290371810866</v>
      </c>
      <c r="AF30" s="147">
        <v>4425.2853783188257</v>
      </c>
      <c r="AG30" s="154">
        <v>5455.0629679957565</v>
      </c>
      <c r="AH30" s="154">
        <v>5385.3655906192789</v>
      </c>
      <c r="AI30" s="154" t="s">
        <v>32</v>
      </c>
    </row>
    <row r="31" spans="1:36" x14ac:dyDescent="0.4">
      <c r="A31" s="169" t="s">
        <v>104</v>
      </c>
      <c r="B31" s="149">
        <v>138469.11452540325</v>
      </c>
      <c r="C31" s="150">
        <v>106943.16723066733</v>
      </c>
      <c r="D31" s="150">
        <v>97007.398138565623</v>
      </c>
      <c r="E31" s="150">
        <v>63522.799316646357</v>
      </c>
      <c r="F31" s="150">
        <v>102109.42401829016</v>
      </c>
      <c r="G31" s="150">
        <v>99992.407350408001</v>
      </c>
      <c r="H31" s="150">
        <v>117111.34357454794</v>
      </c>
      <c r="I31" s="150">
        <v>114516.79679863009</v>
      </c>
      <c r="J31" s="150">
        <v>101354.31857480209</v>
      </c>
      <c r="K31" s="150">
        <v>114713.61956353061</v>
      </c>
      <c r="L31" s="150">
        <v>119831.49856043566</v>
      </c>
      <c r="M31" s="150">
        <v>142507.72796205597</v>
      </c>
      <c r="N31" s="150">
        <v>135938.69625611839</v>
      </c>
      <c r="O31" s="150">
        <v>136875.95237567156</v>
      </c>
      <c r="P31" s="150">
        <v>142918.72711584595</v>
      </c>
      <c r="Q31" s="150">
        <v>154188.72785488999</v>
      </c>
      <c r="R31" s="150">
        <v>167053.82427924185</v>
      </c>
      <c r="S31" s="150">
        <v>154239.57976075466</v>
      </c>
      <c r="T31" s="150">
        <v>153320.54454038836</v>
      </c>
      <c r="U31" s="150">
        <v>137908.5341693493</v>
      </c>
      <c r="V31" s="150">
        <v>148459.66688443688</v>
      </c>
      <c r="W31" s="150">
        <v>157519.02754146646</v>
      </c>
      <c r="X31" s="150">
        <v>141664.61990590225</v>
      </c>
      <c r="Y31" s="150">
        <v>152891.69279899466</v>
      </c>
      <c r="Z31" s="150">
        <v>151678.9418699292</v>
      </c>
      <c r="AA31" s="150">
        <v>103428.16358401884</v>
      </c>
      <c r="AB31" s="150">
        <v>107842.86349344638</v>
      </c>
      <c r="AC31" s="150">
        <v>111622.52064042074</v>
      </c>
      <c r="AD31" s="150">
        <v>113593.82927364021</v>
      </c>
      <c r="AE31" s="150">
        <v>118016.06633900726</v>
      </c>
      <c r="AF31" s="150">
        <v>99722.00476063801</v>
      </c>
      <c r="AG31" s="148">
        <v>116878.63465021913</v>
      </c>
      <c r="AH31" s="148">
        <v>119893.77129077633</v>
      </c>
      <c r="AI31" s="148">
        <v>128704.1775338929</v>
      </c>
    </row>
    <row r="32" spans="1:36" x14ac:dyDescent="0.4">
      <c r="A32" s="104" t="s">
        <v>105</v>
      </c>
      <c r="B32" s="146">
        <v>15733.01044338192</v>
      </c>
      <c r="C32" s="147">
        <v>8345.6251124252158</v>
      </c>
      <c r="D32" s="147">
        <v>6341.7335584809589</v>
      </c>
      <c r="E32" s="147">
        <v>4892.1001869009806</v>
      </c>
      <c r="F32" s="147">
        <v>5094.045638197359</v>
      </c>
      <c r="G32" s="147">
        <v>3752.6842304431761</v>
      </c>
      <c r="H32" s="147">
        <v>19826.931446813673</v>
      </c>
      <c r="I32" s="147">
        <v>15547.481807182663</v>
      </c>
      <c r="J32" s="147">
        <v>2240.475679965522</v>
      </c>
      <c r="K32" s="147">
        <v>2395.3100303899291</v>
      </c>
      <c r="L32" s="147">
        <v>6836.0995536417249</v>
      </c>
      <c r="M32" s="147">
        <v>4006.8549082510099</v>
      </c>
      <c r="N32" s="147">
        <v>4598.5101370490429</v>
      </c>
      <c r="O32" s="147">
        <v>1843.8794537676647</v>
      </c>
      <c r="P32" s="147">
        <v>1824.8737818721863</v>
      </c>
      <c r="Q32" s="147">
        <v>7643.5176952443935</v>
      </c>
      <c r="R32" s="147">
        <v>5200.1189440332164</v>
      </c>
      <c r="S32" s="147">
        <v>4270.4572350808658</v>
      </c>
      <c r="T32" s="147">
        <v>4367.7186885126757</v>
      </c>
      <c r="U32" s="147">
        <v>5235.4403832067592</v>
      </c>
      <c r="V32" s="147">
        <v>4296.7022320988708</v>
      </c>
      <c r="W32" s="147">
        <v>3780.4657694286361</v>
      </c>
      <c r="X32" s="147">
        <v>3414.1280330071604</v>
      </c>
      <c r="Y32" s="147">
        <v>3836.3669133670246</v>
      </c>
      <c r="Z32" s="147">
        <v>2988.248099955601</v>
      </c>
      <c r="AA32" s="147">
        <v>4148.2403306826827</v>
      </c>
      <c r="AB32" s="147">
        <v>5547.0887248226763</v>
      </c>
      <c r="AC32" s="147">
        <v>6730.777394011413</v>
      </c>
      <c r="AD32" s="147">
        <v>4314.3722796952961</v>
      </c>
      <c r="AE32" s="147">
        <v>5470.7699096629112</v>
      </c>
      <c r="AF32" s="147">
        <v>3767.8492854636534</v>
      </c>
      <c r="AG32" s="148">
        <v>6465.3368025906957</v>
      </c>
      <c r="AH32" s="148">
        <v>5534.9445425708473</v>
      </c>
      <c r="AI32" s="148" t="s">
        <v>32</v>
      </c>
    </row>
    <row r="33" spans="1:36" x14ac:dyDescent="0.4">
      <c r="A33" s="104" t="s">
        <v>106</v>
      </c>
      <c r="B33" s="146">
        <v>1471.5815400000001</v>
      </c>
      <c r="C33" s="147">
        <v>1501.1826075899999</v>
      </c>
      <c r="D33" s="147">
        <v>1025.6604078899998</v>
      </c>
      <c r="E33" s="147">
        <v>752.44955687999982</v>
      </c>
      <c r="F33" s="147">
        <v>1478.7882755400001</v>
      </c>
      <c r="G33" s="147">
        <v>1332.4151094599997</v>
      </c>
      <c r="H33" s="147">
        <v>1156.1193039599998</v>
      </c>
      <c r="I33" s="147">
        <v>924.55238106000002</v>
      </c>
      <c r="J33" s="147">
        <v>1188.9007942799999</v>
      </c>
      <c r="K33" s="147">
        <v>1088.74571775</v>
      </c>
      <c r="L33" s="147">
        <v>1698.7292047800001</v>
      </c>
      <c r="M33" s="147">
        <v>1964.2211583599997</v>
      </c>
      <c r="N33" s="147">
        <v>1130.3896458599997</v>
      </c>
      <c r="O33" s="147">
        <v>1704.2563165199997</v>
      </c>
      <c r="P33" s="147">
        <v>4142.9514292499998</v>
      </c>
      <c r="Q33" s="147">
        <v>5756.6774672699994</v>
      </c>
      <c r="R33" s="147">
        <v>6304.2427096499987</v>
      </c>
      <c r="S33" s="147">
        <v>5888.7563788500011</v>
      </c>
      <c r="T33" s="147">
        <v>3270.62072463</v>
      </c>
      <c r="U33" s="147">
        <v>2501.01806235</v>
      </c>
      <c r="V33" s="147">
        <v>3088.3213322399997</v>
      </c>
      <c r="W33" s="147">
        <v>3166.0820767199993</v>
      </c>
      <c r="X33" s="147">
        <v>1072.25967756</v>
      </c>
      <c r="Y33" s="147">
        <v>1434.6666766499998</v>
      </c>
      <c r="Z33" s="147">
        <v>1930.7726028299996</v>
      </c>
      <c r="AA33" s="147">
        <v>2541.0419749499997</v>
      </c>
      <c r="AB33" s="147">
        <v>3170.2750580399993</v>
      </c>
      <c r="AC33" s="147">
        <v>1180.51483164</v>
      </c>
      <c r="AD33" s="147">
        <v>2182.6373671199999</v>
      </c>
      <c r="AE33" s="147">
        <v>1865.4955072800001</v>
      </c>
      <c r="AF33" s="147">
        <v>4810.6837044599988</v>
      </c>
      <c r="AG33" s="148">
        <v>4810.6837044599988</v>
      </c>
      <c r="AH33" s="148">
        <v>4810.6837044599988</v>
      </c>
      <c r="AI33" s="148" t="s">
        <v>32</v>
      </c>
    </row>
    <row r="34" spans="1:36" x14ac:dyDescent="0.4">
      <c r="A34" s="104" t="s">
        <v>107</v>
      </c>
      <c r="B34" s="146">
        <v>2238.6464702979652</v>
      </c>
      <c r="C34" s="147">
        <v>2759.214822105143</v>
      </c>
      <c r="D34" s="147">
        <v>2225.9173807787893</v>
      </c>
      <c r="E34" s="147">
        <v>2204.9220351144199</v>
      </c>
      <c r="F34" s="147">
        <v>1975.5527052707614</v>
      </c>
      <c r="G34" s="147">
        <v>1822.7344306386644</v>
      </c>
      <c r="H34" s="147">
        <v>2529.4459338505499</v>
      </c>
      <c r="I34" s="147">
        <v>2352.316586100997</v>
      </c>
      <c r="J34" s="147">
        <v>1368.5267089853676</v>
      </c>
      <c r="K34" s="147">
        <v>2533.7709870552212</v>
      </c>
      <c r="L34" s="147">
        <v>1507.9349250337934</v>
      </c>
      <c r="M34" s="147">
        <v>1986.0843335050174</v>
      </c>
      <c r="N34" s="147">
        <v>2688.458312979998</v>
      </c>
      <c r="O34" s="147">
        <v>2648.9037503879404</v>
      </c>
      <c r="P34" s="147">
        <v>3008.0937034660551</v>
      </c>
      <c r="Q34" s="147">
        <v>2457.5791078046291</v>
      </c>
      <c r="R34" s="147">
        <v>3805.4628895003557</v>
      </c>
      <c r="S34" s="147">
        <v>2673.6033940162961</v>
      </c>
      <c r="T34" s="147">
        <v>1129.5097270228789</v>
      </c>
      <c r="U34" s="147">
        <v>1259.0032118818988</v>
      </c>
      <c r="V34" s="147">
        <v>3941.3591688207343</v>
      </c>
      <c r="W34" s="147">
        <v>4171.4834025335404</v>
      </c>
      <c r="X34" s="147">
        <v>4684.0317745913944</v>
      </c>
      <c r="Y34" s="147">
        <v>3217.3494606101867</v>
      </c>
      <c r="Z34" s="147">
        <v>3222.6139645635599</v>
      </c>
      <c r="AA34" s="147">
        <v>564.61973671500596</v>
      </c>
      <c r="AB34" s="147">
        <v>467.22334725076269</v>
      </c>
      <c r="AC34" s="147">
        <v>626.83890630505402</v>
      </c>
      <c r="AD34" s="147">
        <v>693.52251826449606</v>
      </c>
      <c r="AE34" s="147">
        <v>411.9294449721553</v>
      </c>
      <c r="AF34" s="147">
        <v>565.50027766432356</v>
      </c>
      <c r="AG34" s="148">
        <v>572.97473395146835</v>
      </c>
      <c r="AH34" s="148">
        <v>583.82228270731105</v>
      </c>
      <c r="AI34" s="148" t="s">
        <v>32</v>
      </c>
    </row>
    <row r="35" spans="1:36" x14ac:dyDescent="0.4">
      <c r="A35" s="104" t="s">
        <v>108</v>
      </c>
      <c r="B35" s="146">
        <v>37917.108619130217</v>
      </c>
      <c r="C35" s="147">
        <v>26290.817466880526</v>
      </c>
      <c r="D35" s="147">
        <v>27432.512416068297</v>
      </c>
      <c r="E35" s="147">
        <v>0</v>
      </c>
      <c r="F35" s="147">
        <v>38216.602522666959</v>
      </c>
      <c r="G35" s="147">
        <v>40046.23477649378</v>
      </c>
      <c r="H35" s="147">
        <v>39478.532518822816</v>
      </c>
      <c r="I35" s="147">
        <v>40394.639858569986</v>
      </c>
      <c r="J35" s="147">
        <v>44534.582194059862</v>
      </c>
      <c r="K35" s="147">
        <v>40667.490769732387</v>
      </c>
      <c r="L35" s="147">
        <v>38809.283343703115</v>
      </c>
      <c r="M35" s="147">
        <v>63576.905148352424</v>
      </c>
      <c r="N35" s="147">
        <v>59007.223043443148</v>
      </c>
      <c r="O35" s="147">
        <v>57425.614451475041</v>
      </c>
      <c r="P35" s="147">
        <v>52815.327789706738</v>
      </c>
      <c r="Q35" s="147">
        <v>54073.253883917758</v>
      </c>
      <c r="R35" s="147">
        <v>61718.730314365028</v>
      </c>
      <c r="S35" s="147">
        <v>51924.865577205783</v>
      </c>
      <c r="T35" s="147">
        <v>45612.881095713492</v>
      </c>
      <c r="U35" s="147">
        <v>43261.809959050413</v>
      </c>
      <c r="V35" s="147">
        <v>45055.691490310841</v>
      </c>
      <c r="W35" s="147">
        <v>45390.758356657672</v>
      </c>
      <c r="X35" s="147">
        <v>43858.391077957371</v>
      </c>
      <c r="Y35" s="147">
        <v>45406.782305633933</v>
      </c>
      <c r="Z35" s="147">
        <v>43274.779348726865</v>
      </c>
      <c r="AA35" s="147">
        <v>16749.881981461884</v>
      </c>
      <c r="AB35" s="147">
        <v>17467.238986642627</v>
      </c>
      <c r="AC35" s="147">
        <v>18917.0711542235</v>
      </c>
      <c r="AD35" s="147">
        <v>19740.444809740267</v>
      </c>
      <c r="AE35" s="147">
        <v>20824.398265596781</v>
      </c>
      <c r="AF35" s="147">
        <v>19035.253364247776</v>
      </c>
      <c r="AG35" s="148">
        <v>23454.033448613092</v>
      </c>
      <c r="AH35" s="148">
        <v>12608.629786226769</v>
      </c>
      <c r="AI35" s="148" t="s">
        <v>32</v>
      </c>
    </row>
    <row r="36" spans="1:36" x14ac:dyDescent="0.4">
      <c r="A36" s="104" t="s">
        <v>109</v>
      </c>
      <c r="B36" s="146">
        <v>43756.759238037266</v>
      </c>
      <c r="C36" s="147">
        <v>35626.801287093345</v>
      </c>
      <c r="D36" s="147">
        <v>26349.011569925358</v>
      </c>
      <c r="E36" s="147">
        <v>26185.080690139865</v>
      </c>
      <c r="F36" s="147">
        <v>24022.454926314374</v>
      </c>
      <c r="G36" s="147">
        <v>22009.427549120279</v>
      </c>
      <c r="H36" s="147">
        <v>22968.011209637567</v>
      </c>
      <c r="I36" s="147">
        <v>23026.66771913207</v>
      </c>
      <c r="J36" s="147">
        <v>21652.287686824704</v>
      </c>
      <c r="K36" s="147">
        <v>22642.172396896294</v>
      </c>
      <c r="L36" s="147">
        <v>22839.539996568954</v>
      </c>
      <c r="M36" s="147">
        <v>19368.544913249341</v>
      </c>
      <c r="N36" s="147">
        <v>15685.820005613186</v>
      </c>
      <c r="O36" s="147">
        <v>18081.27013951504</v>
      </c>
      <c r="P36" s="147">
        <v>23205.449463255321</v>
      </c>
      <c r="Q36" s="147">
        <v>25544.817183341267</v>
      </c>
      <c r="R36" s="147">
        <v>23189.798732751806</v>
      </c>
      <c r="S36" s="147">
        <v>23117.01281112391</v>
      </c>
      <c r="T36" s="147">
        <v>30383.826922189735</v>
      </c>
      <c r="U36" s="147">
        <v>17429.938724221909</v>
      </c>
      <c r="V36" s="147">
        <v>23760.867092363089</v>
      </c>
      <c r="W36" s="147">
        <v>23376.150130983318</v>
      </c>
      <c r="X36" s="147">
        <v>23183.277033552509</v>
      </c>
      <c r="Y36" s="147">
        <v>24038.618800138072</v>
      </c>
      <c r="Z36" s="147">
        <v>23590.63219142575</v>
      </c>
      <c r="AA36" s="147">
        <v>23079.983184785357</v>
      </c>
      <c r="AB36" s="147">
        <v>24422.373214459451</v>
      </c>
      <c r="AC36" s="147">
        <v>26610.631927037211</v>
      </c>
      <c r="AD36" s="147">
        <v>28382.795767488195</v>
      </c>
      <c r="AE36" s="147">
        <v>30149.722604601953</v>
      </c>
      <c r="AF36" s="147">
        <v>15538.60265547288</v>
      </c>
      <c r="AG36" s="148">
        <v>21900.109852077054</v>
      </c>
      <c r="AH36" s="148">
        <v>27068.187537167923</v>
      </c>
      <c r="AI36" s="148">
        <v>26826.939739169353</v>
      </c>
    </row>
    <row r="37" spans="1:36" ht="16.5" thickBot="1" x14ac:dyDescent="0.45">
      <c r="A37" s="138" t="s">
        <v>110</v>
      </c>
      <c r="B37" s="146">
        <v>37352.008214555877</v>
      </c>
      <c r="C37" s="147">
        <v>32419.525934573106</v>
      </c>
      <c r="D37" s="147">
        <v>33632.562805422225</v>
      </c>
      <c r="E37" s="147">
        <v>29488.246847611095</v>
      </c>
      <c r="F37" s="147">
        <v>31321.979950300716</v>
      </c>
      <c r="G37" s="147">
        <v>31028.911254252096</v>
      </c>
      <c r="H37" s="147">
        <v>31152.303161463315</v>
      </c>
      <c r="I37" s="147">
        <v>32271.138446584366</v>
      </c>
      <c r="J37" s="147">
        <v>30369.545510686625</v>
      </c>
      <c r="K37" s="147">
        <v>45386.129661706764</v>
      </c>
      <c r="L37" s="147">
        <v>48139.911536708089</v>
      </c>
      <c r="M37" s="147">
        <v>51605.11750033818</v>
      </c>
      <c r="N37" s="147">
        <v>52828.295111173</v>
      </c>
      <c r="O37" s="147">
        <v>55172.028264005879</v>
      </c>
      <c r="P37" s="147">
        <v>57922.030948295651</v>
      </c>
      <c r="Q37" s="147">
        <v>58712.882517311948</v>
      </c>
      <c r="R37" s="147">
        <v>66835.470688941452</v>
      </c>
      <c r="S37" s="147">
        <v>66364.884364477781</v>
      </c>
      <c r="T37" s="147">
        <v>68555.987382319581</v>
      </c>
      <c r="U37" s="147">
        <v>68221.323828638313</v>
      </c>
      <c r="V37" s="147">
        <v>68316.725568603346</v>
      </c>
      <c r="W37" s="147">
        <v>77634.08780514331</v>
      </c>
      <c r="X37" s="147">
        <v>65452.532309233793</v>
      </c>
      <c r="Y37" s="147">
        <v>74957.908642595416</v>
      </c>
      <c r="Z37" s="147">
        <v>76671.895662427429</v>
      </c>
      <c r="AA37" s="147">
        <v>56344.396375423908</v>
      </c>
      <c r="AB37" s="147">
        <v>56768.664162230853</v>
      </c>
      <c r="AC37" s="147">
        <v>57556.68642720356</v>
      </c>
      <c r="AD37" s="147">
        <v>58280.056531331953</v>
      </c>
      <c r="AE37" s="147">
        <v>59293.750606893453</v>
      </c>
      <c r="AF37" s="147">
        <v>56004.115473329381</v>
      </c>
      <c r="AG37" s="148">
        <v>59675.496108526822</v>
      </c>
      <c r="AH37" s="148">
        <v>69287.503437643478</v>
      </c>
      <c r="AI37" s="148" t="s">
        <v>32</v>
      </c>
    </row>
    <row r="38" spans="1:36" x14ac:dyDescent="0.4">
      <c r="A38" s="108" t="s">
        <v>111</v>
      </c>
      <c r="B38" s="149">
        <v>18.771770940411521</v>
      </c>
      <c r="C38" s="150">
        <v>18.712678593759282</v>
      </c>
      <c r="D38" s="150">
        <v>16.70158524187919</v>
      </c>
      <c r="E38" s="150">
        <v>20.684313668836197</v>
      </c>
      <c r="F38" s="150">
        <v>19.321117747962251</v>
      </c>
      <c r="G38" s="150">
        <v>19.124131024870277</v>
      </c>
      <c r="H38" s="150">
        <v>21.927429383754703</v>
      </c>
      <c r="I38" s="150">
        <v>26.126982779592289</v>
      </c>
      <c r="J38" s="150">
        <v>30.766364884554875</v>
      </c>
      <c r="K38" s="150">
        <v>47.053399151409565</v>
      </c>
      <c r="L38" s="150">
        <v>62.060330338382265</v>
      </c>
      <c r="M38" s="150">
        <v>63.076011397120453</v>
      </c>
      <c r="N38" s="150">
        <v>71.645647139275127</v>
      </c>
      <c r="O38" s="150">
        <v>261.81223825673089</v>
      </c>
      <c r="P38" s="150">
        <v>239.20470483431239</v>
      </c>
      <c r="Q38" s="150">
        <v>202.10823927289999</v>
      </c>
      <c r="R38" s="150">
        <v>185.22821568205981</v>
      </c>
      <c r="S38" s="150">
        <v>172.89623047501152</v>
      </c>
      <c r="T38" s="150">
        <v>148.66712794878387</v>
      </c>
      <c r="U38" s="150">
        <v>138.69599000274513</v>
      </c>
      <c r="V38" s="150">
        <v>211.48927620016815</v>
      </c>
      <c r="W38" s="150">
        <v>196.88848759310551</v>
      </c>
      <c r="X38" s="150">
        <v>208.15700364630803</v>
      </c>
      <c r="Y38" s="150">
        <v>218.24135281234646</v>
      </c>
      <c r="Z38" s="150">
        <v>244.89434612798604</v>
      </c>
      <c r="AA38" s="150">
        <v>239.87059754067835</v>
      </c>
      <c r="AB38" s="150">
        <v>255.7077080973645</v>
      </c>
      <c r="AC38" s="150">
        <v>275.00073334193951</v>
      </c>
      <c r="AD38" s="150">
        <v>304.1521013564772</v>
      </c>
      <c r="AE38" s="150">
        <v>321.28467481556117</v>
      </c>
      <c r="AF38" s="150">
        <v>314.18687194938968</v>
      </c>
      <c r="AG38" s="151">
        <v>338.82409607439382</v>
      </c>
      <c r="AH38" s="151">
        <v>382.54888056961431</v>
      </c>
      <c r="AI38" s="151">
        <v>942.13714701438175</v>
      </c>
    </row>
    <row r="39" spans="1:36" x14ac:dyDescent="0.4">
      <c r="A39" s="104" t="s">
        <v>112</v>
      </c>
      <c r="B39" s="146">
        <v>1.7456072950259685</v>
      </c>
      <c r="C39" s="147">
        <v>0.82500068420881001</v>
      </c>
      <c r="D39" s="147">
        <v>0.73615798050769188</v>
      </c>
      <c r="E39" s="147">
        <v>0.94637380188641818</v>
      </c>
      <c r="F39" s="147">
        <v>0.90979465568670825</v>
      </c>
      <c r="G39" s="147">
        <v>0.88717171740788459</v>
      </c>
      <c r="H39" s="147">
        <v>0.98882842825313633</v>
      </c>
      <c r="I39" s="147">
        <v>1.1641428519689017</v>
      </c>
      <c r="J39" s="147">
        <v>1.4391700331869772</v>
      </c>
      <c r="K39" s="147">
        <v>1.8006509047453836</v>
      </c>
      <c r="L39" s="147">
        <v>2.7925752160394817</v>
      </c>
      <c r="M39" s="147">
        <v>3.9543585983517864</v>
      </c>
      <c r="N39" s="147">
        <v>4.9702697927785566</v>
      </c>
      <c r="O39" s="147">
        <v>18.870207720002416</v>
      </c>
      <c r="P39" s="147">
        <v>16.612475261117677</v>
      </c>
      <c r="Q39" s="147">
        <v>13.278428019176534</v>
      </c>
      <c r="R39" s="147">
        <v>10.390859454850407</v>
      </c>
      <c r="S39" s="147">
        <v>8.5678538875600392</v>
      </c>
      <c r="T39" s="147">
        <v>5.357861673404166</v>
      </c>
      <c r="U39" s="147">
        <v>5.1759969427871191</v>
      </c>
      <c r="V39" s="147">
        <v>5.6146560720666461</v>
      </c>
      <c r="W39" s="147">
        <v>5.4118417902347256</v>
      </c>
      <c r="X39" s="147">
        <v>6.0304179172846872</v>
      </c>
      <c r="Y39" s="147">
        <v>6.7619359070096063</v>
      </c>
      <c r="Z39" s="147">
        <v>6.2493783583777249</v>
      </c>
      <c r="AA39" s="147">
        <v>6.07381576623421</v>
      </c>
      <c r="AB39" s="147">
        <v>7.1376330774197516</v>
      </c>
      <c r="AC39" s="147">
        <v>8.3440468451057619</v>
      </c>
      <c r="AD39" s="147">
        <v>7.9290462194442775</v>
      </c>
      <c r="AE39" s="147">
        <v>8.4231676743285995</v>
      </c>
      <c r="AF39" s="147">
        <v>8.8668702841672946</v>
      </c>
      <c r="AG39" s="148">
        <v>9.3320863981775659</v>
      </c>
      <c r="AH39" s="148">
        <v>10.543218914611874</v>
      </c>
      <c r="AI39" s="148" t="s">
        <v>32</v>
      </c>
    </row>
    <row r="40" spans="1:36" x14ac:dyDescent="0.4">
      <c r="A40" s="104" t="s">
        <v>113</v>
      </c>
      <c r="B40" s="146">
        <v>16.651816805343486</v>
      </c>
      <c r="C40" s="147">
        <v>17.370954347558477</v>
      </c>
      <c r="D40" s="147">
        <v>15.239679382013948</v>
      </c>
      <c r="E40" s="147">
        <v>18.983142512443884</v>
      </c>
      <c r="F40" s="147">
        <v>17.547329706875168</v>
      </c>
      <c r="G40" s="147">
        <v>16.568317320927378</v>
      </c>
      <c r="H40" s="147">
        <v>17.129636299414422</v>
      </c>
      <c r="I40" s="147">
        <v>17.236381830887428</v>
      </c>
      <c r="J40" s="147">
        <v>17.789686050868141</v>
      </c>
      <c r="K40" s="147">
        <v>15.724401902774172</v>
      </c>
      <c r="L40" s="147">
        <v>16.195287473900109</v>
      </c>
      <c r="M40" s="147">
        <v>18.201070128059019</v>
      </c>
      <c r="N40" s="147">
        <v>18.805129554029847</v>
      </c>
      <c r="O40" s="147">
        <v>67.209986848991875</v>
      </c>
      <c r="P40" s="147">
        <v>43.546150038273595</v>
      </c>
      <c r="Q40" s="147">
        <v>34.124290008789323</v>
      </c>
      <c r="R40" s="147">
        <v>21.028499305536911</v>
      </c>
      <c r="S40" s="147">
        <v>16.696179828865123</v>
      </c>
      <c r="T40" s="147">
        <v>13.945359137095886</v>
      </c>
      <c r="U40" s="147">
        <v>12.219488379162588</v>
      </c>
      <c r="V40" s="147">
        <v>11.450070994158263</v>
      </c>
      <c r="W40" s="147">
        <v>11.161002623279618</v>
      </c>
      <c r="X40" s="147">
        <v>11.362950666114475</v>
      </c>
      <c r="Y40" s="147">
        <v>12.041953741292307</v>
      </c>
      <c r="Z40" s="147">
        <v>12.828422229324989</v>
      </c>
      <c r="AA40" s="147">
        <v>13.618136137169927</v>
      </c>
      <c r="AB40" s="147">
        <v>14.965091796610224</v>
      </c>
      <c r="AC40" s="147">
        <v>14.047406938682766</v>
      </c>
      <c r="AD40" s="147">
        <v>33.428546972016576</v>
      </c>
      <c r="AE40" s="147">
        <v>35.190546097179947</v>
      </c>
      <c r="AF40" s="147">
        <v>33.090341504359344</v>
      </c>
      <c r="AG40" s="148">
        <v>36.050466170671179</v>
      </c>
      <c r="AH40" s="148">
        <v>40.208553494599968</v>
      </c>
      <c r="AI40" s="148" t="s">
        <v>32</v>
      </c>
    </row>
    <row r="41" spans="1:36" ht="16.5" thickBot="1" x14ac:dyDescent="0.45">
      <c r="A41" s="138" t="s">
        <v>114</v>
      </c>
      <c r="B41" s="155">
        <v>0.37434684004206659</v>
      </c>
      <c r="C41" s="156">
        <v>0.51672356199199387</v>
      </c>
      <c r="D41" s="156">
        <v>0.72574787935755181</v>
      </c>
      <c r="E41" s="156">
        <v>0.75479735450589347</v>
      </c>
      <c r="F41" s="156">
        <v>0.86399338540037407</v>
      </c>
      <c r="G41" s="156">
        <v>1.6686419865350139</v>
      </c>
      <c r="H41" s="156">
        <v>3.8089646560871451</v>
      </c>
      <c r="I41" s="156">
        <v>7.7264580967359606</v>
      </c>
      <c r="J41" s="156">
        <v>11.53750880049976</v>
      </c>
      <c r="K41" s="156">
        <v>29.528346343890007</v>
      </c>
      <c r="L41" s="156">
        <v>43.072467648442675</v>
      </c>
      <c r="M41" s="156">
        <v>40.920582670709649</v>
      </c>
      <c r="N41" s="156">
        <v>47.870247792466721</v>
      </c>
      <c r="O41" s="156">
        <v>175.73204368773662</v>
      </c>
      <c r="P41" s="156">
        <v>179.04607953492112</v>
      </c>
      <c r="Q41" s="156">
        <v>154.70552124493415</v>
      </c>
      <c r="R41" s="156">
        <v>153.80885692167249</v>
      </c>
      <c r="S41" s="156">
        <v>147.63219675858636</v>
      </c>
      <c r="T41" s="156">
        <v>129.36390713828382</v>
      </c>
      <c r="U41" s="156">
        <v>121.30050468079541</v>
      </c>
      <c r="V41" s="156">
        <v>194.42454913394323</v>
      </c>
      <c r="W41" s="156">
        <v>180.31564317959118</v>
      </c>
      <c r="X41" s="156">
        <v>190.76363506290886</v>
      </c>
      <c r="Y41" s="156">
        <v>199.43746316404454</v>
      </c>
      <c r="Z41" s="156">
        <v>225.81654554028333</v>
      </c>
      <c r="AA41" s="156">
        <v>220.1786456372742</v>
      </c>
      <c r="AB41" s="156">
        <v>233.60498322333453</v>
      </c>
      <c r="AC41" s="156">
        <v>252.60927955815097</v>
      </c>
      <c r="AD41" s="156">
        <v>262.79450816501634</v>
      </c>
      <c r="AE41" s="156">
        <v>277.67096104405266</v>
      </c>
      <c r="AF41" s="156">
        <v>272.22966016086303</v>
      </c>
      <c r="AG41" s="154">
        <v>293.4415435055451</v>
      </c>
      <c r="AH41" s="154">
        <v>331.7971081604025</v>
      </c>
      <c r="AI41" s="154" t="s">
        <v>32</v>
      </c>
    </row>
    <row r="42" spans="1:36" s="42" customFormat="1" x14ac:dyDescent="0.4">
      <c r="A42" s="637" t="s">
        <v>115</v>
      </c>
      <c r="B42" s="638">
        <v>1075307.6759395895</v>
      </c>
      <c r="C42" s="639">
        <v>1083328.3074826861</v>
      </c>
      <c r="D42" s="639">
        <v>1114774.4537403795</v>
      </c>
      <c r="E42" s="639">
        <v>1087404.2670826884</v>
      </c>
      <c r="F42" s="639">
        <v>1137677.2439768529</v>
      </c>
      <c r="G42" s="639">
        <v>1160796.9890693142</v>
      </c>
      <c r="H42" s="639">
        <v>1214355.0890006947</v>
      </c>
      <c r="I42" s="639">
        <v>1205860.6520186316</v>
      </c>
      <c r="J42" s="639">
        <v>1199885.2734941363</v>
      </c>
      <c r="K42" s="639">
        <v>1122159.4396260742</v>
      </c>
      <c r="L42" s="639">
        <v>1092877.0994312982</v>
      </c>
      <c r="M42" s="639">
        <v>1039152.5910354076</v>
      </c>
      <c r="N42" s="639">
        <v>975316.96999635804</v>
      </c>
      <c r="O42" s="639">
        <v>930751.53630260215</v>
      </c>
      <c r="P42" s="639">
        <v>873288.57676163304</v>
      </c>
      <c r="Q42" s="639">
        <v>826950.34019404615</v>
      </c>
      <c r="R42" s="639">
        <v>813303.04653418623</v>
      </c>
      <c r="S42" s="639">
        <v>712158.17909290106</v>
      </c>
      <c r="T42" s="639">
        <v>668563.56840425474</v>
      </c>
      <c r="U42" s="639">
        <v>599940.21048697934</v>
      </c>
      <c r="V42" s="639">
        <v>582744.42714610253</v>
      </c>
      <c r="W42" s="639">
        <v>573939.99379464018</v>
      </c>
      <c r="X42" s="639">
        <v>519560.16781682678</v>
      </c>
      <c r="Y42" s="639">
        <v>495150.48951750656</v>
      </c>
      <c r="Z42" s="639">
        <v>464714.80480611714</v>
      </c>
      <c r="AA42" s="639">
        <v>390007.31796133274</v>
      </c>
      <c r="AB42" s="639">
        <v>379133.68418676709</v>
      </c>
      <c r="AC42" s="639">
        <v>353684.9956937586</v>
      </c>
      <c r="AD42" s="639">
        <v>321255.53988856822</v>
      </c>
      <c r="AE42" s="639">
        <v>358684.14207419817</v>
      </c>
      <c r="AF42" s="639">
        <v>300233.34640415799</v>
      </c>
      <c r="AG42" s="639">
        <v>305707.66006240784</v>
      </c>
      <c r="AH42" s="639">
        <v>321216.89646893553</v>
      </c>
      <c r="AI42" s="639">
        <v>309014.48959284654</v>
      </c>
      <c r="AJ42" s="3"/>
    </row>
    <row r="43" spans="1:36" s="42" customFormat="1" x14ac:dyDescent="0.4">
      <c r="A43" s="1067" t="s">
        <v>1063</v>
      </c>
      <c r="B43" s="1142"/>
      <c r="C43" s="1143"/>
      <c r="D43" s="1143"/>
      <c r="E43" s="1143"/>
      <c r="F43" s="1143"/>
      <c r="G43" s="1143"/>
      <c r="H43" s="1143"/>
      <c r="I43" s="1143"/>
      <c r="J43" s="1143"/>
      <c r="K43" s="1143"/>
      <c r="L43" s="1143"/>
      <c r="M43" s="1143"/>
      <c r="N43" s="1143"/>
      <c r="O43" s="1143"/>
      <c r="P43" s="1143"/>
      <c r="Q43" s="1143"/>
      <c r="R43" s="1143"/>
      <c r="S43" s="1143"/>
      <c r="T43" s="1143"/>
      <c r="U43" s="1143"/>
      <c r="V43" s="1143"/>
      <c r="W43" s="1143"/>
      <c r="X43" s="1143"/>
      <c r="Y43" s="1143"/>
      <c r="Z43" s="1143"/>
      <c r="AA43" s="1143"/>
      <c r="AB43" s="1143"/>
      <c r="AC43" s="1143"/>
      <c r="AD43" s="1143"/>
      <c r="AE43" s="1143"/>
      <c r="AF43" s="1143"/>
      <c r="AG43" s="1143"/>
      <c r="AH43" s="1143"/>
      <c r="AI43" s="1143"/>
      <c r="AJ43" s="3"/>
    </row>
    <row r="44" spans="1:36" s="42" customFormat="1" x14ac:dyDescent="0.4">
      <c r="A44" s="196"/>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3"/>
    </row>
    <row r="45" spans="1:36" x14ac:dyDescent="0.4">
      <c r="A45" s="1354" t="s">
        <v>1179</v>
      </c>
      <c r="B45" s="157"/>
      <c r="C45" s="157"/>
      <c r="D45" s="157"/>
      <c r="E45" s="157"/>
      <c r="F45" s="157"/>
      <c r="G45" s="157"/>
      <c r="H45" s="157"/>
      <c r="I45" s="157"/>
      <c r="J45" s="157"/>
      <c r="K45" s="157"/>
      <c r="L45" s="157"/>
      <c r="M45" s="157"/>
      <c r="N45" s="157"/>
      <c r="O45" s="157"/>
      <c r="P45" s="157"/>
      <c r="Q45" s="157"/>
      <c r="R45" s="157"/>
      <c r="AF45" s="28"/>
      <c r="AI45" s="28"/>
    </row>
    <row r="46" spans="1:36" ht="17" x14ac:dyDescent="0.45">
      <c r="A46" s="1365" t="s">
        <v>1194</v>
      </c>
      <c r="AF46" s="28"/>
      <c r="AI46" s="28"/>
    </row>
    <row r="47" spans="1:36" x14ac:dyDescent="0.4">
      <c r="A47" s="28" t="s">
        <v>764</v>
      </c>
      <c r="AF47" s="28"/>
      <c r="AI47" s="28"/>
    </row>
    <row r="48" spans="1:36" x14ac:dyDescent="0.4">
      <c r="A48" s="1389" t="s">
        <v>1692</v>
      </c>
      <c r="AF48" s="28"/>
      <c r="AI48" s="28"/>
    </row>
    <row r="49" spans="1:36" x14ac:dyDescent="0.4">
      <c r="A49" s="1389"/>
      <c r="AF49" s="28"/>
      <c r="AI49" s="28"/>
    </row>
    <row r="50" spans="1:36" ht="17.5" thickBot="1" x14ac:dyDescent="0.5">
      <c r="A50" s="93" t="s">
        <v>1380</v>
      </c>
      <c r="B50" s="93"/>
      <c r="C50" s="93"/>
      <c r="D50" s="93"/>
      <c r="E50" s="93"/>
      <c r="F50" s="93"/>
      <c r="G50" s="93"/>
      <c r="H50" s="93"/>
      <c r="I50" s="93"/>
      <c r="J50" s="93"/>
      <c r="K50" s="93"/>
      <c r="L50" s="93"/>
      <c r="M50" s="93"/>
      <c r="N50" s="93"/>
      <c r="O50" s="93"/>
      <c r="P50" s="93"/>
      <c r="Q50" s="93"/>
      <c r="R50" s="93"/>
      <c r="S50" s="93"/>
      <c r="AF50" s="28"/>
      <c r="AI50" s="28"/>
    </row>
    <row r="51" spans="1:36" s="86" customFormat="1" ht="16.5" thickBot="1" x14ac:dyDescent="0.45">
      <c r="A51" s="1001" t="s">
        <v>95</v>
      </c>
      <c r="B51" s="999" t="s">
        <v>391</v>
      </c>
      <c r="C51" s="1000" t="s">
        <v>392</v>
      </c>
      <c r="D51" s="1000" t="s">
        <v>393</v>
      </c>
      <c r="E51" s="1000" t="s">
        <v>394</v>
      </c>
      <c r="F51" s="1000" t="s">
        <v>395</v>
      </c>
      <c r="G51" s="1000" t="s">
        <v>396</v>
      </c>
      <c r="H51" s="1000" t="s">
        <v>397</v>
      </c>
      <c r="I51" s="1000" t="s">
        <v>398</v>
      </c>
      <c r="J51" s="1000" t="s">
        <v>399</v>
      </c>
      <c r="K51" s="1000" t="s">
        <v>400</v>
      </c>
      <c r="L51" s="1000" t="s">
        <v>401</v>
      </c>
      <c r="M51" s="1000" t="s">
        <v>402</v>
      </c>
      <c r="N51" s="1000" t="s">
        <v>403</v>
      </c>
      <c r="O51" s="1000" t="s">
        <v>404</v>
      </c>
      <c r="P51" s="1000" t="s">
        <v>405</v>
      </c>
      <c r="Q51" s="1000" t="s">
        <v>406</v>
      </c>
      <c r="R51" s="1000" t="s">
        <v>407</v>
      </c>
      <c r="S51" s="1000" t="s">
        <v>408</v>
      </c>
      <c r="T51" s="1000" t="s">
        <v>409</v>
      </c>
      <c r="U51" s="1000" t="s">
        <v>410</v>
      </c>
      <c r="V51" s="1000" t="s">
        <v>411</v>
      </c>
      <c r="W51" s="1000" t="s">
        <v>412</v>
      </c>
      <c r="X51" s="1000" t="s">
        <v>413</v>
      </c>
      <c r="Y51" s="1000" t="s">
        <v>414</v>
      </c>
      <c r="Z51" s="1000" t="s">
        <v>415</v>
      </c>
      <c r="AA51" s="1000" t="s">
        <v>416</v>
      </c>
      <c r="AB51" s="1000" t="s">
        <v>417</v>
      </c>
      <c r="AC51" s="1000" t="s">
        <v>418</v>
      </c>
      <c r="AD51" s="1000" t="s">
        <v>419</v>
      </c>
      <c r="AE51" s="1000" t="s">
        <v>420</v>
      </c>
      <c r="AF51" s="1000" t="s">
        <v>421</v>
      </c>
      <c r="AG51" s="1000" t="s">
        <v>422</v>
      </c>
      <c r="AH51" s="1000" t="s">
        <v>423</v>
      </c>
      <c r="AI51" s="1000" t="s">
        <v>424</v>
      </c>
      <c r="AJ51" s="3"/>
    </row>
    <row r="52" spans="1:36" x14ac:dyDescent="0.4">
      <c r="A52" s="108" t="s">
        <v>96</v>
      </c>
      <c r="B52" s="146">
        <v>113958.68007839537</v>
      </c>
      <c r="C52" s="147">
        <v>110956.98638507164</v>
      </c>
      <c r="D52" s="147">
        <v>108255.65785741144</v>
      </c>
      <c r="E52" s="147">
        <v>102707.42473063667</v>
      </c>
      <c r="F52" s="147">
        <v>98552.498530269135</v>
      </c>
      <c r="G52" s="147">
        <v>96016.079990208251</v>
      </c>
      <c r="H52" s="147">
        <v>94430.395963978866</v>
      </c>
      <c r="I52" s="147">
        <v>89086.594764342735</v>
      </c>
      <c r="J52" s="147">
        <v>85434.797892952425</v>
      </c>
      <c r="K52" s="147">
        <v>71498.016998160907</v>
      </c>
      <c r="L52" s="147">
        <v>65876.194559624128</v>
      </c>
      <c r="M52" s="147">
        <v>59021.222893573409</v>
      </c>
      <c r="N52" s="147">
        <v>53204.672166627599</v>
      </c>
      <c r="O52" s="147">
        <v>48805.21750334325</v>
      </c>
      <c r="P52" s="147">
        <v>44922.54308692312</v>
      </c>
      <c r="Q52" s="147">
        <v>41433.086719132451</v>
      </c>
      <c r="R52" s="147">
        <v>39281.825661799106</v>
      </c>
      <c r="S52" s="147">
        <v>33654.573222998217</v>
      </c>
      <c r="T52" s="147">
        <v>30902.422031933962</v>
      </c>
      <c r="U52" s="147">
        <v>28285.392580496758</v>
      </c>
      <c r="V52" s="147">
        <v>26428.756411583912</v>
      </c>
      <c r="W52" s="147">
        <v>25407.344532340718</v>
      </c>
      <c r="X52" s="147">
        <v>22944.581965820154</v>
      </c>
      <c r="Y52" s="147">
        <v>20682.518349391907</v>
      </c>
      <c r="Z52" s="147">
        <v>18833.401141159269</v>
      </c>
      <c r="AA52" s="147">
        <v>17354.849986037643</v>
      </c>
      <c r="AB52" s="147">
        <v>17217.230102674013</v>
      </c>
      <c r="AC52" s="147">
        <v>15639.533709236632</v>
      </c>
      <c r="AD52" s="147">
        <v>13790.42083851238</v>
      </c>
      <c r="AE52" s="147">
        <v>15904.412819772506</v>
      </c>
      <c r="AF52" s="147">
        <v>11897.112585227895</v>
      </c>
      <c r="AG52" s="148">
        <v>12362.10161088472</v>
      </c>
      <c r="AH52" s="148">
        <v>12710.545771032441</v>
      </c>
      <c r="AI52" s="148">
        <v>11385.074847071624</v>
      </c>
    </row>
    <row r="53" spans="1:36" x14ac:dyDescent="0.4">
      <c r="A53" s="104" t="s">
        <v>97</v>
      </c>
      <c r="B53" s="146">
        <v>70226.477943859427</v>
      </c>
      <c r="C53" s="147">
        <v>64227.341975161042</v>
      </c>
      <c r="D53" s="147">
        <v>61022.122295971691</v>
      </c>
      <c r="E53" s="147">
        <v>56981.30030085233</v>
      </c>
      <c r="F53" s="147">
        <v>54915.223903914906</v>
      </c>
      <c r="G53" s="147">
        <v>53738.059102706895</v>
      </c>
      <c r="H53" s="147">
        <v>53146.017260311979</v>
      </c>
      <c r="I53" s="147">
        <v>50299.598994207081</v>
      </c>
      <c r="J53" s="147">
        <v>48431.541028907166</v>
      </c>
      <c r="K53" s="147">
        <v>43134.460116733542</v>
      </c>
      <c r="L53" s="147">
        <v>39453.50461895873</v>
      </c>
      <c r="M53" s="147">
        <v>34977.18053980721</v>
      </c>
      <c r="N53" s="147">
        <v>30968.201673861662</v>
      </c>
      <c r="O53" s="147">
        <v>27657.193946976487</v>
      </c>
      <c r="P53" s="147">
        <v>25575.498765916494</v>
      </c>
      <c r="Q53" s="147">
        <v>23413.632440396483</v>
      </c>
      <c r="R53" s="147">
        <v>20649.555682703616</v>
      </c>
      <c r="S53" s="147">
        <v>18714.86537201445</v>
      </c>
      <c r="T53" s="147">
        <v>16993.24472455397</v>
      </c>
      <c r="U53" s="147">
        <v>20268.556974595853</v>
      </c>
      <c r="V53" s="147">
        <v>18873.598442426388</v>
      </c>
      <c r="W53" s="147">
        <v>18333.313353571913</v>
      </c>
      <c r="X53" s="147">
        <v>16501.229048089743</v>
      </c>
      <c r="Y53" s="147">
        <v>14804.963337557148</v>
      </c>
      <c r="Z53" s="147">
        <v>13183.485021508845</v>
      </c>
      <c r="AA53" s="147">
        <v>12252.548459174126</v>
      </c>
      <c r="AB53" s="147">
        <v>11455.311375825264</v>
      </c>
      <c r="AC53" s="147">
        <v>10346.122701008606</v>
      </c>
      <c r="AD53" s="147">
        <v>9087.5815601080049</v>
      </c>
      <c r="AE53" s="147">
        <v>10292.391506413394</v>
      </c>
      <c r="AF53" s="147">
        <v>7653.2282993472918</v>
      </c>
      <c r="AG53" s="148">
        <v>8004.714887015858</v>
      </c>
      <c r="AH53" s="148">
        <v>8324.2045871795235</v>
      </c>
      <c r="AI53" s="148" t="s">
        <v>32</v>
      </c>
    </row>
    <row r="54" spans="1:36" x14ac:dyDescent="0.4">
      <c r="A54" s="104" t="s">
        <v>98</v>
      </c>
      <c r="B54" s="146">
        <v>37578.631255809407</v>
      </c>
      <c r="C54" s="147">
        <v>40363.320688751046</v>
      </c>
      <c r="D54" s="147">
        <v>41285.376382599905</v>
      </c>
      <c r="E54" s="147">
        <v>40336.155187518081</v>
      </c>
      <c r="F54" s="147">
        <v>38420.121931196605</v>
      </c>
      <c r="G54" s="147">
        <v>37141.531858341848</v>
      </c>
      <c r="H54" s="147">
        <v>36336.421879169393</v>
      </c>
      <c r="I54" s="147">
        <v>34372.452800684463</v>
      </c>
      <c r="J54" s="147">
        <v>32896.190732287512</v>
      </c>
      <c r="K54" s="147">
        <v>24627.842573361722</v>
      </c>
      <c r="L54" s="147">
        <v>23235.290714876272</v>
      </c>
      <c r="M54" s="147">
        <v>21130.573760573981</v>
      </c>
      <c r="N54" s="147">
        <v>19537.981578300471</v>
      </c>
      <c r="O54" s="147">
        <v>18625.756170948018</v>
      </c>
      <c r="P54" s="147">
        <v>16970.674752389943</v>
      </c>
      <c r="Q54" s="147">
        <v>15847.009279588718</v>
      </c>
      <c r="R54" s="147">
        <v>17914.640606761797</v>
      </c>
      <c r="S54" s="147">
        <v>14246.815937960899</v>
      </c>
      <c r="T54" s="147">
        <v>13272.535701745996</v>
      </c>
      <c r="U54" s="147">
        <v>7135.4530636708078</v>
      </c>
      <c r="V54" s="147">
        <v>6823.6219860181563</v>
      </c>
      <c r="W54" s="147">
        <v>6424.8127546851574</v>
      </c>
      <c r="X54" s="147">
        <v>5808.3874364577514</v>
      </c>
      <c r="Y54" s="147">
        <v>5302.1755806577494</v>
      </c>
      <c r="Z54" s="147">
        <v>5121.6117312592714</v>
      </c>
      <c r="AA54" s="147">
        <v>4623.8427297890012</v>
      </c>
      <c r="AB54" s="147">
        <v>4513.8550244905464</v>
      </c>
      <c r="AC54" s="147">
        <v>4142.2962935455225</v>
      </c>
      <c r="AD54" s="147">
        <v>3668.3326158287127</v>
      </c>
      <c r="AE54" s="147">
        <v>4435.2245086482262</v>
      </c>
      <c r="AF54" s="147">
        <v>3926.4168605950936</v>
      </c>
      <c r="AG54" s="148">
        <v>3497.6841573093293</v>
      </c>
      <c r="AH54" s="148">
        <v>3463.5776988971493</v>
      </c>
      <c r="AI54" s="148" t="s">
        <v>32</v>
      </c>
    </row>
    <row r="55" spans="1:36" x14ac:dyDescent="0.4">
      <c r="A55" s="104" t="s">
        <v>99</v>
      </c>
      <c r="B55" s="146">
        <v>5733.9233789204427</v>
      </c>
      <c r="C55" s="147">
        <v>5943.4046121122592</v>
      </c>
      <c r="D55" s="147">
        <v>5517.869861196431</v>
      </c>
      <c r="E55" s="147">
        <v>4965.7692377890344</v>
      </c>
      <c r="F55" s="147">
        <v>4790.5528704039079</v>
      </c>
      <c r="G55" s="147">
        <v>4710.4700734797725</v>
      </c>
      <c r="H55" s="147">
        <v>4544.7599208890106</v>
      </c>
      <c r="I55" s="147">
        <v>4035.6614655384028</v>
      </c>
      <c r="J55" s="147">
        <v>3734.7265756099423</v>
      </c>
      <c r="K55" s="147">
        <v>3343.9725469021041</v>
      </c>
      <c r="L55" s="147">
        <v>2813.2471874876992</v>
      </c>
      <c r="M55" s="147">
        <v>2574.6112929508768</v>
      </c>
      <c r="N55" s="147">
        <v>2372.8549967099589</v>
      </c>
      <c r="O55" s="147">
        <v>2203.5803147972729</v>
      </c>
      <c r="P55" s="147">
        <v>2046.7592938489604</v>
      </c>
      <c r="Q55" s="147">
        <v>1840.3530825261678</v>
      </c>
      <c r="R55" s="147">
        <v>400.06890938522605</v>
      </c>
      <c r="S55" s="147">
        <v>475.30505060593833</v>
      </c>
      <c r="T55" s="147">
        <v>451.42878558782587</v>
      </c>
      <c r="U55" s="147">
        <v>630.72265290299549</v>
      </c>
      <c r="V55" s="147">
        <v>530.57012268941196</v>
      </c>
      <c r="W55" s="147">
        <v>460.81529396555112</v>
      </c>
      <c r="X55" s="147">
        <v>442.73513304701981</v>
      </c>
      <c r="Y55" s="147">
        <v>413.67858882213915</v>
      </c>
      <c r="Z55" s="147">
        <v>388.93974043131237</v>
      </c>
      <c r="AA55" s="147">
        <v>358.125680050136</v>
      </c>
      <c r="AB55" s="147">
        <v>1136.6607079558401</v>
      </c>
      <c r="AC55" s="147">
        <v>1053.2120381361069</v>
      </c>
      <c r="AD55" s="147">
        <v>954.04765304288162</v>
      </c>
      <c r="AE55" s="147">
        <v>1057.4391244371286</v>
      </c>
      <c r="AF55" s="147">
        <v>227.62009976576184</v>
      </c>
      <c r="AG55" s="148">
        <v>653.77406833533723</v>
      </c>
      <c r="AH55" s="148">
        <v>827.88595457143094</v>
      </c>
      <c r="AI55" s="148" t="s">
        <v>32</v>
      </c>
    </row>
    <row r="56" spans="1:36" ht="16.5" thickBot="1" x14ac:dyDescent="0.45">
      <c r="A56" s="138" t="s">
        <v>100</v>
      </c>
      <c r="B56" s="146">
        <v>419.64749980609662</v>
      </c>
      <c r="C56" s="147">
        <v>422.91910904728167</v>
      </c>
      <c r="D56" s="147">
        <v>430.28931764339541</v>
      </c>
      <c r="E56" s="147">
        <v>424.20000447722208</v>
      </c>
      <c r="F56" s="147">
        <v>426.59982475372766</v>
      </c>
      <c r="G56" s="147">
        <v>426.01895567974179</v>
      </c>
      <c r="H56" s="147">
        <v>403.19690360847466</v>
      </c>
      <c r="I56" s="147">
        <v>378.88150391279515</v>
      </c>
      <c r="J56" s="147">
        <v>372.33955614781439</v>
      </c>
      <c r="K56" s="147">
        <v>391.74176116353857</v>
      </c>
      <c r="L56" s="147">
        <v>374.15203830142099</v>
      </c>
      <c r="M56" s="147">
        <v>338.85730024135006</v>
      </c>
      <c r="N56" s="147">
        <v>325.63391775550684</v>
      </c>
      <c r="O56" s="147">
        <v>318.68707062147871</v>
      </c>
      <c r="P56" s="147">
        <v>329.61027476772131</v>
      </c>
      <c r="Q56" s="147">
        <v>332.09191662108066</v>
      </c>
      <c r="R56" s="147">
        <v>317.56046294846817</v>
      </c>
      <c r="S56" s="147">
        <v>217.58686241692985</v>
      </c>
      <c r="T56" s="147">
        <v>185.21282004617282</v>
      </c>
      <c r="U56" s="147">
        <v>250.65988932710209</v>
      </c>
      <c r="V56" s="147">
        <v>200.96586044995652</v>
      </c>
      <c r="W56" s="147">
        <v>188.4031301180963</v>
      </c>
      <c r="X56" s="147">
        <v>192.23034822564361</v>
      </c>
      <c r="Y56" s="147">
        <v>161.70084235486823</v>
      </c>
      <c r="Z56" s="147">
        <v>139.3646479598394</v>
      </c>
      <c r="AA56" s="147">
        <v>120.33311702437982</v>
      </c>
      <c r="AB56" s="147">
        <v>111.40299440236205</v>
      </c>
      <c r="AC56" s="147">
        <v>97.902676546395512</v>
      </c>
      <c r="AD56" s="147">
        <v>80.45900953278003</v>
      </c>
      <c r="AE56" s="147">
        <v>119.35768027375667</v>
      </c>
      <c r="AF56" s="147">
        <v>89.847325519747372</v>
      </c>
      <c r="AG56" s="148">
        <v>205.92849822419555</v>
      </c>
      <c r="AH56" s="148">
        <v>94.877530384338399</v>
      </c>
      <c r="AI56" s="148" t="s">
        <v>32</v>
      </c>
    </row>
    <row r="57" spans="1:36" x14ac:dyDescent="0.4">
      <c r="A57" s="168" t="s">
        <v>101</v>
      </c>
      <c r="B57" s="149">
        <v>294.6458362669303</v>
      </c>
      <c r="C57" s="150">
        <v>302.00221377748107</v>
      </c>
      <c r="D57" s="150">
        <v>309.68173931606418</v>
      </c>
      <c r="E57" s="150">
        <v>304.99581828637753</v>
      </c>
      <c r="F57" s="150">
        <v>331.72511534039785</v>
      </c>
      <c r="G57" s="150">
        <v>343.5254913295845</v>
      </c>
      <c r="H57" s="150">
        <v>355.52612605451594</v>
      </c>
      <c r="I57" s="150">
        <v>371.8877651497337</v>
      </c>
      <c r="J57" s="150">
        <v>389.32244085721788</v>
      </c>
      <c r="K57" s="150">
        <v>399.88805442855505</v>
      </c>
      <c r="L57" s="150">
        <v>404.22981474802816</v>
      </c>
      <c r="M57" s="150">
        <v>479.94944707908257</v>
      </c>
      <c r="N57" s="150">
        <v>482.79324498268062</v>
      </c>
      <c r="O57" s="150">
        <v>481.58797331083383</v>
      </c>
      <c r="P57" s="150">
        <v>501.89837500619842</v>
      </c>
      <c r="Q57" s="150">
        <v>497.29141541529037</v>
      </c>
      <c r="R57" s="150">
        <v>541.62578273653571</v>
      </c>
      <c r="S57" s="150">
        <v>671.96794645131479</v>
      </c>
      <c r="T57" s="150">
        <v>763.5927724499162</v>
      </c>
      <c r="U57" s="150">
        <v>935.52177652190903</v>
      </c>
      <c r="V57" s="150">
        <v>980.66564719587848</v>
      </c>
      <c r="W57" s="150">
        <v>1005.8743271542251</v>
      </c>
      <c r="X57" s="150">
        <v>1110.6896287812024</v>
      </c>
      <c r="Y57" s="150">
        <v>1214.3032073952186</v>
      </c>
      <c r="Z57" s="150">
        <v>1337.2199295138159</v>
      </c>
      <c r="AA57" s="150">
        <v>1423.2664467525185</v>
      </c>
      <c r="AB57" s="150">
        <v>1421.6229028279699</v>
      </c>
      <c r="AC57" s="150">
        <v>1475.0393427611118</v>
      </c>
      <c r="AD57" s="150">
        <v>1510.9873448009921</v>
      </c>
      <c r="AE57" s="150">
        <v>1612.9174902043114</v>
      </c>
      <c r="AF57" s="150">
        <v>1738.5000848806985</v>
      </c>
      <c r="AG57" s="151">
        <v>1885.2647507919398</v>
      </c>
      <c r="AH57" s="151">
        <v>1735.6772195630849</v>
      </c>
      <c r="AI57" s="151">
        <v>1806.8976866810642</v>
      </c>
    </row>
    <row r="58" spans="1:36" x14ac:dyDescent="0.4">
      <c r="A58" s="104" t="s">
        <v>97</v>
      </c>
      <c r="B58" s="146">
        <v>3.8033085225082566</v>
      </c>
      <c r="C58" s="147">
        <v>3.3890625034723367</v>
      </c>
      <c r="D58" s="147">
        <v>3.2676171936898868</v>
      </c>
      <c r="E58" s="152">
        <v>3.0836847165567312</v>
      </c>
      <c r="F58" s="147">
        <v>2.9023498079213681</v>
      </c>
      <c r="G58" s="147">
        <v>2.7400627209942301</v>
      </c>
      <c r="H58" s="147">
        <v>2.6723235753358905</v>
      </c>
      <c r="I58" s="147">
        <v>2.5997644251504521</v>
      </c>
      <c r="J58" s="147">
        <v>2.4733086340599115</v>
      </c>
      <c r="K58" s="147">
        <v>2.4921391265389667</v>
      </c>
      <c r="L58" s="147">
        <v>2.3910203968793398</v>
      </c>
      <c r="M58" s="147">
        <v>2.0865473426364383</v>
      </c>
      <c r="N58" s="147">
        <v>2.0749646357564102</v>
      </c>
      <c r="O58" s="147">
        <v>2.0559543209494757</v>
      </c>
      <c r="P58" s="147">
        <v>2.0899260413566783</v>
      </c>
      <c r="Q58" s="147">
        <v>2.094876890148313</v>
      </c>
      <c r="R58" s="147">
        <v>1.8353584202854736</v>
      </c>
      <c r="S58" s="147">
        <v>2.5732807838200014</v>
      </c>
      <c r="T58" s="147">
        <v>3.5675304372932981</v>
      </c>
      <c r="U58" s="147">
        <v>18.144582496732902</v>
      </c>
      <c r="V58" s="147">
        <v>37.838455042780019</v>
      </c>
      <c r="W58" s="147">
        <v>58.550985613618074</v>
      </c>
      <c r="X58" s="147">
        <v>80.521525080690864</v>
      </c>
      <c r="Y58" s="147">
        <v>96.243422520908325</v>
      </c>
      <c r="Z58" s="147">
        <v>109.37533757784034</v>
      </c>
      <c r="AA58" s="147">
        <v>123.47669801019639</v>
      </c>
      <c r="AB58" s="147">
        <v>126.31830384718315</v>
      </c>
      <c r="AC58" s="147">
        <v>132.33811111345048</v>
      </c>
      <c r="AD58" s="147">
        <v>131.85126530120993</v>
      </c>
      <c r="AE58" s="147">
        <v>140.2451227499385</v>
      </c>
      <c r="AF58" s="147">
        <v>150.07312254861651</v>
      </c>
      <c r="AG58" s="148">
        <v>182.07476891597096</v>
      </c>
      <c r="AH58" s="148">
        <v>162.46466078499324</v>
      </c>
      <c r="AI58" s="148" t="s">
        <v>32</v>
      </c>
    </row>
    <row r="59" spans="1:36" x14ac:dyDescent="0.4">
      <c r="A59" s="104" t="s">
        <v>98</v>
      </c>
      <c r="B59" s="146">
        <v>8.5841485265732018</v>
      </c>
      <c r="C59" s="147">
        <v>9.3348387190117812</v>
      </c>
      <c r="D59" s="147">
        <v>10.126317886592346</v>
      </c>
      <c r="E59" s="152">
        <v>10.530211200541375</v>
      </c>
      <c r="F59" s="147">
        <v>10.594468166446276</v>
      </c>
      <c r="G59" s="147">
        <v>10.882827138205355</v>
      </c>
      <c r="H59" s="147">
        <v>11.425362617898134</v>
      </c>
      <c r="I59" s="147">
        <v>11.803621359198551</v>
      </c>
      <c r="J59" s="147">
        <v>12.008421789326732</v>
      </c>
      <c r="K59" s="147">
        <v>12.032593878891028</v>
      </c>
      <c r="L59" s="147">
        <v>12.36197703478758</v>
      </c>
      <c r="M59" s="147">
        <v>12.199810801926104</v>
      </c>
      <c r="N59" s="147">
        <v>12.290508727562914</v>
      </c>
      <c r="O59" s="147">
        <v>12.638139063767742</v>
      </c>
      <c r="P59" s="147">
        <v>12.77725248781989</v>
      </c>
      <c r="Q59" s="147">
        <v>13.086779430206136</v>
      </c>
      <c r="R59" s="147">
        <v>14.877808032032695</v>
      </c>
      <c r="S59" s="147">
        <v>78.578640905781342</v>
      </c>
      <c r="T59" s="147">
        <v>134.64396383069214</v>
      </c>
      <c r="U59" s="147">
        <v>87.265810635667691</v>
      </c>
      <c r="V59" s="147">
        <v>99.721059417734452</v>
      </c>
      <c r="W59" s="147">
        <v>115.89669733545841</v>
      </c>
      <c r="X59" s="147">
        <v>143.23261477301256</v>
      </c>
      <c r="Y59" s="147">
        <v>168.46694478149288</v>
      </c>
      <c r="Z59" s="147">
        <v>205.62467983858932</v>
      </c>
      <c r="AA59" s="147">
        <v>228.25923450839804</v>
      </c>
      <c r="AB59" s="147">
        <v>247.93424251069712</v>
      </c>
      <c r="AC59" s="147">
        <v>267.62814268241692</v>
      </c>
      <c r="AD59" s="147">
        <v>270.66721298219227</v>
      </c>
      <c r="AE59" s="147">
        <v>265.91760571116748</v>
      </c>
      <c r="AF59" s="147">
        <v>294.02244581124711</v>
      </c>
      <c r="AG59" s="148">
        <v>342.90113802553878</v>
      </c>
      <c r="AH59" s="148">
        <v>324.00485799196008</v>
      </c>
      <c r="AI59" s="148" t="s">
        <v>32</v>
      </c>
    </row>
    <row r="60" spans="1:36" x14ac:dyDescent="0.4">
      <c r="A60" s="104" t="s">
        <v>99</v>
      </c>
      <c r="B60" s="146">
        <v>282.25837921784887</v>
      </c>
      <c r="C60" s="147">
        <v>268.66808048895672</v>
      </c>
      <c r="D60" s="147">
        <v>275.92397678766258</v>
      </c>
      <c r="E60" s="152">
        <v>270.55684685408909</v>
      </c>
      <c r="F60" s="147">
        <v>296.88396222859473</v>
      </c>
      <c r="G60" s="147">
        <v>308.61400292490424</v>
      </c>
      <c r="H60" s="147">
        <v>319.33882560270843</v>
      </c>
      <c r="I60" s="147">
        <v>334.92193581647024</v>
      </c>
      <c r="J60" s="147">
        <v>351.66067625174185</v>
      </c>
      <c r="K60" s="147">
        <v>360.66498960697112</v>
      </c>
      <c r="L60" s="147">
        <v>365.10296425889152</v>
      </c>
      <c r="M60" s="147">
        <v>443.26476647849859</v>
      </c>
      <c r="N60" s="147">
        <v>447.13015866897581</v>
      </c>
      <c r="O60" s="147">
        <v>446.18942293841371</v>
      </c>
      <c r="P60" s="147">
        <v>466.40262738248873</v>
      </c>
      <c r="Q60" s="147">
        <v>460.78549656072136</v>
      </c>
      <c r="R60" s="147">
        <v>504.50304393915525</v>
      </c>
      <c r="S60" s="147">
        <v>544.14010598505138</v>
      </c>
      <c r="T60" s="147">
        <v>574.68611824828315</v>
      </c>
      <c r="U60" s="147">
        <v>778.63435359921334</v>
      </c>
      <c r="V60" s="147">
        <v>793.26789420684895</v>
      </c>
      <c r="W60" s="147">
        <v>778.41377101321757</v>
      </c>
      <c r="X60" s="147">
        <v>827.77501659633083</v>
      </c>
      <c r="Y60" s="147">
        <v>886.98085895656936</v>
      </c>
      <c r="Z60" s="147">
        <v>953.46339330622948</v>
      </c>
      <c r="AA60" s="147">
        <v>999.23647690199323</v>
      </c>
      <c r="AB60" s="147">
        <v>971.33235600813214</v>
      </c>
      <c r="AC60" s="147">
        <v>994.03867941793817</v>
      </c>
      <c r="AD60" s="147">
        <v>1024.26272344926</v>
      </c>
      <c r="AE60" s="147">
        <v>1111.0444193591991</v>
      </c>
      <c r="AF60" s="147">
        <v>1224.2238472299025</v>
      </c>
      <c r="AG60" s="148">
        <v>1277.8617707512547</v>
      </c>
      <c r="AH60" s="148">
        <v>1166.0239487974984</v>
      </c>
      <c r="AI60" s="148" t="s">
        <v>32</v>
      </c>
    </row>
    <row r="61" spans="1:36" ht="16.5" thickBot="1" x14ac:dyDescent="0.45">
      <c r="A61" s="104" t="s">
        <v>102</v>
      </c>
      <c r="B61" s="158" t="s">
        <v>103</v>
      </c>
      <c r="C61" s="147">
        <v>20.610232066040201</v>
      </c>
      <c r="D61" s="147">
        <v>20.363827448119395</v>
      </c>
      <c r="E61" s="147">
        <v>20.825075515190349</v>
      </c>
      <c r="F61" s="147">
        <v>21.344335137435497</v>
      </c>
      <c r="G61" s="147">
        <v>21.28859854548071</v>
      </c>
      <c r="H61" s="147">
        <v>22.089614258573494</v>
      </c>
      <c r="I61" s="147">
        <v>22.562443548914448</v>
      </c>
      <c r="J61" s="147">
        <v>23.180034182089376</v>
      </c>
      <c r="K61" s="147">
        <v>24.698331816153928</v>
      </c>
      <c r="L61" s="147">
        <v>24.373853057469692</v>
      </c>
      <c r="M61" s="147">
        <v>22.398322456021468</v>
      </c>
      <c r="N61" s="147">
        <v>21.29761295038546</v>
      </c>
      <c r="O61" s="147">
        <v>20.704456987702887</v>
      </c>
      <c r="P61" s="147">
        <v>20.628569094533113</v>
      </c>
      <c r="Q61" s="147">
        <v>21.324262534214604</v>
      </c>
      <c r="R61" s="147">
        <v>20.409572345062273</v>
      </c>
      <c r="S61" s="147">
        <v>46.675918776662151</v>
      </c>
      <c r="T61" s="147">
        <v>50.695159933647616</v>
      </c>
      <c r="U61" s="147">
        <v>51.477029790295063</v>
      </c>
      <c r="V61" s="147">
        <v>49.838238528515021</v>
      </c>
      <c r="W61" s="147">
        <v>53.012873191931043</v>
      </c>
      <c r="X61" s="147">
        <v>59.160472331168258</v>
      </c>
      <c r="Y61" s="147">
        <v>62.611981136247927</v>
      </c>
      <c r="Z61" s="147">
        <v>68.75651879115685</v>
      </c>
      <c r="AA61" s="147">
        <v>72.294037331930994</v>
      </c>
      <c r="AB61" s="147">
        <v>76.038000461957509</v>
      </c>
      <c r="AC61" s="147">
        <v>81.034409547306339</v>
      </c>
      <c r="AD61" s="147">
        <v>84.20614306833005</v>
      </c>
      <c r="AE61" s="147">
        <v>95.710342384006154</v>
      </c>
      <c r="AF61" s="147">
        <v>70.180669290932329</v>
      </c>
      <c r="AG61" s="148">
        <v>82.427073099175487</v>
      </c>
      <c r="AH61" s="148">
        <v>83.183751988633276</v>
      </c>
      <c r="AI61" s="148" t="s">
        <v>32</v>
      </c>
    </row>
    <row r="62" spans="1:36" x14ac:dyDescent="0.4">
      <c r="A62" s="169" t="s">
        <v>104</v>
      </c>
      <c r="B62" s="149">
        <v>20623.832858568003</v>
      </c>
      <c r="C62" s="150">
        <v>14882.8968250627</v>
      </c>
      <c r="D62" s="150">
        <v>12704.17903132931</v>
      </c>
      <c r="E62" s="150">
        <v>9101.8539280602017</v>
      </c>
      <c r="F62" s="150">
        <v>12643.058406975464</v>
      </c>
      <c r="G62" s="150">
        <v>12108.603568448672</v>
      </c>
      <c r="H62" s="150">
        <v>19486.835088863892</v>
      </c>
      <c r="I62" s="150">
        <v>18080.338952392987</v>
      </c>
      <c r="J62" s="150">
        <v>11613.798581809227</v>
      </c>
      <c r="K62" s="150">
        <v>13378.577145541094</v>
      </c>
      <c r="L62" s="150">
        <v>15708.153320080462</v>
      </c>
      <c r="M62" s="150">
        <v>16661.734412544018</v>
      </c>
      <c r="N62" s="150">
        <v>16447.930130246736</v>
      </c>
      <c r="O62" s="150">
        <v>15642.913589081789</v>
      </c>
      <c r="P62" s="150">
        <v>16562.339235258198</v>
      </c>
      <c r="Q62" s="150">
        <v>20023.596953916182</v>
      </c>
      <c r="R62" s="150">
        <v>18659.777913455968</v>
      </c>
      <c r="S62" s="150">
        <v>18780.952079473944</v>
      </c>
      <c r="T62" s="150">
        <v>18049.918193058831</v>
      </c>
      <c r="U62" s="150">
        <v>17515.011769912398</v>
      </c>
      <c r="V62" s="150">
        <v>17966.022138105196</v>
      </c>
      <c r="W62" s="150">
        <v>18877.148116976969</v>
      </c>
      <c r="X62" s="150">
        <v>16725.22988989302</v>
      </c>
      <c r="Y62" s="150">
        <v>18398.303327071029</v>
      </c>
      <c r="Z62" s="150">
        <v>18137.058193539488</v>
      </c>
      <c r="AA62" s="150">
        <v>13951.001261688063</v>
      </c>
      <c r="AB62" s="150">
        <v>15043.293287212182</v>
      </c>
      <c r="AC62" s="150">
        <v>15519.396559663444</v>
      </c>
      <c r="AD62" s="150">
        <v>14795.640864550414</v>
      </c>
      <c r="AE62" s="150">
        <v>15631.513214966195</v>
      </c>
      <c r="AF62" s="150">
        <v>13924.33297489681</v>
      </c>
      <c r="AG62" s="151">
        <v>16734.736551000493</v>
      </c>
      <c r="AH62" s="151">
        <v>16458.255452091402</v>
      </c>
      <c r="AI62" s="151">
        <v>15887.196230424592</v>
      </c>
    </row>
    <row r="63" spans="1:36" x14ac:dyDescent="0.4">
      <c r="A63" s="104" t="s">
        <v>105</v>
      </c>
      <c r="B63" s="146">
        <v>8601.4141094258921</v>
      </c>
      <c r="C63" s="147">
        <v>5509.9542841990524</v>
      </c>
      <c r="D63" s="147">
        <v>3866.8587425312903</v>
      </c>
      <c r="E63" s="147">
        <v>2927.8442761588753</v>
      </c>
      <c r="F63" s="147">
        <v>3029.456483049245</v>
      </c>
      <c r="G63" s="147">
        <v>2462.2931271539223</v>
      </c>
      <c r="H63" s="147">
        <v>9735.3553374457751</v>
      </c>
      <c r="I63" s="147">
        <v>8184.6964170308866</v>
      </c>
      <c r="J63" s="147">
        <v>1765.3487563072131</v>
      </c>
      <c r="K63" s="147">
        <v>1926.5331214615926</v>
      </c>
      <c r="L63" s="147">
        <v>3892.0901896910236</v>
      </c>
      <c r="M63" s="147">
        <v>2351.4303413642187</v>
      </c>
      <c r="N63" s="147">
        <v>2765.1135921728378</v>
      </c>
      <c r="O63" s="147">
        <v>1514.7036159600025</v>
      </c>
      <c r="P63" s="147">
        <v>1516.5403765388519</v>
      </c>
      <c r="Q63" s="147">
        <v>4215.8415853945144</v>
      </c>
      <c r="R63" s="147">
        <v>3074.0606040164294</v>
      </c>
      <c r="S63" s="147">
        <v>2636.1795148442898</v>
      </c>
      <c r="T63" s="147">
        <v>2638.3899683434574</v>
      </c>
      <c r="U63" s="147">
        <v>3035.6918278385651</v>
      </c>
      <c r="V63" s="147">
        <v>2639.3445303338144</v>
      </c>
      <c r="W63" s="147">
        <v>2444.6480790577157</v>
      </c>
      <c r="X63" s="147">
        <v>2296.4457364614327</v>
      </c>
      <c r="Y63" s="147">
        <v>2532.6617673078172</v>
      </c>
      <c r="Z63" s="147">
        <v>2168.4056920355238</v>
      </c>
      <c r="AA63" s="147">
        <v>3150.2236901854803</v>
      </c>
      <c r="AB63" s="147">
        <v>3936.0273727327635</v>
      </c>
      <c r="AC63" s="147">
        <v>4483.1477576844354</v>
      </c>
      <c r="AD63" s="147">
        <v>3218.8563394820494</v>
      </c>
      <c r="AE63" s="147">
        <v>3828.6903394452406</v>
      </c>
      <c r="AF63" s="147">
        <v>3098.7732352091562</v>
      </c>
      <c r="AG63" s="148">
        <v>4654.2572453885559</v>
      </c>
      <c r="AH63" s="148">
        <v>3861.1364755370741</v>
      </c>
      <c r="AI63" s="148" t="s">
        <v>32</v>
      </c>
    </row>
    <row r="64" spans="1:36" x14ac:dyDescent="0.4">
      <c r="A64" s="104" t="s">
        <v>106</v>
      </c>
      <c r="B64" s="146">
        <v>305.66250000000008</v>
      </c>
      <c r="C64" s="147">
        <v>311.81094374999998</v>
      </c>
      <c r="D64" s="147">
        <v>213.04013124999994</v>
      </c>
      <c r="E64" s="147">
        <v>156.29145</v>
      </c>
      <c r="F64" s="147">
        <v>307.15941250000003</v>
      </c>
      <c r="G64" s="147">
        <v>276.7562125</v>
      </c>
      <c r="H64" s="147">
        <v>240.13777500000003</v>
      </c>
      <c r="I64" s="147">
        <v>192.03896249999997</v>
      </c>
      <c r="J64" s="147">
        <v>246.94682500000002</v>
      </c>
      <c r="K64" s="147">
        <v>226.14359375000001</v>
      </c>
      <c r="L64" s="147">
        <v>352.84338750000001</v>
      </c>
      <c r="M64" s="147">
        <v>407.98877499999992</v>
      </c>
      <c r="N64" s="147">
        <v>234.79346249999998</v>
      </c>
      <c r="O64" s="147">
        <v>353.99142499999999</v>
      </c>
      <c r="P64" s="147">
        <v>860.53328124999996</v>
      </c>
      <c r="Q64" s="147">
        <v>1195.7206437499999</v>
      </c>
      <c r="R64" s="147">
        <v>1309.4555312499997</v>
      </c>
      <c r="S64" s="147">
        <v>1223.1547812499998</v>
      </c>
      <c r="T64" s="147">
        <v>679.34129374999998</v>
      </c>
      <c r="U64" s="147">
        <v>519.48696874999996</v>
      </c>
      <c r="V64" s="147">
        <v>641.47584999999992</v>
      </c>
      <c r="W64" s="147">
        <v>657.62754999999993</v>
      </c>
      <c r="X64" s="147">
        <v>222.71927500000001</v>
      </c>
      <c r="Y64" s="147">
        <v>297.99490624999999</v>
      </c>
      <c r="Z64" s="147">
        <v>401.04116874999994</v>
      </c>
      <c r="AA64" s="147">
        <v>527.80034374999991</v>
      </c>
      <c r="AB64" s="147">
        <v>658.49847499999987</v>
      </c>
      <c r="AC64" s="147">
        <v>245.20497499999999</v>
      </c>
      <c r="AD64" s="147">
        <v>453.35604999999998</v>
      </c>
      <c r="AE64" s="147">
        <v>387.48244999999991</v>
      </c>
      <c r="AF64" s="147">
        <v>999.2280874999999</v>
      </c>
      <c r="AG64" s="148">
        <v>999.2280874999999</v>
      </c>
      <c r="AH64" s="148">
        <v>999.2280874999999</v>
      </c>
      <c r="AI64" s="148" t="s">
        <v>32</v>
      </c>
    </row>
    <row r="65" spans="1:36" x14ac:dyDescent="0.4">
      <c r="A65" s="104" t="s">
        <v>107</v>
      </c>
      <c r="B65" s="146">
        <v>220.11871332877328</v>
      </c>
      <c r="C65" s="147">
        <v>264.69806937075543</v>
      </c>
      <c r="D65" s="147">
        <v>217.14700003981642</v>
      </c>
      <c r="E65" s="147">
        <v>224.80632064553137</v>
      </c>
      <c r="F65" s="147">
        <v>206.8053584811625</v>
      </c>
      <c r="G65" s="147">
        <v>194.15834131943481</v>
      </c>
      <c r="H65" s="147">
        <v>259.19722354129243</v>
      </c>
      <c r="I65" s="147">
        <v>244.12936878824698</v>
      </c>
      <c r="J65" s="147">
        <v>133.62873742111952</v>
      </c>
      <c r="K65" s="147">
        <v>243.84859617669383</v>
      </c>
      <c r="L65" s="147">
        <v>148.47264688284235</v>
      </c>
      <c r="M65" s="147">
        <v>199.95599961809094</v>
      </c>
      <c r="N65" s="147">
        <v>264.90436514520223</v>
      </c>
      <c r="O65" s="147">
        <v>262.83516392826198</v>
      </c>
      <c r="P65" s="147">
        <v>303.30194761565463</v>
      </c>
      <c r="Q65" s="147">
        <v>256.20370210882987</v>
      </c>
      <c r="R65" s="147">
        <v>349.63842219774222</v>
      </c>
      <c r="S65" s="147">
        <v>282.94910713371632</v>
      </c>
      <c r="T65" s="147">
        <v>119.96727699071764</v>
      </c>
      <c r="U65" s="147">
        <v>132.88960032009319</v>
      </c>
      <c r="V65" s="147">
        <v>456.5560614639021</v>
      </c>
      <c r="W65" s="147">
        <v>480.04242015856869</v>
      </c>
      <c r="X65" s="147">
        <v>536.81084312317159</v>
      </c>
      <c r="Y65" s="147">
        <v>369.77610805680348</v>
      </c>
      <c r="Z65" s="147">
        <v>369.07893375190844</v>
      </c>
      <c r="AA65" s="147">
        <v>53.960297439365853</v>
      </c>
      <c r="AB65" s="147">
        <v>44.850722818458451</v>
      </c>
      <c r="AC65" s="147">
        <v>59.280849365468391</v>
      </c>
      <c r="AD65" s="147">
        <v>65.19034550875358</v>
      </c>
      <c r="AE65" s="147">
        <v>39.276676198904163</v>
      </c>
      <c r="AF65" s="147">
        <v>53.246047906398282</v>
      </c>
      <c r="AG65" s="148">
        <v>54.132900414763171</v>
      </c>
      <c r="AH65" s="148">
        <v>55.570303340027628</v>
      </c>
      <c r="AI65" s="148" t="s">
        <v>32</v>
      </c>
    </row>
    <row r="66" spans="1:36" x14ac:dyDescent="0.4">
      <c r="A66" s="104" t="s">
        <v>108</v>
      </c>
      <c r="B66" s="146">
        <v>3339.4051035603511</v>
      </c>
      <c r="C66" s="147">
        <v>2288.6736162350503</v>
      </c>
      <c r="D66" s="147">
        <v>2385.1306659500328</v>
      </c>
      <c r="E66" s="147">
        <v>0</v>
      </c>
      <c r="F66" s="147">
        <v>3317.2137813542013</v>
      </c>
      <c r="G66" s="147">
        <v>3482.8345550187801</v>
      </c>
      <c r="H66" s="147">
        <v>3434.661323201291</v>
      </c>
      <c r="I66" s="147">
        <v>3522.8416826561302</v>
      </c>
      <c r="J66" s="147">
        <v>3841.0896995032394</v>
      </c>
      <c r="K66" s="147">
        <v>3472.8923214340653</v>
      </c>
      <c r="L66" s="147">
        <v>3319.7320946982613</v>
      </c>
      <c r="M66" s="147">
        <v>5699.0998317312942</v>
      </c>
      <c r="N66" s="147">
        <v>5303.4820540361234</v>
      </c>
      <c r="O66" s="147">
        <v>5167.2822002116109</v>
      </c>
      <c r="P66" s="147">
        <v>4762.8750094378538</v>
      </c>
      <c r="Q66" s="147">
        <v>4836.3872237806054</v>
      </c>
      <c r="R66" s="147">
        <v>4837.8237093769567</v>
      </c>
      <c r="S66" s="147">
        <v>4585.8900285759755</v>
      </c>
      <c r="T66" s="147">
        <v>4045.5827373583411</v>
      </c>
      <c r="U66" s="147">
        <v>3838.2529000354989</v>
      </c>
      <c r="V66" s="147">
        <v>4056.8146441277609</v>
      </c>
      <c r="W66" s="147">
        <v>4074.8486376887245</v>
      </c>
      <c r="X66" s="147">
        <v>3955.2850662761457</v>
      </c>
      <c r="Y66" s="147">
        <v>4343.45999985458</v>
      </c>
      <c r="Z66" s="147">
        <v>3953.6712951538029</v>
      </c>
      <c r="AA66" s="147">
        <v>1485.9977379630832</v>
      </c>
      <c r="AB66" s="147">
        <v>1546.9375080787572</v>
      </c>
      <c r="AC66" s="147">
        <v>1667.0888185180088</v>
      </c>
      <c r="AD66" s="147">
        <v>1737.862563089205</v>
      </c>
      <c r="AE66" s="147">
        <v>1830.6624445219909</v>
      </c>
      <c r="AF66" s="147">
        <v>1681.7427240883901</v>
      </c>
      <c r="AG66" s="148">
        <v>2039.2283835160385</v>
      </c>
      <c r="AH66" s="148">
        <v>1093.5114468334975</v>
      </c>
      <c r="AI66" s="148" t="s">
        <v>32</v>
      </c>
    </row>
    <row r="67" spans="1:36" x14ac:dyDescent="0.4">
      <c r="A67" s="104" t="s">
        <v>109</v>
      </c>
      <c r="B67" s="146">
        <v>3637.9695875818552</v>
      </c>
      <c r="C67" s="147">
        <v>2730.3080149451366</v>
      </c>
      <c r="D67" s="147">
        <v>2099.2152038477052</v>
      </c>
      <c r="E67" s="147">
        <v>2360.8692768413316</v>
      </c>
      <c r="F67" s="147">
        <v>2131.9218919915479</v>
      </c>
      <c r="G67" s="147">
        <v>2070.013325382216</v>
      </c>
      <c r="H67" s="147">
        <v>2176.1387439514351</v>
      </c>
      <c r="I67" s="147">
        <v>2159.6682985906127</v>
      </c>
      <c r="J67" s="147">
        <v>2066.1803683242015</v>
      </c>
      <c r="K67" s="147">
        <v>2194.8953156297289</v>
      </c>
      <c r="L67" s="147">
        <v>2344.7231140047211</v>
      </c>
      <c r="M67" s="147">
        <v>1863.0949955066956</v>
      </c>
      <c r="N67" s="147">
        <v>1592.1287070728729</v>
      </c>
      <c r="O67" s="147">
        <v>1782.3522537808326</v>
      </c>
      <c r="P67" s="147">
        <v>2226.3903634215435</v>
      </c>
      <c r="Q67" s="147">
        <v>2535.5613109528795</v>
      </c>
      <c r="R67" s="147">
        <v>1911.6000652675016</v>
      </c>
      <c r="S67" s="147">
        <v>2165.8137426901362</v>
      </c>
      <c r="T67" s="147">
        <v>2407.7715985971381</v>
      </c>
      <c r="U67" s="147">
        <v>1847.1694431706458</v>
      </c>
      <c r="V67" s="147">
        <v>1998.1860838904213</v>
      </c>
      <c r="W67" s="147">
        <v>1951.556536132365</v>
      </c>
      <c r="X67" s="147">
        <v>1917.9765709885069</v>
      </c>
      <c r="Y67" s="147">
        <v>1928.417668064669</v>
      </c>
      <c r="Z67" s="147">
        <v>2109.3686165515119</v>
      </c>
      <c r="AA67" s="147">
        <v>2054.1729327984017</v>
      </c>
      <c r="AB67" s="147">
        <v>2131.8445944767723</v>
      </c>
      <c r="AC67" s="147">
        <v>2267.0538444370982</v>
      </c>
      <c r="AD67" s="147">
        <v>2455.8010223841516</v>
      </c>
      <c r="AE67" s="147">
        <v>2575.9907290525625</v>
      </c>
      <c r="AF67" s="147">
        <v>1486.6329678021368</v>
      </c>
      <c r="AG67" s="148">
        <v>1973.9157162654678</v>
      </c>
      <c r="AH67" s="148">
        <v>2345.9185110625117</v>
      </c>
      <c r="AI67" s="148">
        <v>1824.8192003969768</v>
      </c>
    </row>
    <row r="68" spans="1:36" ht="16.5" thickBot="1" x14ac:dyDescent="0.45">
      <c r="A68" s="138" t="s">
        <v>110</v>
      </c>
      <c r="B68" s="146">
        <v>4519.2628446711306</v>
      </c>
      <c r="C68" s="147">
        <v>3777.4518965627067</v>
      </c>
      <c r="D68" s="147">
        <v>3922.7872877104651</v>
      </c>
      <c r="E68" s="147">
        <v>3432.0426044144642</v>
      </c>
      <c r="F68" s="147">
        <v>3650.5014795993079</v>
      </c>
      <c r="G68" s="147">
        <v>3622.5480070743197</v>
      </c>
      <c r="H68" s="147">
        <v>3641.3446857240988</v>
      </c>
      <c r="I68" s="147">
        <v>3776.9642228271096</v>
      </c>
      <c r="J68" s="147">
        <v>3560.6041952534542</v>
      </c>
      <c r="K68" s="147">
        <v>5314.2641970890154</v>
      </c>
      <c r="L68" s="147">
        <v>5650.2918873036151</v>
      </c>
      <c r="M68" s="147">
        <v>6140.1644693237185</v>
      </c>
      <c r="N68" s="147">
        <v>6287.507949319699</v>
      </c>
      <c r="O68" s="147">
        <v>6561.748930201079</v>
      </c>
      <c r="P68" s="147">
        <v>6892.6982569942948</v>
      </c>
      <c r="Q68" s="147">
        <v>6983.8824879293543</v>
      </c>
      <c r="R68" s="147">
        <v>7177.1995813473386</v>
      </c>
      <c r="S68" s="147">
        <v>7886.9649049798254</v>
      </c>
      <c r="T68" s="147">
        <v>8158.8653180191759</v>
      </c>
      <c r="U68" s="147">
        <v>8141.5210297975964</v>
      </c>
      <c r="V68" s="147">
        <v>8173.6449682892971</v>
      </c>
      <c r="W68" s="147">
        <v>9268.4248939395948</v>
      </c>
      <c r="X68" s="147">
        <v>7795.9923980437634</v>
      </c>
      <c r="Y68" s="147">
        <v>8925.9928775371609</v>
      </c>
      <c r="Z68" s="147">
        <v>9135.4924872967404</v>
      </c>
      <c r="AA68" s="147">
        <v>6678.8462595517321</v>
      </c>
      <c r="AB68" s="147">
        <v>6725.134614105431</v>
      </c>
      <c r="AC68" s="147">
        <v>6797.6203146584339</v>
      </c>
      <c r="AD68" s="147">
        <v>6864.5745440862556</v>
      </c>
      <c r="AE68" s="147">
        <v>6969.4105757474972</v>
      </c>
      <c r="AF68" s="147">
        <v>6604.7099123907301</v>
      </c>
      <c r="AG68" s="148">
        <v>7013.9742179156665</v>
      </c>
      <c r="AH68" s="148">
        <v>8102.8906278182903</v>
      </c>
      <c r="AI68" s="148" t="s">
        <v>32</v>
      </c>
    </row>
    <row r="69" spans="1:36" x14ac:dyDescent="0.4">
      <c r="A69" s="108" t="s">
        <v>111</v>
      </c>
      <c r="B69" s="149">
        <v>0.81789983773629082</v>
      </c>
      <c r="C69" s="150">
        <v>5.7178879255044297</v>
      </c>
      <c r="D69" s="150">
        <v>5.1174253347275451</v>
      </c>
      <c r="E69" s="150">
        <v>6.3343209432094394</v>
      </c>
      <c r="F69" s="150">
        <v>5.9708532755047905</v>
      </c>
      <c r="G69" s="150">
        <v>6.2355357776708793</v>
      </c>
      <c r="H69" s="150">
        <v>8.234571212743047</v>
      </c>
      <c r="I69" s="150">
        <v>12.502909904124746</v>
      </c>
      <c r="J69" s="150">
        <v>16.794473391700318</v>
      </c>
      <c r="K69" s="150">
        <v>33.420480054809019</v>
      </c>
      <c r="L69" s="150">
        <v>47.30528209249141</v>
      </c>
      <c r="M69" s="150">
        <v>47.303488106316507</v>
      </c>
      <c r="N69" s="150">
        <v>55.058246598959698</v>
      </c>
      <c r="O69" s="150">
        <v>202.63521817521689</v>
      </c>
      <c r="P69" s="150">
        <v>193.58487718485338</v>
      </c>
      <c r="Q69" s="150">
        <v>165.41407586187066</v>
      </c>
      <c r="R69" s="150">
        <v>157.97907408744001</v>
      </c>
      <c r="S69" s="150">
        <v>149.86240852652062</v>
      </c>
      <c r="T69" s="150">
        <v>129.77151086448643</v>
      </c>
      <c r="U69" s="150">
        <v>121.2505631035198</v>
      </c>
      <c r="V69" s="150">
        <v>189.01031996953589</v>
      </c>
      <c r="W69" s="150">
        <v>175.57922418290678</v>
      </c>
      <c r="X69" s="150">
        <v>185.54602817214183</v>
      </c>
      <c r="Y69" s="150">
        <v>194.15008772133763</v>
      </c>
      <c r="Z69" s="150">
        <v>219.28733340571216</v>
      </c>
      <c r="AA69" s="150">
        <v>214.69419084955774</v>
      </c>
      <c r="AB69" s="150">
        <v>228.49867434037256</v>
      </c>
      <c r="AC69" s="150">
        <v>246.59588496294072</v>
      </c>
      <c r="AD69" s="150">
        <v>270.92278611318602</v>
      </c>
      <c r="AE69" s="150">
        <v>286.73836053820105</v>
      </c>
      <c r="AF69" s="150">
        <v>280.86792899028501</v>
      </c>
      <c r="AG69" s="151">
        <v>303.48688282931789</v>
      </c>
      <c r="AH69" s="151">
        <v>343.1447620896725</v>
      </c>
      <c r="AI69" s="151">
        <v>195.46252783057741</v>
      </c>
    </row>
    <row r="70" spans="1:36" x14ac:dyDescent="0.4">
      <c r="A70" s="104" t="s">
        <v>112</v>
      </c>
      <c r="B70" s="146">
        <v>0.13513827100325151</v>
      </c>
      <c r="C70" s="147">
        <v>0.14821196592209054</v>
      </c>
      <c r="D70" s="147">
        <v>0.13230357230405787</v>
      </c>
      <c r="E70" s="147">
        <v>0.17030177408947098</v>
      </c>
      <c r="F70" s="147">
        <v>0.16507704936198966</v>
      </c>
      <c r="G70" s="147">
        <v>0.16877680058328959</v>
      </c>
      <c r="H70" s="147">
        <v>0.21591632246781486</v>
      </c>
      <c r="I70" s="147">
        <v>0.32650534709299545</v>
      </c>
      <c r="J70" s="147">
        <v>0.51367937524881468</v>
      </c>
      <c r="K70" s="147">
        <v>0.8209599784119368</v>
      </c>
      <c r="L70" s="147">
        <v>1.4179752851474587</v>
      </c>
      <c r="M70" s="147">
        <v>2.2224772337978753</v>
      </c>
      <c r="N70" s="147">
        <v>2.9191345382432159</v>
      </c>
      <c r="O70" s="147">
        <v>11.292763365184959</v>
      </c>
      <c r="P70" s="147">
        <v>9.593969544581908</v>
      </c>
      <c r="Q70" s="147">
        <v>7.2695646845384134</v>
      </c>
      <c r="R70" s="147">
        <v>5.5166879766753141</v>
      </c>
      <c r="S70" s="147">
        <v>4.4625974537016804</v>
      </c>
      <c r="T70" s="147">
        <v>2.4083147700701155</v>
      </c>
      <c r="U70" s="147">
        <v>2.1374727157063087</v>
      </c>
      <c r="V70" s="147">
        <v>2.1438440144788782</v>
      </c>
      <c r="W70" s="147">
        <v>2.0747561072298697</v>
      </c>
      <c r="X70" s="147">
        <v>2.1092359059433723</v>
      </c>
      <c r="Y70" s="147">
        <v>2.272632832666841</v>
      </c>
      <c r="Z70" s="147">
        <v>2.130712070061926</v>
      </c>
      <c r="AA70" s="147">
        <v>2.0832390363465541</v>
      </c>
      <c r="AB70" s="147">
        <v>2.4353636608258982</v>
      </c>
      <c r="AC70" s="147">
        <v>2.6664544779406034</v>
      </c>
      <c r="AD70" s="147">
        <v>2.5845596040103662</v>
      </c>
      <c r="AE70" s="147">
        <v>2.706031611300165</v>
      </c>
      <c r="AF70" s="147">
        <v>2.8110601554799395</v>
      </c>
      <c r="AG70" s="148">
        <v>2.9345893916538781</v>
      </c>
      <c r="AH70" s="148">
        <v>3.3077837853651362</v>
      </c>
      <c r="AI70" s="148" t="s">
        <v>32</v>
      </c>
    </row>
    <row r="71" spans="1:36" x14ac:dyDescent="0.4">
      <c r="A71" s="104" t="s">
        <v>113</v>
      </c>
      <c r="B71" s="146">
        <v>0.66730966791275281</v>
      </c>
      <c r="C71" s="147">
        <v>5.3843796399472215</v>
      </c>
      <c r="D71" s="147">
        <v>4.7239365188396825</v>
      </c>
      <c r="E71" s="147">
        <v>5.8849724350332506</v>
      </c>
      <c r="F71" s="147">
        <v>5.4413738214244205</v>
      </c>
      <c r="G71" s="147">
        <v>5.1455778306095947</v>
      </c>
      <c r="H71" s="147">
        <v>5.3472230914240537</v>
      </c>
      <c r="I71" s="147">
        <v>5.4544082322874887</v>
      </c>
      <c r="J71" s="147">
        <v>5.7573648116767711</v>
      </c>
      <c r="K71" s="147">
        <v>5.3408185870987861</v>
      </c>
      <c r="L71" s="147">
        <v>5.8288646095676819</v>
      </c>
      <c r="M71" s="147">
        <v>7.0212261530081568</v>
      </c>
      <c r="N71" s="147">
        <v>7.6155201042652756</v>
      </c>
      <c r="O71" s="147">
        <v>27.896010146811882</v>
      </c>
      <c r="P71" s="147">
        <v>17.462114616775892</v>
      </c>
      <c r="Q71" s="147">
        <v>14.254604210869774</v>
      </c>
      <c r="R71" s="147">
        <v>9.4064567878667287</v>
      </c>
      <c r="S71" s="147">
        <v>8.0887255607815263</v>
      </c>
      <c r="T71" s="147">
        <v>7.0432462105638622</v>
      </c>
      <c r="U71" s="147">
        <v>6.2928226103560778</v>
      </c>
      <c r="V71" s="147">
        <v>6.0343371809822797</v>
      </c>
      <c r="W71" s="147">
        <v>5.944357041622899</v>
      </c>
      <c r="X71" s="147">
        <v>6.3595584361972533</v>
      </c>
      <c r="Y71" s="147">
        <v>6.7421272632449778</v>
      </c>
      <c r="Z71" s="147">
        <v>7.5178144107539975</v>
      </c>
      <c r="AA71" s="147">
        <v>8.2342773342469524</v>
      </c>
      <c r="AB71" s="147">
        <v>9.1513552635230084</v>
      </c>
      <c r="AC71" s="147">
        <v>9.2448800604375077</v>
      </c>
      <c r="AD71" s="147">
        <v>24.050713146300922</v>
      </c>
      <c r="AE71" s="147">
        <v>25.835504066133872</v>
      </c>
      <c r="AF71" s="147">
        <v>24.88645554295837</v>
      </c>
      <c r="AG71" s="148">
        <v>27.625535198318754</v>
      </c>
      <c r="AH71" s="148">
        <v>31.236130443456211</v>
      </c>
      <c r="AI71" s="148" t="s">
        <v>32</v>
      </c>
    </row>
    <row r="72" spans="1:36" ht="16.5" thickBot="1" x14ac:dyDescent="0.45">
      <c r="A72" s="138" t="s">
        <v>114</v>
      </c>
      <c r="B72" s="155">
        <v>1.5451898820286468E-2</v>
      </c>
      <c r="C72" s="156">
        <v>0.18529631963511728</v>
      </c>
      <c r="D72" s="156">
        <v>0.26118524358380524</v>
      </c>
      <c r="E72" s="156">
        <v>0.27904673408671771</v>
      </c>
      <c r="F72" s="156">
        <v>0.36440240471838098</v>
      </c>
      <c r="G72" s="156">
        <v>0.92118114647799476</v>
      </c>
      <c r="H72" s="156">
        <v>2.6714317988511787</v>
      </c>
      <c r="I72" s="156">
        <v>6.7219963247442607</v>
      </c>
      <c r="J72" s="156">
        <v>10.523429204774732</v>
      </c>
      <c r="K72" s="156">
        <v>27.2587014892983</v>
      </c>
      <c r="L72" s="156">
        <v>40.058442197776273</v>
      </c>
      <c r="M72" s="156">
        <v>38.059784719510475</v>
      </c>
      <c r="N72" s="156">
        <v>44.523591956451206</v>
      </c>
      <c r="O72" s="156">
        <v>163.44644466322003</v>
      </c>
      <c r="P72" s="156">
        <v>166.52879302349558</v>
      </c>
      <c r="Q72" s="156">
        <v>143.88990696646246</v>
      </c>
      <c r="R72" s="156">
        <v>143.05592932289798</v>
      </c>
      <c r="S72" s="156">
        <v>137.31108551203741</v>
      </c>
      <c r="T72" s="156">
        <v>120.31994988385244</v>
      </c>
      <c r="U72" s="156">
        <v>112.8202677774574</v>
      </c>
      <c r="V72" s="156">
        <v>180.83213877407474</v>
      </c>
      <c r="W72" s="156">
        <v>167.56011103405402</v>
      </c>
      <c r="X72" s="156">
        <v>177.07723383000121</v>
      </c>
      <c r="Y72" s="156">
        <v>185.13532762542582</v>
      </c>
      <c r="Z72" s="156">
        <v>209.63880692489624</v>
      </c>
      <c r="AA72" s="156">
        <v>204.37667447896425</v>
      </c>
      <c r="AB72" s="156">
        <v>216.91195541602366</v>
      </c>
      <c r="AC72" s="156">
        <v>234.68455042456262</v>
      </c>
      <c r="AD72" s="156">
        <v>244.28751336287473</v>
      </c>
      <c r="AE72" s="156">
        <v>258.19682486076704</v>
      </c>
      <c r="AF72" s="156">
        <v>253.1704132918467</v>
      </c>
      <c r="AG72" s="154">
        <v>272.92675823934525</v>
      </c>
      <c r="AH72" s="154">
        <v>308.60084786085116</v>
      </c>
      <c r="AI72" s="154" t="s">
        <v>32</v>
      </c>
    </row>
    <row r="73" spans="1:36" x14ac:dyDescent="0.4">
      <c r="A73" s="167" t="s">
        <v>115</v>
      </c>
      <c r="B73" s="146">
        <v>134877.97667306804</v>
      </c>
      <c r="C73" s="147">
        <v>126147.60331183733</v>
      </c>
      <c r="D73" s="147">
        <v>121274.63605339153</v>
      </c>
      <c r="E73" s="147">
        <v>112120.60879792646</v>
      </c>
      <c r="F73" s="147">
        <v>111533.2529058605</v>
      </c>
      <c r="G73" s="147">
        <v>108474.44458576417</v>
      </c>
      <c r="H73" s="147">
        <v>114280.99175011003</v>
      </c>
      <c r="I73" s="147">
        <v>107551.32439178957</v>
      </c>
      <c r="J73" s="147">
        <v>97454.713389010562</v>
      </c>
      <c r="K73" s="147">
        <v>85309.902678185346</v>
      </c>
      <c r="L73" s="147">
        <v>82035.882976545123</v>
      </c>
      <c r="M73" s="147">
        <v>76210.210241302833</v>
      </c>
      <c r="N73" s="147">
        <v>70190.453788455983</v>
      </c>
      <c r="O73" s="147">
        <v>65132.354283911089</v>
      </c>
      <c r="P73" s="147">
        <v>62180.365574372365</v>
      </c>
      <c r="Q73" s="147">
        <v>62119.389164325796</v>
      </c>
      <c r="R73" s="147">
        <v>58641.208432079045</v>
      </c>
      <c r="S73" s="147">
        <v>53257.355657449996</v>
      </c>
      <c r="T73" s="147">
        <v>49845.704508307193</v>
      </c>
      <c r="U73" s="147">
        <v>46857.176690034583</v>
      </c>
      <c r="V73" s="147">
        <v>45564.454516854523</v>
      </c>
      <c r="W73" s="147">
        <v>45465.946200654813</v>
      </c>
      <c r="X73" s="147">
        <v>40966.047512666519</v>
      </c>
      <c r="Y73" s="147">
        <v>40489.274971579493</v>
      </c>
      <c r="Z73" s="147">
        <v>38526.966597618288</v>
      </c>
      <c r="AA73" s="147">
        <v>32943.811885327785</v>
      </c>
      <c r="AB73" s="147">
        <v>33910.644967054541</v>
      </c>
      <c r="AC73" s="147">
        <v>32880.565496624127</v>
      </c>
      <c r="AD73" s="147">
        <v>30367.971833976975</v>
      </c>
      <c r="AE73" s="147">
        <v>33435.58188548121</v>
      </c>
      <c r="AF73" s="147">
        <v>27840.813573995689</v>
      </c>
      <c r="AG73" s="147">
        <v>31285.589795506472</v>
      </c>
      <c r="AH73" s="147">
        <v>31247.623204776603</v>
      </c>
      <c r="AI73" s="147">
        <v>29274.631292007856</v>
      </c>
    </row>
    <row r="74" spans="1:36" x14ac:dyDescent="0.4">
      <c r="A74" s="1067" t="s">
        <v>1063</v>
      </c>
      <c r="B74" s="1142"/>
      <c r="C74" s="1143"/>
      <c r="D74" s="1143"/>
      <c r="E74" s="1143"/>
      <c r="F74" s="1143"/>
      <c r="G74" s="1143"/>
      <c r="H74" s="1143"/>
      <c r="I74" s="1143"/>
      <c r="J74" s="1143"/>
      <c r="K74" s="1143"/>
      <c r="L74" s="1143"/>
      <c r="M74" s="1143"/>
      <c r="N74" s="1143"/>
      <c r="O74" s="1143"/>
      <c r="P74" s="1143"/>
      <c r="Q74" s="1143"/>
      <c r="R74" s="1143"/>
      <c r="S74" s="1143"/>
      <c r="T74" s="1143"/>
      <c r="U74" s="1143"/>
      <c r="V74" s="1143"/>
      <c r="W74" s="1143"/>
      <c r="X74" s="1143"/>
      <c r="Y74" s="1143"/>
      <c r="Z74" s="1143"/>
      <c r="AA74" s="1143"/>
      <c r="AB74" s="1143"/>
      <c r="AC74" s="1143"/>
      <c r="AD74" s="1143"/>
      <c r="AE74" s="1143"/>
      <c r="AF74" s="1143"/>
      <c r="AG74" s="1143"/>
      <c r="AH74" s="1143"/>
      <c r="AI74" s="1143"/>
    </row>
    <row r="75" spans="1:36" x14ac:dyDescent="0.4">
      <c r="A75" s="196"/>
      <c r="B75" s="147"/>
      <c r="C75" s="147"/>
      <c r="D75" s="147"/>
      <c r="E75" s="147"/>
      <c r="F75" s="147"/>
      <c r="G75" s="147"/>
      <c r="H75" s="147"/>
      <c r="I75" s="147"/>
      <c r="J75" s="147"/>
      <c r="K75" s="147"/>
      <c r="L75" s="147"/>
      <c r="M75" s="147"/>
      <c r="N75" s="147"/>
      <c r="O75" s="147"/>
      <c r="P75" s="147"/>
      <c r="Q75" s="147"/>
      <c r="R75" s="147"/>
      <c r="S75" s="147"/>
      <c r="T75" s="147"/>
      <c r="U75" s="147"/>
      <c r="V75" s="147"/>
      <c r="W75" s="147"/>
      <c r="X75" s="147"/>
      <c r="Y75" s="147"/>
      <c r="Z75" s="147"/>
      <c r="AA75" s="147"/>
      <c r="AB75" s="147"/>
      <c r="AC75" s="147"/>
      <c r="AD75" s="147"/>
      <c r="AE75" s="147"/>
      <c r="AF75" s="147"/>
      <c r="AG75" s="147"/>
      <c r="AH75" s="147"/>
      <c r="AI75" s="147"/>
    </row>
    <row r="76" spans="1:36" x14ac:dyDescent="0.4">
      <c r="A76" s="1354" t="s">
        <v>1179</v>
      </c>
      <c r="B76" s="157"/>
      <c r="C76" s="157"/>
      <c r="D76" s="157"/>
      <c r="E76" s="157"/>
      <c r="F76" s="157"/>
      <c r="G76" s="157"/>
      <c r="H76" s="157"/>
      <c r="I76" s="157"/>
      <c r="J76" s="157"/>
      <c r="K76" s="157"/>
      <c r="L76" s="157"/>
      <c r="M76" s="157"/>
      <c r="N76" s="157"/>
      <c r="O76" s="157"/>
      <c r="P76" s="157"/>
      <c r="Q76" s="157"/>
      <c r="R76" s="157"/>
      <c r="AF76" s="28"/>
      <c r="AI76" s="28"/>
    </row>
    <row r="77" spans="1:36" x14ac:dyDescent="0.4">
      <c r="A77" s="1389" t="s">
        <v>1692</v>
      </c>
      <c r="B77" s="157"/>
      <c r="C77" s="157"/>
      <c r="D77" s="157"/>
      <c r="E77" s="157"/>
      <c r="F77" s="157"/>
      <c r="G77" s="157"/>
      <c r="H77" s="157"/>
      <c r="I77" s="157"/>
      <c r="J77" s="157"/>
      <c r="K77" s="157"/>
      <c r="L77" s="157"/>
      <c r="M77" s="157"/>
      <c r="N77" s="157"/>
      <c r="O77" s="157"/>
      <c r="P77" s="157"/>
      <c r="Q77" s="157"/>
      <c r="R77" s="157"/>
      <c r="AF77" s="28"/>
      <c r="AI77" s="28"/>
    </row>
    <row r="78" spans="1:36" x14ac:dyDescent="0.4">
      <c r="A78" s="28"/>
      <c r="B78" s="92"/>
      <c r="C78" s="92"/>
      <c r="D78" s="92"/>
      <c r="E78" s="92"/>
      <c r="F78" s="92"/>
      <c r="G78" s="92"/>
      <c r="H78" s="92"/>
      <c r="I78" s="92"/>
      <c r="J78" s="92"/>
      <c r="K78" s="28"/>
      <c r="L78" s="159"/>
      <c r="M78" s="159"/>
      <c r="N78" s="159"/>
      <c r="O78" s="159"/>
      <c r="P78" s="159"/>
      <c r="Q78" s="28"/>
      <c r="R78" s="28"/>
      <c r="AF78" s="28"/>
      <c r="AI78" s="28"/>
    </row>
    <row r="79" spans="1:36" ht="17.5" thickBot="1" x14ac:dyDescent="0.5">
      <c r="A79" s="93" t="s">
        <v>1195</v>
      </c>
      <c r="B79" s="93"/>
      <c r="C79" s="93"/>
      <c r="D79" s="93"/>
      <c r="E79" s="93"/>
      <c r="F79" s="93"/>
      <c r="G79" s="93"/>
      <c r="H79" s="93"/>
      <c r="I79" s="93"/>
      <c r="J79" s="93"/>
      <c r="K79" s="93"/>
      <c r="L79" s="93"/>
      <c r="M79" s="93"/>
      <c r="N79" s="93"/>
      <c r="O79" s="93"/>
      <c r="P79" s="93"/>
      <c r="Q79" s="93"/>
      <c r="R79" s="93"/>
      <c r="S79" s="93"/>
      <c r="AF79" s="28"/>
      <c r="AI79" s="28"/>
    </row>
    <row r="80" spans="1:36" s="86" customFormat="1" ht="16.5" thickBot="1" x14ac:dyDescent="0.45">
      <c r="A80" s="1001" t="s">
        <v>95</v>
      </c>
      <c r="B80" s="999" t="s">
        <v>391</v>
      </c>
      <c r="C80" s="1000" t="s">
        <v>392</v>
      </c>
      <c r="D80" s="1000" t="s">
        <v>393</v>
      </c>
      <c r="E80" s="1000" t="s">
        <v>394</v>
      </c>
      <c r="F80" s="1000" t="s">
        <v>395</v>
      </c>
      <c r="G80" s="1000" t="s">
        <v>396</v>
      </c>
      <c r="H80" s="1000" t="s">
        <v>397</v>
      </c>
      <c r="I80" s="1000" t="s">
        <v>398</v>
      </c>
      <c r="J80" s="1000" t="s">
        <v>399</v>
      </c>
      <c r="K80" s="1000" t="s">
        <v>400</v>
      </c>
      <c r="L80" s="1000" t="s">
        <v>401</v>
      </c>
      <c r="M80" s="1000" t="s">
        <v>402</v>
      </c>
      <c r="N80" s="1000" t="s">
        <v>403</v>
      </c>
      <c r="O80" s="1000" t="s">
        <v>404</v>
      </c>
      <c r="P80" s="1000" t="s">
        <v>405</v>
      </c>
      <c r="Q80" s="1000" t="s">
        <v>406</v>
      </c>
      <c r="R80" s="1000" t="s">
        <v>407</v>
      </c>
      <c r="S80" s="1000" t="s">
        <v>408</v>
      </c>
      <c r="T80" s="1000" t="s">
        <v>409</v>
      </c>
      <c r="U80" s="1000" t="s">
        <v>410</v>
      </c>
      <c r="V80" s="1000" t="s">
        <v>411</v>
      </c>
      <c r="W80" s="1000" t="s">
        <v>412</v>
      </c>
      <c r="X80" s="1000" t="s">
        <v>413</v>
      </c>
      <c r="Y80" s="1000" t="s">
        <v>414</v>
      </c>
      <c r="Z80" s="1000" t="s">
        <v>415</v>
      </c>
      <c r="AA80" s="1000" t="s">
        <v>416</v>
      </c>
      <c r="AB80" s="1000" t="s">
        <v>417</v>
      </c>
      <c r="AC80" s="1000" t="s">
        <v>418</v>
      </c>
      <c r="AD80" s="1000" t="s">
        <v>419</v>
      </c>
      <c r="AE80" s="1000" t="s">
        <v>420</v>
      </c>
      <c r="AF80" s="1000" t="s">
        <v>421</v>
      </c>
      <c r="AG80" s="1000" t="s">
        <v>422</v>
      </c>
      <c r="AH80" s="1000" t="s">
        <v>423</v>
      </c>
      <c r="AI80" s="1000" t="s">
        <v>424</v>
      </c>
      <c r="AJ80" s="3"/>
    </row>
    <row r="81" spans="1:35" x14ac:dyDescent="0.4">
      <c r="A81" s="108" t="s">
        <v>96</v>
      </c>
      <c r="B81" s="146">
        <v>819139.43776410189</v>
      </c>
      <c r="C81" s="147">
        <v>861537.31172319152</v>
      </c>
      <c r="D81" s="147">
        <v>905525.44256388338</v>
      </c>
      <c r="E81" s="147">
        <v>917239.81210375193</v>
      </c>
      <c r="F81" s="147">
        <v>932756.41039021232</v>
      </c>
      <c r="G81" s="147">
        <v>960386.02043338097</v>
      </c>
      <c r="H81" s="147">
        <v>998256.02595398645</v>
      </c>
      <c r="I81" s="147">
        <v>997492.63930648938</v>
      </c>
      <c r="J81" s="147">
        <v>1008112.3292166155</v>
      </c>
      <c r="K81" s="147">
        <v>930813.5614288135</v>
      </c>
      <c r="L81" s="147">
        <v>901967.14828232897</v>
      </c>
      <c r="M81" s="147">
        <v>831506.36865816871</v>
      </c>
      <c r="N81" s="147">
        <v>780015.77646379836</v>
      </c>
      <c r="O81" s="147">
        <v>738736.6084528194</v>
      </c>
      <c r="P81" s="147">
        <v>678886.57432869927</v>
      </c>
      <c r="Q81" s="147">
        <v>624856.7976293253</v>
      </c>
      <c r="R81" s="147">
        <v>599964.07711851748</v>
      </c>
      <c r="S81" s="147">
        <v>510551.44653000392</v>
      </c>
      <c r="T81" s="147">
        <v>466900.15589120943</v>
      </c>
      <c r="U81" s="147">
        <v>409381.15110759897</v>
      </c>
      <c r="V81" s="147">
        <v>380690.24661816878</v>
      </c>
      <c r="W81" s="147">
        <v>361517.80283853639</v>
      </c>
      <c r="X81" s="147">
        <v>320208.638012913</v>
      </c>
      <c r="Y81" s="147">
        <v>281317.77360666654</v>
      </c>
      <c r="Z81" s="147">
        <v>247331.17538520068</v>
      </c>
      <c r="AA81" s="147">
        <v>217347.8138065867</v>
      </c>
      <c r="AB81" s="147">
        <v>200632.18519602256</v>
      </c>
      <c r="AC81" s="147">
        <v>169586.19585980399</v>
      </c>
      <c r="AD81" s="147">
        <v>133956.06924691261</v>
      </c>
      <c r="AE81" s="147">
        <v>157421.44349215046</v>
      </c>
      <c r="AF81" s="147">
        <v>115418.38308337994</v>
      </c>
      <c r="AG81" s="148">
        <v>102159.36743990297</v>
      </c>
      <c r="AH81" s="148">
        <v>115948.93976044559</v>
      </c>
      <c r="AI81" s="148">
        <v>95740.445415287613</v>
      </c>
    </row>
    <row r="82" spans="1:35" x14ac:dyDescent="0.4">
      <c r="A82" s="104" t="s">
        <v>97</v>
      </c>
      <c r="B82" s="146">
        <v>529244.47169100202</v>
      </c>
      <c r="C82" s="147">
        <v>519747.6610907173</v>
      </c>
      <c r="D82" s="147">
        <v>525975.99024549907</v>
      </c>
      <c r="E82" s="147">
        <v>517882.19324485603</v>
      </c>
      <c r="F82" s="147">
        <v>522134.77193626366</v>
      </c>
      <c r="G82" s="147">
        <v>532191.91589527915</v>
      </c>
      <c r="H82" s="147">
        <v>546739.8664909217</v>
      </c>
      <c r="I82" s="147">
        <v>537441.68332036608</v>
      </c>
      <c r="J82" s="147">
        <v>538167.55208367389</v>
      </c>
      <c r="K82" s="147">
        <v>481619.95303186111</v>
      </c>
      <c r="L82" s="147">
        <v>463199.54496932554</v>
      </c>
      <c r="M82" s="147">
        <v>425983.12668454461</v>
      </c>
      <c r="N82" s="147">
        <v>396569.33992350963</v>
      </c>
      <c r="O82" s="147">
        <v>368790.41737765184</v>
      </c>
      <c r="P82" s="147">
        <v>346914.22849663475</v>
      </c>
      <c r="Q82" s="147">
        <v>321706.20925738773</v>
      </c>
      <c r="R82" s="147">
        <v>287313.88978989801</v>
      </c>
      <c r="S82" s="147">
        <v>261211.26457026263</v>
      </c>
      <c r="T82" s="147">
        <v>237033.34065253759</v>
      </c>
      <c r="U82" s="147">
        <v>282343.36752005335</v>
      </c>
      <c r="V82" s="147">
        <v>261850.580098195</v>
      </c>
      <c r="W82" s="147">
        <v>252493.40773963471</v>
      </c>
      <c r="X82" s="147">
        <v>225345.75489485794</v>
      </c>
      <c r="Y82" s="147">
        <v>198764.99235344725</v>
      </c>
      <c r="Z82" s="147">
        <v>172509.31776233765</v>
      </c>
      <c r="AA82" s="147">
        <v>154560.47437522866</v>
      </c>
      <c r="AB82" s="147">
        <v>137961.67256640751</v>
      </c>
      <c r="AC82" s="147">
        <v>116989.5169569782</v>
      </c>
      <c r="AD82" s="147">
        <v>95593.945746073354</v>
      </c>
      <c r="AE82" s="147">
        <v>105853.22782949264</v>
      </c>
      <c r="AF82" s="147">
        <v>74103.254987590451</v>
      </c>
      <c r="AG82" s="148">
        <v>70556.706831179064</v>
      </c>
      <c r="AH82" s="148">
        <v>80976.152166805754</v>
      </c>
      <c r="AI82" s="148" t="s">
        <v>32</v>
      </c>
    </row>
    <row r="83" spans="1:35" x14ac:dyDescent="0.4">
      <c r="A83" s="104" t="s">
        <v>98</v>
      </c>
      <c r="B83" s="146">
        <v>277524.98391639988</v>
      </c>
      <c r="C83" s="147">
        <v>327685.42377316649</v>
      </c>
      <c r="D83" s="147">
        <v>365043.97015455592</v>
      </c>
      <c r="E83" s="147">
        <v>385105.44401598838</v>
      </c>
      <c r="F83" s="147">
        <v>395863.31006311468</v>
      </c>
      <c r="G83" s="147">
        <v>412769.33387778408</v>
      </c>
      <c r="H83" s="147">
        <v>434712.97059337306</v>
      </c>
      <c r="I83" s="147">
        <v>442084.04835938581</v>
      </c>
      <c r="J83" s="147">
        <v>449917.87331342493</v>
      </c>
      <c r="K83" s="147">
        <v>428680.79236577323</v>
      </c>
      <c r="L83" s="147">
        <v>417625.86063737754</v>
      </c>
      <c r="M83" s="147">
        <v>384202.48308775458</v>
      </c>
      <c r="N83" s="147">
        <v>360818.69076045247</v>
      </c>
      <c r="O83" s="147">
        <v>346567.90153348359</v>
      </c>
      <c r="P83" s="147">
        <v>309314.88936907711</v>
      </c>
      <c r="Q83" s="147">
        <v>282283.28185342794</v>
      </c>
      <c r="R83" s="147">
        <v>306494.63428091077</v>
      </c>
      <c r="S83" s="147">
        <v>243689.50892362473</v>
      </c>
      <c r="T83" s="147">
        <v>224476.79024372791</v>
      </c>
      <c r="U83" s="147">
        <v>119474.55952949886</v>
      </c>
      <c r="V83" s="147">
        <v>112500.02501335875</v>
      </c>
      <c r="W83" s="147">
        <v>103493.89945398796</v>
      </c>
      <c r="X83" s="147">
        <v>89791.682552970902</v>
      </c>
      <c r="Y83" s="147">
        <v>78158.025751762747</v>
      </c>
      <c r="Z83" s="147">
        <v>71002.531082828471</v>
      </c>
      <c r="AA83" s="147">
        <v>59560.634200945715</v>
      </c>
      <c r="AB83" s="147">
        <v>53590.728956747509</v>
      </c>
      <c r="AC83" s="147">
        <v>44832.459393405887</v>
      </c>
      <c r="AD83" s="147">
        <v>32070.503893336827</v>
      </c>
      <c r="AE83" s="147">
        <v>44831.870483029408</v>
      </c>
      <c r="AF83" s="147">
        <v>39819.243190861322</v>
      </c>
      <c r="AG83" s="148">
        <v>27812.028955447495</v>
      </c>
      <c r="AH83" s="148">
        <v>30389.424721029922</v>
      </c>
      <c r="AI83" s="148" t="s">
        <v>32</v>
      </c>
    </row>
    <row r="84" spans="1:35" x14ac:dyDescent="0.4">
      <c r="A84" s="104" t="s">
        <v>99</v>
      </c>
      <c r="B84" s="146">
        <v>11884.06682608647</v>
      </c>
      <c r="C84" s="147">
        <v>13614.523289548539</v>
      </c>
      <c r="D84" s="147">
        <v>14007.244533105548</v>
      </c>
      <c r="E84" s="147">
        <v>13760.988107571005</v>
      </c>
      <c r="F84" s="147">
        <v>14264.362872200672</v>
      </c>
      <c r="G84" s="147">
        <v>14931.477737585108</v>
      </c>
      <c r="H84" s="147">
        <v>16329.902198396401</v>
      </c>
      <c r="I84" s="147">
        <v>17517.796205682462</v>
      </c>
      <c r="J84" s="147">
        <v>19582.666821640178</v>
      </c>
      <c r="K84" s="147">
        <v>20049.04918675113</v>
      </c>
      <c r="L84" s="147">
        <v>20696.97662785901</v>
      </c>
      <c r="M84" s="147">
        <v>20916.646429929562</v>
      </c>
      <c r="N84" s="147">
        <v>22238.014024235243</v>
      </c>
      <c r="O84" s="147">
        <v>22995.790748472955</v>
      </c>
      <c r="P84" s="147">
        <v>22260.906990078463</v>
      </c>
      <c r="Q84" s="147">
        <v>20466.941349230729</v>
      </c>
      <c r="R84" s="147">
        <v>5773.5273067203098</v>
      </c>
      <c r="S84" s="147">
        <v>5388.7078116792973</v>
      </c>
      <c r="T84" s="147">
        <v>5166.9957959204303</v>
      </c>
      <c r="U84" s="147">
        <v>7261.0334748589721</v>
      </c>
      <c r="V84" s="147">
        <v>6097.1857722155364</v>
      </c>
      <c r="W84" s="147">
        <v>5303.2421709122254</v>
      </c>
      <c r="X84" s="147">
        <v>4839.3509104039504</v>
      </c>
      <c r="Y84" s="147">
        <v>4199.7398757446608</v>
      </c>
      <c r="Z84" s="147">
        <v>3651.2465603367054</v>
      </c>
      <c r="AA84" s="147">
        <v>3081.5670566170311</v>
      </c>
      <c r="AB84" s="147">
        <v>8945.3983014877285</v>
      </c>
      <c r="AC84" s="147">
        <v>7646.0912543220238</v>
      </c>
      <c r="AD84" s="147">
        <v>6194.5055146664663</v>
      </c>
      <c r="AE84" s="147">
        <v>6592.5858573946571</v>
      </c>
      <c r="AF84" s="147">
        <v>1387.6794623713397</v>
      </c>
      <c r="AG84" s="148">
        <v>3544.5901660140839</v>
      </c>
      <c r="AH84" s="148">
        <v>4469.1329782467828</v>
      </c>
      <c r="AI84" s="148" t="s">
        <v>32</v>
      </c>
    </row>
    <row r="85" spans="1:35" ht="16.5" thickBot="1" x14ac:dyDescent="0.45">
      <c r="A85" s="138" t="s">
        <v>100</v>
      </c>
      <c r="B85" s="146">
        <v>485.9153306136123</v>
      </c>
      <c r="C85" s="147">
        <v>489.70356975909402</v>
      </c>
      <c r="D85" s="147">
        <v>498.23763072294253</v>
      </c>
      <c r="E85" s="147">
        <v>491.18673533641419</v>
      </c>
      <c r="F85" s="147">
        <v>493.96551863337248</v>
      </c>
      <c r="G85" s="147">
        <v>493.29292273262388</v>
      </c>
      <c r="H85" s="147">
        <v>473.28667129528088</v>
      </c>
      <c r="I85" s="147">
        <v>449.11142105504564</v>
      </c>
      <c r="J85" s="147">
        <v>444.23699787652646</v>
      </c>
      <c r="K85" s="147">
        <v>463.76684442798222</v>
      </c>
      <c r="L85" s="147">
        <v>444.76604776680261</v>
      </c>
      <c r="M85" s="147">
        <v>404.11245594000383</v>
      </c>
      <c r="N85" s="147">
        <v>389.73175560098491</v>
      </c>
      <c r="O85" s="147">
        <v>382.49879321104294</v>
      </c>
      <c r="P85" s="147">
        <v>396.54947290883825</v>
      </c>
      <c r="Q85" s="147">
        <v>400.36516927887834</v>
      </c>
      <c r="R85" s="147">
        <v>382.02574098846515</v>
      </c>
      <c r="S85" s="147">
        <v>261.96522443724143</v>
      </c>
      <c r="T85" s="147">
        <v>223.029199023492</v>
      </c>
      <c r="U85" s="147">
        <v>302.19058318781435</v>
      </c>
      <c r="V85" s="147">
        <v>242.45573439950553</v>
      </c>
      <c r="W85" s="147">
        <v>227.25347400149266</v>
      </c>
      <c r="X85" s="147">
        <v>231.8496546802433</v>
      </c>
      <c r="Y85" s="147">
        <v>195.01562571186471</v>
      </c>
      <c r="Z85" s="147">
        <v>168.07997969784714</v>
      </c>
      <c r="AA85" s="147">
        <v>145.13817379530195</v>
      </c>
      <c r="AB85" s="147">
        <v>134.38537137982755</v>
      </c>
      <c r="AC85" s="147">
        <v>118.12825509785306</v>
      </c>
      <c r="AD85" s="147">
        <v>97.114092835944831</v>
      </c>
      <c r="AE85" s="147">
        <v>143.7593222337693</v>
      </c>
      <c r="AF85" s="147">
        <v>108.20544255684058</v>
      </c>
      <c r="AG85" s="148">
        <v>246.04148726233382</v>
      </c>
      <c r="AH85" s="148">
        <v>114.22989436312709</v>
      </c>
      <c r="AI85" s="148" t="s">
        <v>32</v>
      </c>
    </row>
    <row r="86" spans="1:35" x14ac:dyDescent="0.4">
      <c r="A86" s="168" t="s">
        <v>101</v>
      </c>
      <c r="B86" s="149">
        <v>3427.0259644814687</v>
      </c>
      <c r="C86" s="150">
        <v>3570.1272513844133</v>
      </c>
      <c r="D86" s="150">
        <v>3659.5718559610723</v>
      </c>
      <c r="E86" s="150">
        <v>3608.5507996984779</v>
      </c>
      <c r="F86" s="150">
        <v>3907.8648049927801</v>
      </c>
      <c r="G86" s="150">
        <v>4039.831672962785</v>
      </c>
      <c r="H86" s="150">
        <v>4179.8699527430381</v>
      </c>
      <c r="I86" s="150">
        <v>4366.6064012399111</v>
      </c>
      <c r="J86" s="150">
        <v>4563.7390040242744</v>
      </c>
      <c r="K86" s="150">
        <v>4687.3001819891488</v>
      </c>
      <c r="L86" s="150">
        <v>4735.967883823082</v>
      </c>
      <c r="M86" s="150">
        <v>5574.2460631332824</v>
      </c>
      <c r="N86" s="150">
        <v>5603.3862176917864</v>
      </c>
      <c r="O86" s="150">
        <v>5590.3577592003521</v>
      </c>
      <c r="P86" s="150">
        <v>5819.6291503243283</v>
      </c>
      <c r="Q86" s="150">
        <v>5772.328336010155</v>
      </c>
      <c r="R86" s="150">
        <v>6276.4654762090704</v>
      </c>
      <c r="S86" s="150">
        <v>12867.715402218037</v>
      </c>
      <c r="T86" s="150">
        <v>16528.186040324152</v>
      </c>
      <c r="U86" s="150">
        <v>23290.914863009679</v>
      </c>
      <c r="V86" s="150">
        <v>25973.602308516914</v>
      </c>
      <c r="W86" s="150">
        <v>28293.056067549267</v>
      </c>
      <c r="X86" s="150">
        <v>33423.481299763851</v>
      </c>
      <c r="Y86" s="150">
        <v>38825.960202245929</v>
      </c>
      <c r="Z86" s="150">
        <v>45289.172134186207</v>
      </c>
      <c r="AA86" s="150">
        <v>50213.353540396289</v>
      </c>
      <c r="AB86" s="150">
        <v>51764.074783698816</v>
      </c>
      <c r="AC86" s="150">
        <v>55086.705408194197</v>
      </c>
      <c r="AD86" s="150">
        <v>58100.081083345554</v>
      </c>
      <c r="AE86" s="150">
        <v>65408.017258248059</v>
      </c>
      <c r="AF86" s="150">
        <v>71143.159018082064</v>
      </c>
      <c r="AG86" s="151">
        <v>72083.467514534685</v>
      </c>
      <c r="AH86" s="151">
        <v>70545.413546548516</v>
      </c>
      <c r="AI86" s="151">
        <v>70435.756962898959</v>
      </c>
    </row>
    <row r="87" spans="1:35" x14ac:dyDescent="0.4">
      <c r="A87" s="104" t="s">
        <v>97</v>
      </c>
      <c r="B87" s="146">
        <v>99.648289799500006</v>
      </c>
      <c r="C87" s="147">
        <v>88.79486912408305</v>
      </c>
      <c r="D87" s="147">
        <v>85.612950709531063</v>
      </c>
      <c r="E87" s="152">
        <v>80.793842115938162</v>
      </c>
      <c r="F87" s="147">
        <v>76.042790914195095</v>
      </c>
      <c r="G87" s="147">
        <v>71.790800686968666</v>
      </c>
      <c r="H87" s="147">
        <v>70.016006457842806</v>
      </c>
      <c r="I87" s="147">
        <v>68.114926074146894</v>
      </c>
      <c r="J87" s="147">
        <v>64.801730932905798</v>
      </c>
      <c r="K87" s="147">
        <v>65.295097789818783</v>
      </c>
      <c r="L87" s="147">
        <v>62.645744360390815</v>
      </c>
      <c r="M87" s="147">
        <v>54.668421730428001</v>
      </c>
      <c r="N87" s="147">
        <v>54.36494991765943</v>
      </c>
      <c r="O87" s="147">
        <v>53.866871639799463</v>
      </c>
      <c r="P87" s="147">
        <v>54.75694506405376</v>
      </c>
      <c r="Q87" s="147">
        <v>54.886659393623049</v>
      </c>
      <c r="R87" s="147">
        <v>48.087165863142879</v>
      </c>
      <c r="S87" s="147">
        <v>54.031298589228022</v>
      </c>
      <c r="T87" s="147">
        <v>60.278558637185284</v>
      </c>
      <c r="U87" s="147">
        <v>175.004953308208</v>
      </c>
      <c r="V87" s="147">
        <v>317.32136777191431</v>
      </c>
      <c r="W87" s="147">
        <v>468.47648761586572</v>
      </c>
      <c r="X87" s="147">
        <v>629.05970866163079</v>
      </c>
      <c r="Y87" s="147">
        <v>743.34318258743394</v>
      </c>
      <c r="Z87" s="147">
        <v>839.11930295600723</v>
      </c>
      <c r="AA87" s="147">
        <v>943.48958272669665</v>
      </c>
      <c r="AB87" s="147">
        <v>962.54533487151048</v>
      </c>
      <c r="AC87" s="147">
        <v>1006.6177442870803</v>
      </c>
      <c r="AD87" s="147">
        <v>1001.4902405723616</v>
      </c>
      <c r="AE87" s="147">
        <v>1066.3466123214951</v>
      </c>
      <c r="AF87" s="147">
        <v>1140.0077502377253</v>
      </c>
      <c r="AG87" s="148">
        <v>1378.0926490630759</v>
      </c>
      <c r="AH87" s="148">
        <v>1232.232460141189</v>
      </c>
      <c r="AI87" s="148" t="s">
        <v>32</v>
      </c>
    </row>
    <row r="88" spans="1:35" x14ac:dyDescent="0.4">
      <c r="A88" s="104" t="s">
        <v>98</v>
      </c>
      <c r="B88" s="146">
        <v>159.24068779864305</v>
      </c>
      <c r="C88" s="147">
        <v>173.16640474046486</v>
      </c>
      <c r="D88" s="147">
        <v>187.84877965903354</v>
      </c>
      <c r="E88" s="152">
        <v>195.34122330809416</v>
      </c>
      <c r="F88" s="147">
        <v>196.53322545191486</v>
      </c>
      <c r="G88" s="147">
        <v>201.88244335671681</v>
      </c>
      <c r="H88" s="147">
        <v>211.94677561681274</v>
      </c>
      <c r="I88" s="147">
        <v>218.96368381033548</v>
      </c>
      <c r="J88" s="147">
        <v>222.7628447002144</v>
      </c>
      <c r="K88" s="147">
        <v>223.21125028823903</v>
      </c>
      <c r="L88" s="147">
        <v>229.32148942633017</v>
      </c>
      <c r="M88" s="147">
        <v>226.31321640092324</v>
      </c>
      <c r="N88" s="147">
        <v>227.99571292525607</v>
      </c>
      <c r="O88" s="147">
        <v>234.44444731813925</v>
      </c>
      <c r="P88" s="147">
        <v>237.02507803061036</v>
      </c>
      <c r="Q88" s="147">
        <v>242.76697346091618</v>
      </c>
      <c r="R88" s="147">
        <v>275.9915414584317</v>
      </c>
      <c r="S88" s="147">
        <v>857.96401883705937</v>
      </c>
      <c r="T88" s="147">
        <v>1334.7775786260688</v>
      </c>
      <c r="U88" s="147">
        <v>848.18994181005121</v>
      </c>
      <c r="V88" s="147">
        <v>954.1418029135674</v>
      </c>
      <c r="W88" s="147">
        <v>1089.6156508687257</v>
      </c>
      <c r="X88" s="147">
        <v>1321.9251873051144</v>
      </c>
      <c r="Y88" s="147">
        <v>1536.4343123827887</v>
      </c>
      <c r="Z88" s="147">
        <v>1859.0642900626012</v>
      </c>
      <c r="AA88" s="147">
        <v>2050.6791701647749</v>
      </c>
      <c r="AB88" s="147">
        <v>2217.1696583127059</v>
      </c>
      <c r="AC88" s="147">
        <v>2385.117398886518</v>
      </c>
      <c r="AD88" s="147">
        <v>2405.9546833491459</v>
      </c>
      <c r="AE88" s="147">
        <v>2375.1282139702557</v>
      </c>
      <c r="AF88" s="147">
        <v>2617.6958887722362</v>
      </c>
      <c r="AG88" s="148">
        <v>3036.3887259353751</v>
      </c>
      <c r="AH88" s="148">
        <v>2872.861786649652</v>
      </c>
      <c r="AI88" s="148" t="s">
        <v>32</v>
      </c>
    </row>
    <row r="89" spans="1:35" x14ac:dyDescent="0.4">
      <c r="A89" s="104" t="s">
        <v>99</v>
      </c>
      <c r="B89" s="146">
        <v>3168.1369868833253</v>
      </c>
      <c r="C89" s="147">
        <v>3015.5961546674439</v>
      </c>
      <c r="D89" s="147">
        <v>3097.0381068979491</v>
      </c>
      <c r="E89" s="152">
        <v>3036.7961296603507</v>
      </c>
      <c r="F89" s="147">
        <v>3332.2981027356695</v>
      </c>
      <c r="G89" s="147">
        <v>3463.9589444460335</v>
      </c>
      <c r="H89" s="147">
        <v>3584.3369736031127</v>
      </c>
      <c r="I89" s="147">
        <v>3759.245608647725</v>
      </c>
      <c r="J89" s="147">
        <v>3947.125319548687</v>
      </c>
      <c r="K89" s="147">
        <v>4048.1919318534788</v>
      </c>
      <c r="L89" s="147">
        <v>4098.0048432737185</v>
      </c>
      <c r="M89" s="147">
        <v>4975.3120015574996</v>
      </c>
      <c r="N89" s="147">
        <v>5018.6981075834574</v>
      </c>
      <c r="O89" s="147">
        <v>5008.1390599791484</v>
      </c>
      <c r="P89" s="147">
        <v>5235.0170035149995</v>
      </c>
      <c r="Q89" s="147">
        <v>5171.9689552483169</v>
      </c>
      <c r="R89" s="147">
        <v>5662.6653845597848</v>
      </c>
      <c r="S89" s="147">
        <v>10940.215086748442</v>
      </c>
      <c r="T89" s="147">
        <v>13732.951210463998</v>
      </c>
      <c r="U89" s="147">
        <v>20648.991742681275</v>
      </c>
      <c r="V89" s="147">
        <v>22987.853162758362</v>
      </c>
      <c r="W89" s="147">
        <v>24683.996186135322</v>
      </c>
      <c r="X89" s="147">
        <v>29009.624050704482</v>
      </c>
      <c r="Y89" s="147">
        <v>33758.823937707253</v>
      </c>
      <c r="Z89" s="147">
        <v>39339.203991508235</v>
      </c>
      <c r="AA89" s="147">
        <v>43624.948563577025</v>
      </c>
      <c r="AB89" s="147">
        <v>44640.042002034752</v>
      </c>
      <c r="AC89" s="147">
        <v>47328.666587934575</v>
      </c>
      <c r="AD89" s="147">
        <v>50005.171808506173</v>
      </c>
      <c r="AE89" s="147">
        <v>56131.823737159233</v>
      </c>
      <c r="AF89" s="147">
        <v>63030.350670044209</v>
      </c>
      <c r="AG89" s="148">
        <v>62296.350244639652</v>
      </c>
      <c r="AH89" s="148">
        <v>61138.137461127029</v>
      </c>
      <c r="AI89" s="148" t="s">
        <v>32</v>
      </c>
    </row>
    <row r="90" spans="1:35" ht="16.5" thickBot="1" x14ac:dyDescent="0.45">
      <c r="A90" s="104" t="s">
        <v>102</v>
      </c>
      <c r="B90" s="158" t="s">
        <v>103</v>
      </c>
      <c r="C90" s="147">
        <v>292.56982285242145</v>
      </c>
      <c r="D90" s="147">
        <v>289.07201869455878</v>
      </c>
      <c r="E90" s="147">
        <v>295.61960461409473</v>
      </c>
      <c r="F90" s="147">
        <v>302.99068589100068</v>
      </c>
      <c r="G90" s="147">
        <v>302.19948447306626</v>
      </c>
      <c r="H90" s="147">
        <v>313.57019706526984</v>
      </c>
      <c r="I90" s="147">
        <v>320.28218270770361</v>
      </c>
      <c r="J90" s="147">
        <v>329.04910884246686</v>
      </c>
      <c r="K90" s="147">
        <v>350.60190205761199</v>
      </c>
      <c r="L90" s="147">
        <v>345.99580676264225</v>
      </c>
      <c r="M90" s="147">
        <v>317.95242344443147</v>
      </c>
      <c r="N90" s="147">
        <v>302.32744726541398</v>
      </c>
      <c r="O90" s="147">
        <v>293.90738026326494</v>
      </c>
      <c r="P90" s="147">
        <v>292.83012371466407</v>
      </c>
      <c r="Q90" s="147">
        <v>302.70574790729893</v>
      </c>
      <c r="R90" s="147">
        <v>289.72138432771106</v>
      </c>
      <c r="S90" s="147">
        <v>1015.5049980433066</v>
      </c>
      <c r="T90" s="147">
        <v>1400.1786925968997</v>
      </c>
      <c r="U90" s="147">
        <v>1618.7282252101418</v>
      </c>
      <c r="V90" s="147">
        <v>1714.2859750730711</v>
      </c>
      <c r="W90" s="147">
        <v>2050.9677429293524</v>
      </c>
      <c r="X90" s="147">
        <v>2462.8723530926195</v>
      </c>
      <c r="Y90" s="147">
        <v>2787.3587695684519</v>
      </c>
      <c r="Z90" s="147">
        <v>3251.7845496593677</v>
      </c>
      <c r="AA90" s="147">
        <v>3594.2362239277973</v>
      </c>
      <c r="AB90" s="147">
        <v>3944.3177884798533</v>
      </c>
      <c r="AC90" s="147">
        <v>4366.3036770860299</v>
      </c>
      <c r="AD90" s="147">
        <v>4687.4643509178741</v>
      </c>
      <c r="AE90" s="147">
        <v>5834.7186947970804</v>
      </c>
      <c r="AF90" s="147">
        <v>4355.1047090278935</v>
      </c>
      <c r="AG90" s="148">
        <v>5372.6358948965808</v>
      </c>
      <c r="AH90" s="148">
        <v>5302.1818386306459</v>
      </c>
      <c r="AI90" s="148" t="s">
        <v>32</v>
      </c>
    </row>
    <row r="91" spans="1:35" x14ac:dyDescent="0.4">
      <c r="A91" s="169" t="s">
        <v>104</v>
      </c>
      <c r="B91" s="149">
        <v>117845.28166683525</v>
      </c>
      <c r="C91" s="150">
        <v>92060.270405604635</v>
      </c>
      <c r="D91" s="150">
        <v>84303.21910723632</v>
      </c>
      <c r="E91" s="150">
        <v>54420.945388586159</v>
      </c>
      <c r="F91" s="150">
        <v>89466.365611314701</v>
      </c>
      <c r="G91" s="150">
        <v>87883.803781959316</v>
      </c>
      <c r="H91" s="150">
        <v>97624.508485684026</v>
      </c>
      <c r="I91" s="150">
        <v>96436.457846237099</v>
      </c>
      <c r="J91" s="150">
        <v>89740.519992992849</v>
      </c>
      <c r="K91" s="150">
        <v>101335.04241798949</v>
      </c>
      <c r="L91" s="150">
        <v>104123.34524035521</v>
      </c>
      <c r="M91" s="150">
        <v>125845.99354951196</v>
      </c>
      <c r="N91" s="150">
        <v>119490.76612587165</v>
      </c>
      <c r="O91" s="150">
        <v>121233.03878658978</v>
      </c>
      <c r="P91" s="150">
        <v>126356.38788058775</v>
      </c>
      <c r="Q91" s="150">
        <v>134165.1309009738</v>
      </c>
      <c r="R91" s="150">
        <v>148394.04636578588</v>
      </c>
      <c r="S91" s="150">
        <v>135458.62768128069</v>
      </c>
      <c r="T91" s="150">
        <v>135270.62634732953</v>
      </c>
      <c r="U91" s="150">
        <v>120393.52239943689</v>
      </c>
      <c r="V91" s="150">
        <v>130493.64474633167</v>
      </c>
      <c r="W91" s="150">
        <v>138641.87942448951</v>
      </c>
      <c r="X91" s="150">
        <v>124939.39001600919</v>
      </c>
      <c r="Y91" s="150">
        <v>134493.38947192358</v>
      </c>
      <c r="Z91" s="150">
        <v>133541.88367638973</v>
      </c>
      <c r="AA91" s="150">
        <v>89477.162322330769</v>
      </c>
      <c r="AB91" s="150">
        <v>92799.570206234188</v>
      </c>
      <c r="AC91" s="150">
        <v>96103.12408075729</v>
      </c>
      <c r="AD91" s="150">
        <v>98798.18840908978</v>
      </c>
      <c r="AE91" s="150">
        <v>102384.55312404106</v>
      </c>
      <c r="AF91" s="150">
        <v>85797.6717857412</v>
      </c>
      <c r="AG91" s="151">
        <v>100143.89809921864</v>
      </c>
      <c r="AH91" s="151">
        <v>103435.51583868492</v>
      </c>
      <c r="AI91" s="151">
        <v>112816.98130346832</v>
      </c>
    </row>
    <row r="92" spans="1:35" x14ac:dyDescent="0.4">
      <c r="A92" s="104" t="s">
        <v>105</v>
      </c>
      <c r="B92" s="146">
        <v>7131.5963339560267</v>
      </c>
      <c r="C92" s="147">
        <v>2835.6708282261634</v>
      </c>
      <c r="D92" s="147">
        <v>2474.874815949669</v>
      </c>
      <c r="E92" s="147">
        <v>1964.2559107421055</v>
      </c>
      <c r="F92" s="147">
        <v>2064.5891551481141</v>
      </c>
      <c r="G92" s="147">
        <v>1290.3911032892538</v>
      </c>
      <c r="H92" s="147">
        <v>10091.576109367899</v>
      </c>
      <c r="I92" s="147">
        <v>7362.7853901517774</v>
      </c>
      <c r="J92" s="147">
        <v>475.12692365830873</v>
      </c>
      <c r="K92" s="147">
        <v>468.77690892833641</v>
      </c>
      <c r="L92" s="147">
        <v>2944.0093639507008</v>
      </c>
      <c r="M92" s="147">
        <v>1655.4245668867914</v>
      </c>
      <c r="N92" s="147">
        <v>1833.3965448762053</v>
      </c>
      <c r="O92" s="147">
        <v>329.17583780766222</v>
      </c>
      <c r="P92" s="147">
        <v>308.33340533333438</v>
      </c>
      <c r="Q92" s="147">
        <v>3427.6761098498791</v>
      </c>
      <c r="R92" s="147">
        <v>2126.058340016787</v>
      </c>
      <c r="S92" s="147">
        <v>1634.277720236576</v>
      </c>
      <c r="T92" s="147">
        <v>1729.3287201692187</v>
      </c>
      <c r="U92" s="147">
        <v>2199.748555368194</v>
      </c>
      <c r="V92" s="147">
        <v>1657.3577017650566</v>
      </c>
      <c r="W92" s="147">
        <v>1335.8176903709202</v>
      </c>
      <c r="X92" s="147">
        <v>1117.6822965457277</v>
      </c>
      <c r="Y92" s="147">
        <v>1303.7051460592072</v>
      </c>
      <c r="Z92" s="147">
        <v>819.84240792007733</v>
      </c>
      <c r="AA92" s="147">
        <v>998.0166404972025</v>
      </c>
      <c r="AB92" s="147">
        <v>1611.061352089913</v>
      </c>
      <c r="AC92" s="147">
        <v>2247.629636326978</v>
      </c>
      <c r="AD92" s="147">
        <v>1095.5159402132465</v>
      </c>
      <c r="AE92" s="147">
        <v>1642.0795702176704</v>
      </c>
      <c r="AF92" s="147">
        <v>669.07605025449709</v>
      </c>
      <c r="AG92" s="148">
        <v>1811.0795572021395</v>
      </c>
      <c r="AH92" s="148">
        <v>1673.8080670337727</v>
      </c>
      <c r="AI92" s="148" t="s">
        <v>32</v>
      </c>
    </row>
    <row r="93" spans="1:35" x14ac:dyDescent="0.4">
      <c r="A93" s="104" t="s">
        <v>106</v>
      </c>
      <c r="B93" s="146">
        <v>1165.91904</v>
      </c>
      <c r="C93" s="147">
        <v>1189.3716638399999</v>
      </c>
      <c r="D93" s="147">
        <v>812.62027663999982</v>
      </c>
      <c r="E93" s="147">
        <v>596.15810687999988</v>
      </c>
      <c r="F93" s="147">
        <v>1171.6288630399999</v>
      </c>
      <c r="G93" s="147">
        <v>1055.6588969599998</v>
      </c>
      <c r="H93" s="147">
        <v>915.98152895999988</v>
      </c>
      <c r="I93" s="147">
        <v>732.51341855999999</v>
      </c>
      <c r="J93" s="147">
        <v>941.95396927999991</v>
      </c>
      <c r="K93" s="147">
        <v>862.602124</v>
      </c>
      <c r="L93" s="147">
        <v>1345.8858172800001</v>
      </c>
      <c r="M93" s="147">
        <v>1556.2323833599999</v>
      </c>
      <c r="N93" s="147">
        <v>895.59618335999983</v>
      </c>
      <c r="O93" s="147">
        <v>1350.2648915199998</v>
      </c>
      <c r="P93" s="147">
        <v>3282.4181480000002</v>
      </c>
      <c r="Q93" s="147">
        <v>4560.9568235199995</v>
      </c>
      <c r="R93" s="147">
        <v>4994.787178399999</v>
      </c>
      <c r="S93" s="147">
        <v>4665.6015976000008</v>
      </c>
      <c r="T93" s="147">
        <v>2591.2794308799998</v>
      </c>
      <c r="U93" s="147">
        <v>1981.5310936000001</v>
      </c>
      <c r="V93" s="147">
        <v>2446.8454822399999</v>
      </c>
      <c r="W93" s="147">
        <v>2508.4545267199996</v>
      </c>
      <c r="X93" s="147">
        <v>849.54040255999996</v>
      </c>
      <c r="Y93" s="147">
        <v>1136.6717703999998</v>
      </c>
      <c r="Z93" s="147">
        <v>1529.7314340799996</v>
      </c>
      <c r="AA93" s="147">
        <v>2013.2416312</v>
      </c>
      <c r="AB93" s="147">
        <v>2511.7765830399994</v>
      </c>
      <c r="AC93" s="147">
        <v>935.30985664000002</v>
      </c>
      <c r="AD93" s="147">
        <v>1729.28131712</v>
      </c>
      <c r="AE93" s="147">
        <v>1478.0130572800001</v>
      </c>
      <c r="AF93" s="147">
        <v>3811.4556169599991</v>
      </c>
      <c r="AG93" s="148">
        <v>3811.4556169599991</v>
      </c>
      <c r="AH93" s="148">
        <v>3811.4556169599991</v>
      </c>
      <c r="AI93" s="148" t="s">
        <v>32</v>
      </c>
    </row>
    <row r="94" spans="1:35" x14ac:dyDescent="0.4">
      <c r="A94" s="104" t="s">
        <v>107</v>
      </c>
      <c r="B94" s="146">
        <v>2018.5277569691918</v>
      </c>
      <c r="C94" s="147">
        <v>2494.5167527343874</v>
      </c>
      <c r="D94" s="147">
        <v>2008.770380738973</v>
      </c>
      <c r="E94" s="147">
        <v>1980.1157144688884</v>
      </c>
      <c r="F94" s="147">
        <v>1768.7473467895989</v>
      </c>
      <c r="G94" s="147">
        <v>1628.5760893192296</v>
      </c>
      <c r="H94" s="147">
        <v>2270.2487103092576</v>
      </c>
      <c r="I94" s="147">
        <v>2108.1872173127499</v>
      </c>
      <c r="J94" s="147">
        <v>1234.8979715642481</v>
      </c>
      <c r="K94" s="147">
        <v>2289.9223908785275</v>
      </c>
      <c r="L94" s="147">
        <v>1359.4622781509511</v>
      </c>
      <c r="M94" s="147">
        <v>1786.1283338869264</v>
      </c>
      <c r="N94" s="147">
        <v>2423.553947834796</v>
      </c>
      <c r="O94" s="147">
        <v>2386.0685864596785</v>
      </c>
      <c r="P94" s="147">
        <v>2704.7917558504005</v>
      </c>
      <c r="Q94" s="147">
        <v>2201.3754056957991</v>
      </c>
      <c r="R94" s="147">
        <v>3455.8244673026134</v>
      </c>
      <c r="S94" s="147">
        <v>2390.6542868825795</v>
      </c>
      <c r="T94" s="147">
        <v>1009.5424500321612</v>
      </c>
      <c r="U94" s="147">
        <v>1126.1136115618056</v>
      </c>
      <c r="V94" s="147">
        <v>3484.8031073568322</v>
      </c>
      <c r="W94" s="147">
        <v>3691.440982374972</v>
      </c>
      <c r="X94" s="147">
        <v>4147.2209314682232</v>
      </c>
      <c r="Y94" s="147">
        <v>2847.5733525533833</v>
      </c>
      <c r="Z94" s="147">
        <v>2853.5350308116513</v>
      </c>
      <c r="AA94" s="147">
        <v>510.65943927564007</v>
      </c>
      <c r="AB94" s="147">
        <v>422.37262443230424</v>
      </c>
      <c r="AC94" s="147">
        <v>567.55805693958564</v>
      </c>
      <c r="AD94" s="147">
        <v>628.33217275574248</v>
      </c>
      <c r="AE94" s="147">
        <v>372.65276877325113</v>
      </c>
      <c r="AF94" s="147">
        <v>512.25422975792526</v>
      </c>
      <c r="AG94" s="148">
        <v>518.84183353670517</v>
      </c>
      <c r="AH94" s="148">
        <v>528.25197936728341</v>
      </c>
      <c r="AI94" s="148" t="s">
        <v>32</v>
      </c>
    </row>
    <row r="95" spans="1:35" x14ac:dyDescent="0.4">
      <c r="A95" s="104" t="s">
        <v>108</v>
      </c>
      <c r="B95" s="146">
        <v>34577.703515569861</v>
      </c>
      <c r="C95" s="147">
        <v>24002.143850645476</v>
      </c>
      <c r="D95" s="147">
        <v>25047.381750118264</v>
      </c>
      <c r="E95" s="147">
        <v>0</v>
      </c>
      <c r="F95" s="147">
        <v>34899.38874131276</v>
      </c>
      <c r="G95" s="147">
        <v>36563.400221475</v>
      </c>
      <c r="H95" s="147">
        <v>36043.871195621527</v>
      </c>
      <c r="I95" s="147">
        <v>36871.798175913857</v>
      </c>
      <c r="J95" s="147">
        <v>40693.492494556624</v>
      </c>
      <c r="K95" s="147">
        <v>37194.598448298319</v>
      </c>
      <c r="L95" s="147">
        <v>35489.551249004857</v>
      </c>
      <c r="M95" s="147">
        <v>57877.805316621132</v>
      </c>
      <c r="N95" s="147">
        <v>53703.740989407022</v>
      </c>
      <c r="O95" s="147">
        <v>52258.332251263433</v>
      </c>
      <c r="P95" s="147">
        <v>48052.452780268883</v>
      </c>
      <c r="Q95" s="147">
        <v>49236.866660137151</v>
      </c>
      <c r="R95" s="147">
        <v>56880.906604988071</v>
      </c>
      <c r="S95" s="147">
        <v>47338.975548629809</v>
      </c>
      <c r="T95" s="147">
        <v>41567.298358355154</v>
      </c>
      <c r="U95" s="147">
        <v>39423.557059014915</v>
      </c>
      <c r="V95" s="147">
        <v>40998.876846183077</v>
      </c>
      <c r="W95" s="147">
        <v>41315.909718968949</v>
      </c>
      <c r="X95" s="147">
        <v>39903.106011681222</v>
      </c>
      <c r="Y95" s="147">
        <v>41063.322305779351</v>
      </c>
      <c r="Z95" s="147">
        <v>39321.108053573065</v>
      </c>
      <c r="AA95" s="147">
        <v>15263.884243498802</v>
      </c>
      <c r="AB95" s="147">
        <v>15920.301478563872</v>
      </c>
      <c r="AC95" s="147">
        <v>17249.982335705492</v>
      </c>
      <c r="AD95" s="147">
        <v>18002.582246651062</v>
      </c>
      <c r="AE95" s="147">
        <v>18993.735821074792</v>
      </c>
      <c r="AF95" s="147">
        <v>17353.510640159384</v>
      </c>
      <c r="AG95" s="148">
        <v>21414.805065097054</v>
      </c>
      <c r="AH95" s="148">
        <v>11515.118339393272</v>
      </c>
      <c r="AI95" s="148" t="s">
        <v>32</v>
      </c>
    </row>
    <row r="96" spans="1:35" x14ac:dyDescent="0.4">
      <c r="A96" s="104" t="s">
        <v>109</v>
      </c>
      <c r="B96" s="146">
        <v>40118.789650455416</v>
      </c>
      <c r="C96" s="147">
        <v>32896.493272148211</v>
      </c>
      <c r="D96" s="147">
        <v>24249.796366077651</v>
      </c>
      <c r="E96" s="147">
        <v>23824.211413298533</v>
      </c>
      <c r="F96" s="147">
        <v>21890.533034322827</v>
      </c>
      <c r="G96" s="147">
        <v>19939.414223738062</v>
      </c>
      <c r="H96" s="147">
        <v>20791.87246568613</v>
      </c>
      <c r="I96" s="147">
        <v>20866.999420541459</v>
      </c>
      <c r="J96" s="147">
        <v>19586.107318500504</v>
      </c>
      <c r="K96" s="147">
        <v>20447.277081266566</v>
      </c>
      <c r="L96" s="147">
        <v>20494.816882564231</v>
      </c>
      <c r="M96" s="147">
        <v>17505.449917742644</v>
      </c>
      <c r="N96" s="147">
        <v>14093.691298540314</v>
      </c>
      <c r="O96" s="147">
        <v>16298.917885734209</v>
      </c>
      <c r="P96" s="147">
        <v>20979.059099833779</v>
      </c>
      <c r="Q96" s="147">
        <v>23009.255872388389</v>
      </c>
      <c r="R96" s="147">
        <v>21278.198667484303</v>
      </c>
      <c r="S96" s="147">
        <v>20951.199068433772</v>
      </c>
      <c r="T96" s="147">
        <v>27976.055323592598</v>
      </c>
      <c r="U96" s="147">
        <v>15582.769281051264</v>
      </c>
      <c r="V96" s="147">
        <v>21762.681008472668</v>
      </c>
      <c r="W96" s="147">
        <v>21424.593594850954</v>
      </c>
      <c r="X96" s="147">
        <v>21265.300462564002</v>
      </c>
      <c r="Y96" s="147">
        <v>22110.201132073402</v>
      </c>
      <c r="Z96" s="147">
        <v>21481.26357487424</v>
      </c>
      <c r="AA96" s="147">
        <v>21025.810251986954</v>
      </c>
      <c r="AB96" s="147">
        <v>22290.528619982677</v>
      </c>
      <c r="AC96" s="147">
        <v>24343.578082600114</v>
      </c>
      <c r="AD96" s="147">
        <v>25926.994745104043</v>
      </c>
      <c r="AE96" s="147">
        <v>27573.731875549391</v>
      </c>
      <c r="AF96" s="147">
        <v>14051.969687670742</v>
      </c>
      <c r="AG96" s="148">
        <v>19926.194135811587</v>
      </c>
      <c r="AH96" s="148">
        <v>24722.269026105412</v>
      </c>
      <c r="AI96" s="148">
        <v>25002.120538772375</v>
      </c>
    </row>
    <row r="97" spans="1:35" ht="16.5" thickBot="1" x14ac:dyDescent="0.45">
      <c r="A97" s="138" t="s">
        <v>110</v>
      </c>
      <c r="B97" s="146">
        <v>32832.745369884746</v>
      </c>
      <c r="C97" s="147">
        <v>28642.0740380104</v>
      </c>
      <c r="D97" s="147">
        <v>29709.775517711761</v>
      </c>
      <c r="E97" s="147">
        <v>26056.204243196633</v>
      </c>
      <c r="F97" s="147">
        <v>27671.478470701408</v>
      </c>
      <c r="G97" s="147">
        <v>27406.363247177775</v>
      </c>
      <c r="H97" s="147">
        <v>27510.958475739215</v>
      </c>
      <c r="I97" s="147">
        <v>28494.174223757258</v>
      </c>
      <c r="J97" s="147">
        <v>26808.941315433171</v>
      </c>
      <c r="K97" s="147">
        <v>40071.865464617746</v>
      </c>
      <c r="L97" s="147">
        <v>42489.619649404471</v>
      </c>
      <c r="M97" s="147">
        <v>45464.953031014462</v>
      </c>
      <c r="N97" s="147">
        <v>46540.787161853303</v>
      </c>
      <c r="O97" s="147">
        <v>48610.2793338048</v>
      </c>
      <c r="P97" s="147">
        <v>51029.332691301359</v>
      </c>
      <c r="Q97" s="147">
        <v>51729.000029382594</v>
      </c>
      <c r="R97" s="147">
        <v>59658.271107594112</v>
      </c>
      <c r="S97" s="147">
        <v>58477.919459497956</v>
      </c>
      <c r="T97" s="147">
        <v>60397.122064300405</v>
      </c>
      <c r="U97" s="147">
        <v>60079.802798840719</v>
      </c>
      <c r="V97" s="147">
        <v>60143.080600314053</v>
      </c>
      <c r="W97" s="147">
        <v>68365.662911203719</v>
      </c>
      <c r="X97" s="147">
        <v>57656.539911190026</v>
      </c>
      <c r="Y97" s="147">
        <v>66031.915765058249</v>
      </c>
      <c r="Z97" s="147">
        <v>67536.40317513069</v>
      </c>
      <c r="AA97" s="147">
        <v>49665.550115872175</v>
      </c>
      <c r="AB97" s="147">
        <v>50043.529548125422</v>
      </c>
      <c r="AC97" s="147">
        <v>50759.066112545122</v>
      </c>
      <c r="AD97" s="147">
        <v>51415.481987245694</v>
      </c>
      <c r="AE97" s="147">
        <v>52324.340031145955</v>
      </c>
      <c r="AF97" s="147">
        <v>49399.405560938649</v>
      </c>
      <c r="AG97" s="148">
        <v>52661.521890611155</v>
      </c>
      <c r="AH97" s="148">
        <v>61184.612809825187</v>
      </c>
      <c r="AI97" s="148" t="s">
        <v>32</v>
      </c>
    </row>
    <row r="98" spans="1:35" x14ac:dyDescent="0.4">
      <c r="A98" s="108" t="s">
        <v>111</v>
      </c>
      <c r="B98" s="149">
        <v>17.953871102675237</v>
      </c>
      <c r="C98" s="150">
        <v>12.994790668254852</v>
      </c>
      <c r="D98" s="150">
        <v>11.584159907151648</v>
      </c>
      <c r="E98" s="150">
        <v>14.349992725626755</v>
      </c>
      <c r="F98" s="150">
        <v>13.350264472457461</v>
      </c>
      <c r="G98" s="150">
        <v>12.888595247199396</v>
      </c>
      <c r="H98" s="150">
        <v>13.692858171011656</v>
      </c>
      <c r="I98" s="150">
        <v>13.624072875467546</v>
      </c>
      <c r="J98" s="150">
        <v>13.97189149285456</v>
      </c>
      <c r="K98" s="150">
        <v>13.632919096600538</v>
      </c>
      <c r="L98" s="150">
        <v>14.755048245890851</v>
      </c>
      <c r="M98" s="150">
        <v>15.772523290803949</v>
      </c>
      <c r="N98" s="150">
        <v>16.587400540315425</v>
      </c>
      <c r="O98" s="150">
        <v>59.177020081514044</v>
      </c>
      <c r="P98" s="150">
        <v>45.619827649458998</v>
      </c>
      <c r="Q98" s="150">
        <v>36.694163411029365</v>
      </c>
      <c r="R98" s="150">
        <v>27.249141594619797</v>
      </c>
      <c r="S98" s="150">
        <v>23.033821948490914</v>
      </c>
      <c r="T98" s="150">
        <v>18.895617084297442</v>
      </c>
      <c r="U98" s="150">
        <v>17.445426899225332</v>
      </c>
      <c r="V98" s="150">
        <v>22.478956230632235</v>
      </c>
      <c r="W98" s="150">
        <v>21.309263410198731</v>
      </c>
      <c r="X98" s="150">
        <v>22.610975474166182</v>
      </c>
      <c r="Y98" s="150">
        <v>24.091265091008818</v>
      </c>
      <c r="Z98" s="150">
        <v>25.607012722273865</v>
      </c>
      <c r="AA98" s="150">
        <v>25.176406691120569</v>
      </c>
      <c r="AB98" s="150">
        <v>27.209033756991936</v>
      </c>
      <c r="AC98" s="150">
        <v>28.404848378998768</v>
      </c>
      <c r="AD98" s="150">
        <v>33.229315243291154</v>
      </c>
      <c r="AE98" s="150">
        <v>34.546314277360111</v>
      </c>
      <c r="AF98" s="150">
        <v>33.318942959104632</v>
      </c>
      <c r="AG98" s="151">
        <v>35.337213245075972</v>
      </c>
      <c r="AH98" s="151">
        <v>39.40411847994185</v>
      </c>
      <c r="AI98" s="151">
        <v>746.67461918380434</v>
      </c>
    </row>
    <row r="99" spans="1:35" x14ac:dyDescent="0.4">
      <c r="A99" s="104" t="s">
        <v>112</v>
      </c>
      <c r="B99" s="146">
        <v>1.6104690240227171</v>
      </c>
      <c r="C99" s="147">
        <v>0.67678871828671949</v>
      </c>
      <c r="D99" s="147">
        <v>0.60385440820363401</v>
      </c>
      <c r="E99" s="147">
        <v>0.77607202779694717</v>
      </c>
      <c r="F99" s="147">
        <v>0.74471760632471862</v>
      </c>
      <c r="G99" s="147">
        <v>0.718394916824595</v>
      </c>
      <c r="H99" s="147">
        <v>0.77291210578532143</v>
      </c>
      <c r="I99" s="147">
        <v>0.83763750487590616</v>
      </c>
      <c r="J99" s="147">
        <v>0.92549065793816254</v>
      </c>
      <c r="K99" s="147">
        <v>0.9796909263334469</v>
      </c>
      <c r="L99" s="147">
        <v>1.3745999308920229</v>
      </c>
      <c r="M99" s="147">
        <v>1.7318813645539111</v>
      </c>
      <c r="N99" s="147">
        <v>2.0511352545353407</v>
      </c>
      <c r="O99" s="147">
        <v>7.5774443548174579</v>
      </c>
      <c r="P99" s="147">
        <v>7.0185057165357678</v>
      </c>
      <c r="Q99" s="147">
        <v>6.0088633346381197</v>
      </c>
      <c r="R99" s="147">
        <v>4.8741714781750929</v>
      </c>
      <c r="S99" s="147">
        <v>4.1052564338583588</v>
      </c>
      <c r="T99" s="147">
        <v>2.9495469033340505</v>
      </c>
      <c r="U99" s="147">
        <v>3.0385242270808108</v>
      </c>
      <c r="V99" s="147">
        <v>3.4708120575877675</v>
      </c>
      <c r="W99" s="147">
        <v>3.3370856830048559</v>
      </c>
      <c r="X99" s="147">
        <v>3.9211820113413145</v>
      </c>
      <c r="Y99" s="147">
        <v>4.4893030743427653</v>
      </c>
      <c r="Z99" s="147">
        <v>4.118666288315799</v>
      </c>
      <c r="AA99" s="147">
        <v>3.9905767298876564</v>
      </c>
      <c r="AB99" s="147">
        <v>4.7022694165938539</v>
      </c>
      <c r="AC99" s="147">
        <v>5.6775923671651576</v>
      </c>
      <c r="AD99" s="147">
        <v>5.3444866154339108</v>
      </c>
      <c r="AE99" s="147">
        <v>5.717136063028434</v>
      </c>
      <c r="AF99" s="147">
        <v>6.055810128687356</v>
      </c>
      <c r="AG99" s="148">
        <v>6.3974970065236887</v>
      </c>
      <c r="AH99" s="148">
        <v>7.2354351292467367</v>
      </c>
      <c r="AI99" s="148" t="s">
        <v>32</v>
      </c>
    </row>
    <row r="100" spans="1:35" x14ac:dyDescent="0.4">
      <c r="A100" s="104" t="s">
        <v>113</v>
      </c>
      <c r="B100" s="146">
        <v>15.984507137430736</v>
      </c>
      <c r="C100" s="147">
        <v>11.986574707611256</v>
      </c>
      <c r="D100" s="147">
        <v>10.515742863174266</v>
      </c>
      <c r="E100" s="147">
        <v>13.098170077410632</v>
      </c>
      <c r="F100" s="147">
        <v>12.105955885450749</v>
      </c>
      <c r="G100" s="147">
        <v>11.422739490317781</v>
      </c>
      <c r="H100" s="147">
        <v>11.782413207990368</v>
      </c>
      <c r="I100" s="147">
        <v>11.78197359859994</v>
      </c>
      <c r="J100" s="147">
        <v>12.03232123919137</v>
      </c>
      <c r="K100" s="147">
        <v>10.383583315675386</v>
      </c>
      <c r="L100" s="147">
        <v>10.366422864332428</v>
      </c>
      <c r="M100" s="147">
        <v>11.179843975050861</v>
      </c>
      <c r="N100" s="147">
        <v>11.18960944976457</v>
      </c>
      <c r="O100" s="147">
        <v>39.313976702179993</v>
      </c>
      <c r="P100" s="147">
        <v>26.084035421497699</v>
      </c>
      <c r="Q100" s="147">
        <v>19.869685797919551</v>
      </c>
      <c r="R100" s="147">
        <v>11.622042517670184</v>
      </c>
      <c r="S100" s="147">
        <v>8.6074542680835968</v>
      </c>
      <c r="T100" s="147">
        <v>6.9021129265320242</v>
      </c>
      <c r="U100" s="147">
        <v>5.9266657688065099</v>
      </c>
      <c r="V100" s="147">
        <v>5.4157338131759847</v>
      </c>
      <c r="W100" s="147">
        <v>5.2166455816567199</v>
      </c>
      <c r="X100" s="147">
        <v>5.003392229917222</v>
      </c>
      <c r="Y100" s="147">
        <v>5.2998264780473301</v>
      </c>
      <c r="Z100" s="147">
        <v>5.3106078185709915</v>
      </c>
      <c r="AA100" s="147">
        <v>5.3838588029229753</v>
      </c>
      <c r="AB100" s="147">
        <v>5.8137365330872166</v>
      </c>
      <c r="AC100" s="147">
        <v>4.802526878245259</v>
      </c>
      <c r="AD100" s="147">
        <v>9.3778338257156513</v>
      </c>
      <c r="AE100" s="147">
        <v>9.3550420310460716</v>
      </c>
      <c r="AF100" s="147">
        <v>8.2038859614009709</v>
      </c>
      <c r="AG100" s="148">
        <v>8.4249309723524224</v>
      </c>
      <c r="AH100" s="148">
        <v>8.9724230511437568</v>
      </c>
      <c r="AI100" s="148" t="s">
        <v>32</v>
      </c>
    </row>
    <row r="101" spans="1:35" ht="16.5" thickBot="1" x14ac:dyDescent="0.45">
      <c r="A101" s="138" t="s">
        <v>114</v>
      </c>
      <c r="B101" s="155">
        <v>0.35889494122178012</v>
      </c>
      <c r="C101" s="156">
        <v>0.33142724235687654</v>
      </c>
      <c r="D101" s="156">
        <v>0.46456263577374657</v>
      </c>
      <c r="E101" s="156">
        <v>0.47575062041917576</v>
      </c>
      <c r="F101" s="156">
        <v>0.49959098068199315</v>
      </c>
      <c r="G101" s="156">
        <v>0.74746084005701918</v>
      </c>
      <c r="H101" s="156">
        <v>1.1375328572359664</v>
      </c>
      <c r="I101" s="156">
        <v>1.0044617719916995</v>
      </c>
      <c r="J101" s="156">
        <v>1.0140795957250273</v>
      </c>
      <c r="K101" s="156">
        <v>2.2696448545917058</v>
      </c>
      <c r="L101" s="156">
        <v>3.0140254506664004</v>
      </c>
      <c r="M101" s="156">
        <v>2.8607979511991779</v>
      </c>
      <c r="N101" s="156">
        <v>3.3466558360155134</v>
      </c>
      <c r="O101" s="156">
        <v>12.285599024516594</v>
      </c>
      <c r="P101" s="156">
        <v>12.517286511425535</v>
      </c>
      <c r="Q101" s="156">
        <v>10.815614278471688</v>
      </c>
      <c r="R101" s="156">
        <v>10.752927598774519</v>
      </c>
      <c r="S101" s="156">
        <v>10.321111246548959</v>
      </c>
      <c r="T101" s="156">
        <v>9.0439572544313656</v>
      </c>
      <c r="U101" s="156">
        <v>8.4802369033380085</v>
      </c>
      <c r="V101" s="156">
        <v>13.592410359868483</v>
      </c>
      <c r="W101" s="156">
        <v>12.755532145537156</v>
      </c>
      <c r="X101" s="156">
        <v>13.686401232907645</v>
      </c>
      <c r="Y101" s="156">
        <v>14.302135538618723</v>
      </c>
      <c r="Z101" s="156">
        <v>16.177738615387074</v>
      </c>
      <c r="AA101" s="156">
        <v>15.801971158309939</v>
      </c>
      <c r="AB101" s="156">
        <v>16.693027807310866</v>
      </c>
      <c r="AC101" s="156">
        <v>17.92472913358835</v>
      </c>
      <c r="AD101" s="156">
        <v>18.506994802141591</v>
      </c>
      <c r="AE101" s="156">
        <v>19.474136183285605</v>
      </c>
      <c r="AF101" s="156">
        <v>19.059246869016309</v>
      </c>
      <c r="AG101" s="154">
        <v>20.514785266199862</v>
      </c>
      <c r="AH101" s="154">
        <v>23.196260299551355</v>
      </c>
      <c r="AI101" s="154" t="s">
        <v>32</v>
      </c>
    </row>
    <row r="102" spans="1:35" x14ac:dyDescent="0.4">
      <c r="A102" s="167" t="s">
        <v>115</v>
      </c>
      <c r="B102" s="146">
        <v>940429.69926652126</v>
      </c>
      <c r="C102" s="147">
        <v>957180.70417084883</v>
      </c>
      <c r="D102" s="147">
        <v>993499.81768698804</v>
      </c>
      <c r="E102" s="147">
        <v>975283.65828476218</v>
      </c>
      <c r="F102" s="147">
        <v>1026143.9910709922</v>
      </c>
      <c r="G102" s="147">
        <v>1052322.5444835501</v>
      </c>
      <c r="H102" s="147">
        <v>1100074.0972505845</v>
      </c>
      <c r="I102" s="147">
        <v>1098309.3276268416</v>
      </c>
      <c r="J102" s="147">
        <v>1102430.5601051254</v>
      </c>
      <c r="K102" s="147">
        <v>1036849.5369478887</v>
      </c>
      <c r="L102" s="147">
        <v>1010841.2164547532</v>
      </c>
      <c r="M102" s="147">
        <v>962942.38079410477</v>
      </c>
      <c r="N102" s="147">
        <v>905126.51620790223</v>
      </c>
      <c r="O102" s="147">
        <v>865619.18201869109</v>
      </c>
      <c r="P102" s="147">
        <v>811108.21118726081</v>
      </c>
      <c r="Q102" s="147">
        <v>764830.95102972025</v>
      </c>
      <c r="R102" s="147">
        <v>754661.83810210705</v>
      </c>
      <c r="S102" s="147">
        <v>658900.82343545114</v>
      </c>
      <c r="T102" s="147">
        <v>618717.86389594746</v>
      </c>
      <c r="U102" s="147">
        <v>553083.03379694477</v>
      </c>
      <c r="V102" s="147">
        <v>537179.97262924805</v>
      </c>
      <c r="W102" s="147">
        <v>528474.04759398533</v>
      </c>
      <c r="X102" s="147">
        <v>478594.12030416023</v>
      </c>
      <c r="Y102" s="147">
        <v>454661.21454592707</v>
      </c>
      <c r="Z102" s="147">
        <v>426187.8382084989</v>
      </c>
      <c r="AA102" s="147">
        <v>357063.50607600488</v>
      </c>
      <c r="AB102" s="147">
        <v>345223.03921971255</v>
      </c>
      <c r="AC102" s="147">
        <v>320804.4301971345</v>
      </c>
      <c r="AD102" s="147">
        <v>290887.56805459125</v>
      </c>
      <c r="AE102" s="147">
        <v>325248.56018871692</v>
      </c>
      <c r="AF102" s="147">
        <v>272392.53283016238</v>
      </c>
      <c r="AG102" s="147">
        <v>274422.0702669014</v>
      </c>
      <c r="AH102" s="147">
        <v>289969.27326415898</v>
      </c>
      <c r="AI102" s="147">
        <v>279739.85830083868</v>
      </c>
    </row>
    <row r="103" spans="1:35" x14ac:dyDescent="0.4">
      <c r="A103" s="1067" t="s">
        <v>1063</v>
      </c>
      <c r="B103" s="1142"/>
      <c r="C103" s="1143"/>
      <c r="D103" s="1143"/>
      <c r="E103" s="1143"/>
      <c r="F103" s="1143"/>
      <c r="G103" s="1143"/>
      <c r="H103" s="1143"/>
      <c r="I103" s="1143"/>
      <c r="J103" s="1143"/>
      <c r="K103" s="1143"/>
      <c r="L103" s="1143"/>
      <c r="M103" s="1143"/>
      <c r="N103" s="1143"/>
      <c r="O103" s="1143"/>
      <c r="P103" s="1143"/>
      <c r="Q103" s="1143"/>
      <c r="R103" s="1143"/>
      <c r="S103" s="1143"/>
      <c r="T103" s="1143"/>
      <c r="U103" s="1143"/>
      <c r="V103" s="1143"/>
      <c r="W103" s="1143"/>
      <c r="X103" s="1143"/>
      <c r="Y103" s="1143"/>
      <c r="Z103" s="1143"/>
      <c r="AA103" s="1143"/>
      <c r="AB103" s="1143"/>
      <c r="AC103" s="1143"/>
      <c r="AD103" s="1143"/>
      <c r="AE103" s="1143"/>
      <c r="AF103" s="1143"/>
      <c r="AG103" s="1143"/>
      <c r="AH103" s="1143"/>
      <c r="AI103" s="1143"/>
    </row>
    <row r="104" spans="1:35" x14ac:dyDescent="0.4">
      <c r="A104" s="196"/>
      <c r="B104" s="147"/>
      <c r="C104" s="147"/>
      <c r="D104" s="147"/>
      <c r="E104" s="147"/>
      <c r="F104" s="147"/>
      <c r="G104" s="147"/>
      <c r="H104" s="147"/>
      <c r="I104" s="147"/>
      <c r="J104" s="147"/>
      <c r="K104" s="147"/>
      <c r="L104" s="147"/>
      <c r="M104" s="147"/>
      <c r="N104" s="147"/>
      <c r="O104" s="147"/>
      <c r="P104" s="147"/>
      <c r="Q104" s="147"/>
      <c r="R104" s="147"/>
      <c r="S104" s="147"/>
      <c r="T104" s="147"/>
      <c r="U104" s="147"/>
      <c r="V104" s="147"/>
      <c r="W104" s="147"/>
      <c r="X104" s="147"/>
      <c r="Y104" s="147"/>
      <c r="Z104" s="147"/>
      <c r="AA104" s="147"/>
      <c r="AB104" s="147"/>
      <c r="AC104" s="147"/>
      <c r="AD104" s="147"/>
      <c r="AE104" s="147"/>
      <c r="AF104" s="147"/>
      <c r="AG104" s="147"/>
      <c r="AH104" s="147"/>
      <c r="AI104" s="147"/>
    </row>
    <row r="105" spans="1:35" x14ac:dyDescent="0.4">
      <c r="A105" s="196" t="s">
        <v>116</v>
      </c>
      <c r="B105" s="157"/>
      <c r="C105" s="157"/>
      <c r="D105" s="157"/>
      <c r="E105" s="157"/>
      <c r="F105" s="157"/>
      <c r="G105" s="157"/>
      <c r="H105" s="157"/>
      <c r="I105" s="157"/>
      <c r="J105" s="157"/>
      <c r="K105" s="157"/>
      <c r="L105" s="157"/>
      <c r="M105" s="157"/>
      <c r="N105" s="157"/>
      <c r="O105" s="157"/>
      <c r="P105" s="157"/>
      <c r="Q105" s="157"/>
      <c r="R105" s="157"/>
      <c r="AF105" s="28"/>
      <c r="AG105" s="28"/>
    </row>
    <row r="106" spans="1:35" x14ac:dyDescent="0.4">
      <c r="A106" s="1389" t="s">
        <v>1692</v>
      </c>
      <c r="B106" s="157"/>
      <c r="C106" s="157"/>
      <c r="D106" s="157"/>
      <c r="E106" s="157"/>
      <c r="F106" s="157"/>
      <c r="G106" s="157"/>
      <c r="H106" s="157"/>
      <c r="I106" s="157"/>
      <c r="J106" s="157"/>
      <c r="K106" s="157"/>
      <c r="L106" s="157"/>
      <c r="M106" s="157"/>
      <c r="N106" s="157"/>
      <c r="O106" s="157"/>
      <c r="P106" s="157"/>
      <c r="Q106" s="157"/>
      <c r="R106" s="157"/>
      <c r="AF106" s="28"/>
      <c r="AG106" s="28"/>
    </row>
    <row r="107" spans="1:35" x14ac:dyDescent="0.4">
      <c r="A107" s="104"/>
      <c r="B107" s="131"/>
      <c r="C107" s="131"/>
      <c r="D107" s="131"/>
      <c r="E107" s="131"/>
      <c r="F107" s="131"/>
      <c r="G107" s="131"/>
      <c r="H107" s="131"/>
      <c r="I107" s="131"/>
      <c r="J107" s="131"/>
      <c r="K107" s="131"/>
      <c r="L107" s="131"/>
      <c r="M107" s="131"/>
      <c r="N107" s="131"/>
      <c r="O107" s="131"/>
      <c r="P107" s="131"/>
      <c r="Q107" s="131"/>
      <c r="R107" s="131"/>
      <c r="AF107" s="28"/>
    </row>
    <row r="108" spans="1:35" ht="17" x14ac:dyDescent="0.45">
      <c r="A108" s="42" t="s">
        <v>1625</v>
      </c>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row>
    <row r="109" spans="1:35" ht="17" x14ac:dyDescent="0.45">
      <c r="A109" s="1492" t="s">
        <v>1626</v>
      </c>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row>
    <row r="110" spans="1:35" x14ac:dyDescent="0.4">
      <c r="A110" s="1493" t="s">
        <v>937</v>
      </c>
      <c r="B110" s="1493" t="s">
        <v>1627</v>
      </c>
      <c r="C110" s="1493" t="s">
        <v>1628</v>
      </c>
      <c r="D110" s="1493" t="s">
        <v>1629</v>
      </c>
      <c r="E110" s="1493" t="s">
        <v>1630</v>
      </c>
      <c r="F110" s="1493" t="s">
        <v>1631</v>
      </c>
      <c r="G110" s="1493" t="s">
        <v>1632</v>
      </c>
      <c r="H110" s="1493" t="s">
        <v>1633</v>
      </c>
      <c r="I110" s="1493" t="s">
        <v>1634</v>
      </c>
      <c r="J110" s="1493" t="s">
        <v>1635</v>
      </c>
      <c r="K110" s="1493" t="s">
        <v>1636</v>
      </c>
      <c r="L110" s="1493" t="s">
        <v>1637</v>
      </c>
      <c r="M110" s="1493" t="s">
        <v>1638</v>
      </c>
      <c r="N110" s="1493" t="s">
        <v>1639</v>
      </c>
      <c r="O110" s="1493" t="s">
        <v>1640</v>
      </c>
      <c r="P110" s="1493" t="s">
        <v>1641</v>
      </c>
      <c r="Q110" s="1493" t="s">
        <v>1642</v>
      </c>
      <c r="R110" s="1493" t="s">
        <v>1643</v>
      </c>
      <c r="S110" s="1493" t="s">
        <v>1644</v>
      </c>
      <c r="T110" s="1493" t="s">
        <v>1645</v>
      </c>
      <c r="U110" s="1493" t="s">
        <v>1646</v>
      </c>
      <c r="V110" s="1493" t="s">
        <v>1647</v>
      </c>
      <c r="W110" s="1493" t="s">
        <v>1648</v>
      </c>
      <c r="X110" s="1493" t="s">
        <v>1649</v>
      </c>
      <c r="Y110" s="1493" t="s">
        <v>1650</v>
      </c>
      <c r="Z110" s="1493" t="s">
        <v>1651</v>
      </c>
      <c r="AA110" s="1493" t="s">
        <v>1652</v>
      </c>
      <c r="AB110" s="1493" t="s">
        <v>1653</v>
      </c>
      <c r="AC110" s="1493" t="s">
        <v>1654</v>
      </c>
      <c r="AD110" s="1493" t="s">
        <v>1655</v>
      </c>
      <c r="AE110" s="1493" t="s">
        <v>1656</v>
      </c>
      <c r="AF110" s="1493" t="s">
        <v>1657</v>
      </c>
      <c r="AG110" s="1493" t="s">
        <v>1658</v>
      </c>
      <c r="AH110" s="1493" t="s">
        <v>1659</v>
      </c>
      <c r="AI110" s="1493" t="s">
        <v>1660</v>
      </c>
    </row>
    <row r="111" spans="1:35" x14ac:dyDescent="0.4">
      <c r="A111" s="1494" t="s">
        <v>67</v>
      </c>
      <c r="B111" s="1505" t="s">
        <v>458</v>
      </c>
      <c r="C111" s="1495">
        <v>2013.8784344651374</v>
      </c>
      <c r="D111" s="1495">
        <v>1632.3355533677052</v>
      </c>
      <c r="E111" s="1495">
        <v>1620.6179401013319</v>
      </c>
      <c r="F111" s="1495">
        <v>1557.4390491295483</v>
      </c>
      <c r="G111" s="1495">
        <v>1443.7690632362162</v>
      </c>
      <c r="H111" s="1495">
        <v>1507.4494117414356</v>
      </c>
      <c r="I111" s="1495">
        <v>1513.8918026626129</v>
      </c>
      <c r="J111" s="1495">
        <v>1421.1209698962016</v>
      </c>
      <c r="K111" s="1495">
        <v>1482.9925946057292</v>
      </c>
      <c r="L111" s="1495">
        <v>1484.507326100721</v>
      </c>
      <c r="M111" s="1495">
        <v>1269.8427279866958</v>
      </c>
      <c r="N111" s="1495">
        <v>1021.1233995848731</v>
      </c>
      <c r="O111" s="1495">
        <v>1181.6843329168325</v>
      </c>
      <c r="P111" s="1495">
        <v>1521.9032957415434</v>
      </c>
      <c r="Q111" s="1495">
        <v>1667.9298697048796</v>
      </c>
      <c r="R111" s="1495">
        <v>1548.2330514115015</v>
      </c>
      <c r="S111" s="1495">
        <v>1520.651901762136</v>
      </c>
      <c r="T111" s="1495">
        <v>2036.988931397138</v>
      </c>
      <c r="U111" s="1495">
        <v>1127.8510688026461</v>
      </c>
      <c r="V111" s="1495">
        <v>1582.9094966264213</v>
      </c>
      <c r="W111" s="1495">
        <v>1558.5269089003655</v>
      </c>
      <c r="X111" s="1495">
        <v>1547.193903788507</v>
      </c>
      <c r="Y111" s="1495">
        <v>1609.5445742726693</v>
      </c>
      <c r="Z111" s="1495">
        <v>1560.610269095512</v>
      </c>
      <c r="AA111" s="1495">
        <v>1527.6615453744016</v>
      </c>
      <c r="AB111" s="1495">
        <v>1620.1645137407727</v>
      </c>
      <c r="AC111" s="1495">
        <v>1770.2050703890986</v>
      </c>
      <c r="AD111" s="1495">
        <v>1884.7957148961516</v>
      </c>
      <c r="AE111" s="1495">
        <v>2004.9854215645628</v>
      </c>
      <c r="AF111" s="1495">
        <v>1019.4468071301367</v>
      </c>
      <c r="AG111" s="1495">
        <v>1447.404328841468</v>
      </c>
      <c r="AH111" s="1495">
        <v>1797.160163606512</v>
      </c>
      <c r="AI111" s="1495">
        <v>1821.1270613736478</v>
      </c>
    </row>
    <row r="112" spans="1:35" x14ac:dyDescent="0.4">
      <c r="A112" s="1496" t="s">
        <v>1661</v>
      </c>
      <c r="B112" s="1505" t="s">
        <v>458</v>
      </c>
      <c r="C112" s="1495">
        <v>382.72517999999997</v>
      </c>
      <c r="D112" s="1495">
        <v>133.17524999999998</v>
      </c>
      <c r="E112" s="1495">
        <v>109.92080250000001</v>
      </c>
      <c r="F112" s="1495">
        <v>33.140148750000002</v>
      </c>
      <c r="G112" s="1495">
        <v>3.32938125</v>
      </c>
      <c r="H112" s="1495">
        <v>1.2805312500000001</v>
      </c>
      <c r="I112" s="1495">
        <v>0.61465499999999984</v>
      </c>
      <c r="J112" s="1505" t="s">
        <v>32</v>
      </c>
      <c r="K112" s="1505" t="s">
        <v>32</v>
      </c>
      <c r="L112" s="1505" t="s">
        <v>32</v>
      </c>
      <c r="M112" s="1505" t="s">
        <v>32</v>
      </c>
      <c r="N112" s="1505" t="s">
        <v>32</v>
      </c>
      <c r="O112" s="1505" t="s">
        <v>32</v>
      </c>
      <c r="P112" s="1505" t="s">
        <v>32</v>
      </c>
      <c r="Q112" s="1505" t="s">
        <v>32</v>
      </c>
      <c r="R112" s="1505" t="s">
        <v>32</v>
      </c>
      <c r="S112" s="1505" t="s">
        <v>32</v>
      </c>
      <c r="T112" s="1505" t="s">
        <v>32</v>
      </c>
      <c r="U112" s="1505" t="s">
        <v>32</v>
      </c>
      <c r="V112" s="1505" t="s">
        <v>32</v>
      </c>
      <c r="W112" s="1505" t="s">
        <v>32</v>
      </c>
      <c r="X112" s="1505" t="s">
        <v>32</v>
      </c>
      <c r="Y112" s="1505" t="s">
        <v>32</v>
      </c>
      <c r="Z112" s="1505" t="s">
        <v>32</v>
      </c>
      <c r="AA112" s="1505" t="s">
        <v>32</v>
      </c>
      <c r="AB112" s="1505" t="s">
        <v>32</v>
      </c>
      <c r="AC112" s="1505" t="s">
        <v>32</v>
      </c>
      <c r="AD112" s="1505" t="s">
        <v>32</v>
      </c>
      <c r="AE112" s="1505" t="s">
        <v>32</v>
      </c>
      <c r="AF112" s="1505" t="s">
        <v>32</v>
      </c>
      <c r="AG112" s="1505" t="s">
        <v>32</v>
      </c>
      <c r="AH112" s="1505" t="s">
        <v>32</v>
      </c>
      <c r="AI112" s="1505" t="s">
        <v>32</v>
      </c>
    </row>
    <row r="113" spans="1:35" x14ac:dyDescent="0.4">
      <c r="A113" s="1497" t="s">
        <v>93</v>
      </c>
      <c r="B113" s="1507" t="s">
        <v>458</v>
      </c>
      <c r="C113" s="1498">
        <v>333.70440048</v>
      </c>
      <c r="D113" s="1498">
        <v>333.70440048</v>
      </c>
      <c r="E113" s="1498">
        <v>630.33053424000002</v>
      </c>
      <c r="F113" s="1498">
        <v>541.342694112</v>
      </c>
      <c r="G113" s="1498">
        <v>622.91488089600011</v>
      </c>
      <c r="H113" s="1498">
        <v>667.40880096000001</v>
      </c>
      <c r="I113" s="1498">
        <v>645.16184092800006</v>
      </c>
      <c r="J113" s="1498">
        <v>645.16184092800006</v>
      </c>
      <c r="K113" s="1498">
        <v>711.90272102400002</v>
      </c>
      <c r="L113" s="1498">
        <v>860.21578790400019</v>
      </c>
      <c r="M113" s="1498">
        <v>593.25226751999992</v>
      </c>
      <c r="N113" s="1498">
        <v>571.00530748799997</v>
      </c>
      <c r="O113" s="1498">
        <v>600.66792086400005</v>
      </c>
      <c r="P113" s="1498">
        <v>704.48706768</v>
      </c>
      <c r="Q113" s="1498">
        <v>867.63144124799999</v>
      </c>
      <c r="R113" s="1498">
        <v>363.36701385599997</v>
      </c>
      <c r="S113" s="1498">
        <v>645.16184092800006</v>
      </c>
      <c r="T113" s="1498">
        <v>370.78266719999999</v>
      </c>
      <c r="U113" s="1498">
        <v>719.31837436800004</v>
      </c>
      <c r="V113" s="1498">
        <v>415.27658726400006</v>
      </c>
      <c r="W113" s="1498">
        <v>393.029627232</v>
      </c>
      <c r="X113" s="1498">
        <v>370.78266719999999</v>
      </c>
      <c r="Y113" s="1498">
        <v>318.87309379200002</v>
      </c>
      <c r="Z113" s="1498">
        <v>548.75834745600002</v>
      </c>
      <c r="AA113" s="1498">
        <v>526.51138742399996</v>
      </c>
      <c r="AB113" s="1498">
        <v>511.68008073599998</v>
      </c>
      <c r="AC113" s="1498">
        <v>496.84877404799994</v>
      </c>
      <c r="AD113" s="1498">
        <v>571.00530748799997</v>
      </c>
      <c r="AE113" s="1498">
        <v>571.00530748799997</v>
      </c>
      <c r="AF113" s="1498">
        <v>467.18616067200014</v>
      </c>
      <c r="AG113" s="1498">
        <v>526.51138742399996</v>
      </c>
      <c r="AH113" s="1498">
        <v>548.75834745600002</v>
      </c>
      <c r="AI113" s="1498">
        <v>518.56688399999996</v>
      </c>
    </row>
    <row r="114" spans="1:35" x14ac:dyDescent="0.4">
      <c r="A114" s="108" t="s">
        <v>1662</v>
      </c>
      <c r="B114" s="1526" t="s">
        <v>458</v>
      </c>
      <c r="C114" s="207">
        <v>2730.3080149451371</v>
      </c>
      <c r="D114" s="207">
        <v>2099.2152038477052</v>
      </c>
      <c r="E114" s="207">
        <v>2360.8692768413321</v>
      </c>
      <c r="F114" s="207">
        <v>2131.9218919915484</v>
      </c>
      <c r="G114" s="207">
        <v>2070.0133253822164</v>
      </c>
      <c r="H114" s="207">
        <v>2176.1387439514356</v>
      </c>
      <c r="I114" s="207">
        <v>2159.6682985906132</v>
      </c>
      <c r="J114" s="207">
        <v>2066.1803683242015</v>
      </c>
      <c r="K114" s="207">
        <v>2194.8953156297293</v>
      </c>
      <c r="L114" s="207">
        <v>2344.7231140047211</v>
      </c>
      <c r="M114" s="207">
        <v>1863.0949955066956</v>
      </c>
      <c r="N114" s="207">
        <v>1592.1287070728733</v>
      </c>
      <c r="O114" s="207">
        <v>1782.3522537808326</v>
      </c>
      <c r="P114" s="207">
        <v>2226.3903634215435</v>
      </c>
      <c r="Q114" s="207">
        <v>2535.5613109528795</v>
      </c>
      <c r="R114" s="207">
        <v>1911.6000652675016</v>
      </c>
      <c r="S114" s="207">
        <v>2165.8137426901362</v>
      </c>
      <c r="T114" s="207">
        <v>2407.7715985971381</v>
      </c>
      <c r="U114" s="207">
        <v>1847.169443170646</v>
      </c>
      <c r="V114" s="207">
        <v>1998.1860838904211</v>
      </c>
      <c r="W114" s="207">
        <v>1951.5565361323652</v>
      </c>
      <c r="X114" s="207">
        <v>1917.9765709885069</v>
      </c>
      <c r="Y114" s="207">
        <v>1928.4176680646692</v>
      </c>
      <c r="Z114" s="207">
        <v>2109.3686165515123</v>
      </c>
      <c r="AA114" s="207">
        <v>2054.1729327984017</v>
      </c>
      <c r="AB114" s="207">
        <v>2131.8445944767727</v>
      </c>
      <c r="AC114" s="207">
        <v>2267.0538444370986</v>
      </c>
      <c r="AD114" s="207">
        <v>2455.8010223841516</v>
      </c>
      <c r="AE114" s="207">
        <v>2575.9907290525625</v>
      </c>
      <c r="AF114" s="207">
        <v>1486.6329678021368</v>
      </c>
      <c r="AG114" s="207">
        <v>1973.9157162654681</v>
      </c>
      <c r="AH114" s="207">
        <v>2345.9185110625117</v>
      </c>
      <c r="AI114" s="207">
        <v>2339.6939453736477</v>
      </c>
    </row>
    <row r="115" spans="1:35" x14ac:dyDescent="0.4">
      <c r="A115" s="1499" t="s">
        <v>1111</v>
      </c>
      <c r="B115" s="1500"/>
      <c r="C115" s="1500"/>
      <c r="D115" s="1500"/>
      <c r="E115" s="1500"/>
      <c r="F115" s="1500"/>
      <c r="G115" s="1500"/>
      <c r="H115" s="1500"/>
      <c r="I115" s="1500"/>
      <c r="J115" s="1500"/>
      <c r="K115" s="1500"/>
      <c r="L115" s="1500"/>
      <c r="M115" s="1500"/>
      <c r="N115" s="1500"/>
      <c r="O115" s="1500"/>
      <c r="P115" s="1500"/>
      <c r="Q115" s="1500"/>
      <c r="R115" s="1500"/>
      <c r="S115" s="1500"/>
      <c r="T115" s="1500"/>
      <c r="U115" s="1500"/>
      <c r="V115" s="1500"/>
      <c r="W115" s="1500"/>
      <c r="X115" s="1500"/>
      <c r="Y115" s="1500"/>
      <c r="Z115" s="1500"/>
      <c r="AA115" s="1500"/>
      <c r="AB115" s="1500"/>
      <c r="AC115" s="1500"/>
      <c r="AD115" s="1500"/>
      <c r="AE115" s="1500"/>
      <c r="AF115" s="1500"/>
      <c r="AG115" s="1500"/>
      <c r="AH115" s="1500"/>
      <c r="AI115" s="1500"/>
    </row>
    <row r="116" spans="1:35" x14ac:dyDescent="0.4">
      <c r="A116" s="108"/>
      <c r="B116" s="207"/>
      <c r="C116" s="207"/>
      <c r="D116" s="207"/>
      <c r="E116" s="207"/>
      <c r="F116" s="207"/>
      <c r="G116" s="207"/>
      <c r="H116" s="207"/>
      <c r="I116" s="207"/>
      <c r="J116" s="207"/>
      <c r="K116" s="207"/>
      <c r="L116" s="207"/>
      <c r="M116" s="207"/>
      <c r="N116" s="207"/>
      <c r="O116" s="207"/>
      <c r="P116" s="207"/>
      <c r="Q116" s="207"/>
      <c r="R116" s="207"/>
      <c r="S116" s="207"/>
      <c r="T116" s="207"/>
      <c r="U116" s="207"/>
      <c r="V116" s="207"/>
      <c r="W116" s="207"/>
      <c r="X116" s="207"/>
      <c r="Y116" s="207"/>
      <c r="Z116" s="207"/>
      <c r="AA116" s="207"/>
      <c r="AB116" s="207"/>
      <c r="AC116" s="207"/>
      <c r="AD116" s="207"/>
      <c r="AE116" s="207"/>
      <c r="AF116" s="207"/>
      <c r="AG116" s="207"/>
      <c r="AH116" s="207"/>
      <c r="AI116" s="207"/>
    </row>
    <row r="117" spans="1:35" ht="17" x14ac:dyDescent="0.45">
      <c r="A117" s="1492" t="s">
        <v>1663</v>
      </c>
      <c r="B117" s="1491"/>
      <c r="C117" s="1491"/>
      <c r="D117" s="1491"/>
      <c r="E117" s="1491"/>
      <c r="F117" s="1491"/>
      <c r="G117" s="1491"/>
      <c r="H117" s="1491"/>
      <c r="I117" s="1491"/>
      <c r="J117" s="1491"/>
      <c r="K117" s="1491"/>
      <c r="L117" s="1491"/>
      <c r="M117" s="1491"/>
      <c r="N117" s="1491"/>
      <c r="O117" s="1491"/>
      <c r="P117" s="1491"/>
      <c r="Q117" s="1491"/>
      <c r="R117" s="1491"/>
      <c r="S117" s="1491"/>
      <c r="T117" s="1491"/>
      <c r="U117" s="1491"/>
      <c r="V117" s="1491"/>
      <c r="W117" s="1491"/>
      <c r="X117" s="1491"/>
      <c r="Y117" s="1491"/>
      <c r="Z117" s="1491"/>
      <c r="AA117" s="1491"/>
      <c r="AB117" s="1491"/>
      <c r="AC117" s="1491"/>
      <c r="AD117" s="1491"/>
      <c r="AE117" s="1491"/>
      <c r="AF117" s="1491"/>
      <c r="AG117" s="1491"/>
      <c r="AH117" s="1491"/>
      <c r="AI117"/>
    </row>
    <row r="118" spans="1:35" x14ac:dyDescent="0.4">
      <c r="A118" s="1493" t="s">
        <v>937</v>
      </c>
      <c r="B118" s="1501" t="s">
        <v>1627</v>
      </c>
      <c r="C118" s="1501" t="s">
        <v>1628</v>
      </c>
      <c r="D118" s="1501" t="s">
        <v>1629</v>
      </c>
      <c r="E118" s="1501" t="s">
        <v>1630</v>
      </c>
      <c r="F118" s="1501" t="s">
        <v>1631</v>
      </c>
      <c r="G118" s="1501" t="s">
        <v>1632</v>
      </c>
      <c r="H118" s="1501" t="s">
        <v>1633</v>
      </c>
      <c r="I118" s="1501" t="s">
        <v>1634</v>
      </c>
      <c r="J118" s="1501" t="s">
        <v>1635</v>
      </c>
      <c r="K118" s="1501" t="s">
        <v>1636</v>
      </c>
      <c r="L118" s="1501" t="s">
        <v>1637</v>
      </c>
      <c r="M118" s="1501" t="s">
        <v>1638</v>
      </c>
      <c r="N118" s="1501" t="s">
        <v>1639</v>
      </c>
      <c r="O118" s="1501" t="s">
        <v>1640</v>
      </c>
      <c r="P118" s="1501" t="s">
        <v>1641</v>
      </c>
      <c r="Q118" s="1501" t="s">
        <v>1642</v>
      </c>
      <c r="R118" s="1501" t="s">
        <v>1643</v>
      </c>
      <c r="S118" s="1501" t="s">
        <v>1644</v>
      </c>
      <c r="T118" s="1501" t="s">
        <v>1645</v>
      </c>
      <c r="U118" s="1501" t="s">
        <v>1646</v>
      </c>
      <c r="V118" s="1501" t="s">
        <v>1647</v>
      </c>
      <c r="W118" s="1501" t="s">
        <v>1648</v>
      </c>
      <c r="X118" s="1501" t="s">
        <v>1649</v>
      </c>
      <c r="Y118" s="1501" t="s">
        <v>1650</v>
      </c>
      <c r="Z118" s="1501" t="s">
        <v>1651</v>
      </c>
      <c r="AA118" s="1501" t="s">
        <v>1652</v>
      </c>
      <c r="AB118" s="1501" t="s">
        <v>1653</v>
      </c>
      <c r="AC118" s="1501" t="s">
        <v>1654</v>
      </c>
      <c r="AD118" s="1501" t="s">
        <v>1655</v>
      </c>
      <c r="AE118" s="1501" t="s">
        <v>1656</v>
      </c>
      <c r="AF118" s="1501" t="s">
        <v>1657</v>
      </c>
      <c r="AG118" s="1501" t="s">
        <v>1658</v>
      </c>
      <c r="AH118" s="1501" t="s">
        <v>1659</v>
      </c>
      <c r="AI118"/>
    </row>
    <row r="119" spans="1:35" x14ac:dyDescent="0.4">
      <c r="A119" s="1502" t="s">
        <v>1664</v>
      </c>
      <c r="B119" s="1505" t="s">
        <v>458</v>
      </c>
      <c r="C119" s="1503">
        <v>510.69018</v>
      </c>
      <c r="D119" s="1503">
        <v>499.08358499999997</v>
      </c>
      <c r="E119" s="1503">
        <v>400.42752750000005</v>
      </c>
      <c r="F119" s="1503">
        <v>422.48005799999999</v>
      </c>
      <c r="G119" s="1503">
        <v>230.97124049999996</v>
      </c>
      <c r="H119" s="1503">
        <v>2323.6403189999996</v>
      </c>
      <c r="I119" s="1503">
        <v>1601.7101100000002</v>
      </c>
      <c r="J119" s="1503">
        <v>34.819784999999996</v>
      </c>
      <c r="K119" s="1503">
        <v>24.373849499999999</v>
      </c>
      <c r="L119" s="1503">
        <v>625.59547049999992</v>
      </c>
      <c r="M119" s="1503">
        <v>333.10927649999996</v>
      </c>
      <c r="N119" s="1503">
        <v>364.44708299999996</v>
      </c>
      <c r="O119" s="1503">
        <v>8.1246164999999984</v>
      </c>
      <c r="P119" s="1503">
        <v>2.3213189999999999</v>
      </c>
      <c r="Q119" s="1503">
        <v>749.78603699999985</v>
      </c>
      <c r="R119" s="1503">
        <v>434.08665299999996</v>
      </c>
      <c r="S119" s="1503">
        <v>326.14531949999997</v>
      </c>
      <c r="T119" s="1503">
        <v>351.67982849999999</v>
      </c>
      <c r="U119" s="1503">
        <v>461.94248099999993</v>
      </c>
      <c r="V119" s="1503">
        <v>329.62729799999994</v>
      </c>
      <c r="W119" s="1503">
        <v>243.73849499999997</v>
      </c>
      <c r="X119" s="1503">
        <v>190.34815799999998</v>
      </c>
      <c r="Y119" s="1503">
        <v>228.64992149999998</v>
      </c>
      <c r="Z119" s="1503">
        <v>109.10199299999999</v>
      </c>
      <c r="AA119" s="1503">
        <v>99.816716999999997</v>
      </c>
      <c r="AB119" s="1503">
        <v>232.1319</v>
      </c>
      <c r="AC119" s="1503">
        <v>383.01763499999993</v>
      </c>
      <c r="AD119" s="1503">
        <v>127.672545</v>
      </c>
      <c r="AE119" s="1503">
        <v>244.89915449999998</v>
      </c>
      <c r="AF119" s="1503">
        <v>15.088573499999999</v>
      </c>
      <c r="AG119" s="1503">
        <v>253.02377100000001</v>
      </c>
      <c r="AH119" s="1503">
        <v>258.8270685</v>
      </c>
      <c r="AI119"/>
    </row>
    <row r="120" spans="1:35" x14ac:dyDescent="0.4">
      <c r="A120" s="1504" t="s">
        <v>1665</v>
      </c>
      <c r="B120" s="1505" t="s">
        <v>458</v>
      </c>
      <c r="C120" s="1505">
        <v>876.93129204688751</v>
      </c>
      <c r="D120" s="1505">
        <v>891.00003021219698</v>
      </c>
      <c r="E120" s="1505">
        <v>824.09451108640712</v>
      </c>
      <c r="F120" s="1505">
        <v>902.32845546201224</v>
      </c>
      <c r="G120" s="1505">
        <v>510.87075486045228</v>
      </c>
      <c r="H120" s="1505">
        <v>5853.6569492269464</v>
      </c>
      <c r="I120" s="1505">
        <v>4987.0984747708508</v>
      </c>
      <c r="J120" s="1505">
        <v>115.47769974914289</v>
      </c>
      <c r="K120" s="1505">
        <v>76.296500436037192</v>
      </c>
      <c r="L120" s="1505">
        <v>1372.4126282579493</v>
      </c>
      <c r="M120" s="1505">
        <v>1001.2165637119617</v>
      </c>
      <c r="N120" s="1505">
        <v>963.83861416245043</v>
      </c>
      <c r="O120" s="1505">
        <v>27.162401680849463</v>
      </c>
      <c r="P120" s="1505">
        <v>5.7828068626844313</v>
      </c>
      <c r="Q120" s="1505">
        <v>1546.0543861113028</v>
      </c>
      <c r="R120" s="1505">
        <v>785.37485304081395</v>
      </c>
      <c r="S120" s="1505">
        <v>543.72460358099659</v>
      </c>
      <c r="T120" s="1505">
        <v>648.63584141474405</v>
      </c>
      <c r="U120" s="1505">
        <v>962.47922968063847</v>
      </c>
      <c r="V120" s="1505">
        <v>637.25747875665354</v>
      </c>
      <c r="W120" s="1505">
        <v>576.70002308193546</v>
      </c>
      <c r="X120" s="1505">
        <v>432.22307394563984</v>
      </c>
      <c r="Y120" s="1505">
        <v>567.57582675384697</v>
      </c>
      <c r="Z120" s="1505">
        <v>335.20010279618447</v>
      </c>
      <c r="AA120" s="1505">
        <v>448.32211999922151</v>
      </c>
      <c r="AB120" s="1505">
        <v>720.16450157535314</v>
      </c>
      <c r="AC120" s="1505">
        <v>1084.5552086096263</v>
      </c>
      <c r="AD120" s="1505">
        <v>402.68059640263789</v>
      </c>
      <c r="AE120" s="1505">
        <v>813.74209560843894</v>
      </c>
      <c r="AF120" s="1505">
        <v>60.294543038972904</v>
      </c>
      <c r="AG120" s="1505">
        <v>643.76162249338074</v>
      </c>
      <c r="AH120" s="1505">
        <v>652.81195279112251</v>
      </c>
      <c r="AI120"/>
    </row>
    <row r="121" spans="1:35" x14ac:dyDescent="0.4">
      <c r="A121" s="1506" t="s">
        <v>1666</v>
      </c>
      <c r="B121" s="1507" t="s">
        <v>458</v>
      </c>
      <c r="C121" s="1508">
        <v>4122.3328121521645</v>
      </c>
      <c r="D121" s="1508">
        <v>2476.7751273190934</v>
      </c>
      <c r="E121" s="1508">
        <v>1703.3222375724677</v>
      </c>
      <c r="F121" s="1508">
        <v>1704.6479695872335</v>
      </c>
      <c r="G121" s="1508">
        <v>1720.4511317934707</v>
      </c>
      <c r="H121" s="1508">
        <v>1558.0580692188294</v>
      </c>
      <c r="I121" s="1508">
        <v>1595.8878322600369</v>
      </c>
      <c r="J121" s="1508">
        <v>1615.0512715580703</v>
      </c>
      <c r="K121" s="1508">
        <v>1825.862771525555</v>
      </c>
      <c r="L121" s="1508">
        <v>1894.0820909330751</v>
      </c>
      <c r="M121" s="1508">
        <v>1017.1045011522576</v>
      </c>
      <c r="N121" s="1508">
        <v>1436.8278950103875</v>
      </c>
      <c r="O121" s="1508">
        <v>1479.4165977791533</v>
      </c>
      <c r="P121" s="1508">
        <v>1508.4362506761677</v>
      </c>
      <c r="Q121" s="1508">
        <v>1920.0011622832121</v>
      </c>
      <c r="R121" s="1508">
        <v>1854.5990979756159</v>
      </c>
      <c r="S121" s="1508">
        <v>1766.3095917632936</v>
      </c>
      <c r="T121" s="1508">
        <v>1638.0742984287142</v>
      </c>
      <c r="U121" s="1508">
        <v>1611.2701171579267</v>
      </c>
      <c r="V121" s="1508">
        <v>1672.4597535771616</v>
      </c>
      <c r="W121" s="1508">
        <v>1624.2095609757812</v>
      </c>
      <c r="X121" s="1508">
        <v>1673.8745045157934</v>
      </c>
      <c r="Y121" s="1508">
        <v>1736.4360190539714</v>
      </c>
      <c r="Z121" s="1508">
        <v>1724.10359623934</v>
      </c>
      <c r="AA121" s="1508">
        <v>2602.0848531862594</v>
      </c>
      <c r="AB121" s="1508">
        <v>2983.7309711574117</v>
      </c>
      <c r="AC121" s="1508">
        <v>3015.5749140748103</v>
      </c>
      <c r="AD121" s="1508">
        <v>2688.503198079412</v>
      </c>
      <c r="AE121" s="1508">
        <v>2770.0490893368014</v>
      </c>
      <c r="AF121" s="1508">
        <v>3023.3901186701833</v>
      </c>
      <c r="AG121" s="1508">
        <v>3757.4718518951763</v>
      </c>
      <c r="AH121" s="1508">
        <v>2949.4974542459522</v>
      </c>
      <c r="AI121"/>
    </row>
    <row r="122" spans="1:35" x14ac:dyDescent="0.4">
      <c r="A122" s="108" t="s">
        <v>1667</v>
      </c>
      <c r="B122" s="1526" t="s">
        <v>458</v>
      </c>
      <c r="C122" s="207">
        <v>5509.9542841990524</v>
      </c>
      <c r="D122" s="207">
        <v>3866.8587425312908</v>
      </c>
      <c r="E122" s="207">
        <v>2927.8442761588753</v>
      </c>
      <c r="F122" s="207">
        <v>3029.4564830492459</v>
      </c>
      <c r="G122" s="207">
        <v>2462.2931271539228</v>
      </c>
      <c r="H122" s="207">
        <v>9735.3553374457751</v>
      </c>
      <c r="I122" s="207">
        <v>8184.6964170308884</v>
      </c>
      <c r="J122" s="207">
        <v>1765.3487563072133</v>
      </c>
      <c r="K122" s="207">
        <v>1926.5331214615924</v>
      </c>
      <c r="L122" s="207">
        <v>3892.0901896910245</v>
      </c>
      <c r="M122" s="207">
        <v>2351.4303413642192</v>
      </c>
      <c r="N122" s="207">
        <v>2765.1135921728378</v>
      </c>
      <c r="O122" s="207">
        <v>1514.7036159600027</v>
      </c>
      <c r="P122" s="207">
        <v>1516.5403765388521</v>
      </c>
      <c r="Q122" s="207">
        <v>4215.8415853945153</v>
      </c>
      <c r="R122" s="207">
        <v>3074.0606040164294</v>
      </c>
      <c r="S122" s="207">
        <v>2636.1795148442902</v>
      </c>
      <c r="T122" s="207">
        <v>2638.3899683434579</v>
      </c>
      <c r="U122" s="207">
        <v>3035.6918278385651</v>
      </c>
      <c r="V122" s="207">
        <v>2639.3445303338149</v>
      </c>
      <c r="W122" s="207">
        <v>2444.6480790577161</v>
      </c>
      <c r="X122" s="207">
        <v>2296.4457364614332</v>
      </c>
      <c r="Y122" s="207">
        <v>2532.6617673078181</v>
      </c>
      <c r="Z122" s="207">
        <v>2168.4056920355242</v>
      </c>
      <c r="AA122" s="207">
        <v>3150.2236901854808</v>
      </c>
      <c r="AB122" s="207">
        <v>3936.0273727327644</v>
      </c>
      <c r="AC122" s="207">
        <v>4483.1477576844372</v>
      </c>
      <c r="AD122" s="207">
        <v>3218.8563394820499</v>
      </c>
      <c r="AE122" s="207">
        <v>3828.6903394452402</v>
      </c>
      <c r="AF122" s="207">
        <v>3098.7732352091562</v>
      </c>
      <c r="AG122" s="207">
        <v>4654.2572453885577</v>
      </c>
      <c r="AH122" s="207">
        <v>3861.1364755370741</v>
      </c>
      <c r="AI122"/>
    </row>
    <row r="123" spans="1:35" x14ac:dyDescent="0.4">
      <c r="A123" s="1509" t="s">
        <v>1111</v>
      </c>
      <c r="B123" s="1510"/>
      <c r="C123" s="1511"/>
      <c r="D123" s="1511"/>
      <c r="E123" s="1511"/>
      <c r="F123" s="1511"/>
      <c r="G123" s="1511"/>
      <c r="H123" s="1511"/>
      <c r="I123" s="1511"/>
      <c r="J123" s="1511"/>
      <c r="K123" s="1511"/>
      <c r="L123" s="1511"/>
      <c r="M123" s="1511"/>
      <c r="N123" s="1511"/>
      <c r="O123" s="1511"/>
      <c r="P123" s="1511"/>
      <c r="Q123" s="1511"/>
      <c r="R123" s="1511"/>
      <c r="S123" s="1511"/>
      <c r="T123" s="1511"/>
      <c r="U123" s="1511"/>
      <c r="V123" s="1511"/>
      <c r="W123" s="1511"/>
      <c r="X123" s="1511"/>
      <c r="Y123" s="1511"/>
      <c r="Z123" s="1511"/>
      <c r="AA123" s="1511"/>
      <c r="AB123" s="1511"/>
      <c r="AC123" s="1511"/>
      <c r="AD123" s="1511"/>
      <c r="AE123" s="1511"/>
      <c r="AF123" s="1511"/>
      <c r="AG123" s="1511"/>
      <c r="AH123" s="1511"/>
      <c r="AI123"/>
    </row>
    <row r="124" spans="1:35" x14ac:dyDescent="0.4">
      <c r="A124" s="108"/>
      <c r="B124" s="207"/>
      <c r="C124" s="207"/>
      <c r="D124" s="207"/>
      <c r="E124" s="207"/>
      <c r="F124" s="207"/>
      <c r="G124" s="207"/>
      <c r="H124" s="207"/>
      <c r="I124" s="207"/>
      <c r="J124" s="207"/>
      <c r="K124" s="207"/>
      <c r="L124" s="207"/>
      <c r="M124" s="207"/>
      <c r="N124" s="207"/>
      <c r="O124" s="207"/>
      <c r="P124" s="207"/>
      <c r="Q124" s="207"/>
      <c r="R124" s="207"/>
      <c r="S124" s="207"/>
      <c r="T124" s="207"/>
      <c r="U124" s="207"/>
      <c r="V124" s="207"/>
      <c r="W124" s="207"/>
      <c r="X124" s="207"/>
      <c r="Y124" s="207"/>
      <c r="Z124" s="207"/>
      <c r="AA124" s="207"/>
      <c r="AB124" s="207"/>
      <c r="AC124" s="207"/>
      <c r="AD124" s="207"/>
      <c r="AE124" s="207"/>
      <c r="AF124" s="207"/>
      <c r="AG124" s="207"/>
      <c r="AH124" s="207"/>
      <c r="AI124"/>
    </row>
    <row r="125" spans="1:35" ht="17" x14ac:dyDescent="0.45">
      <c r="A125" s="1492" t="s">
        <v>1668</v>
      </c>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c r="X125" s="207"/>
      <c r="Y125" s="207"/>
      <c r="Z125" s="207"/>
      <c r="AA125" s="207"/>
      <c r="AB125" s="207"/>
      <c r="AC125" s="207"/>
      <c r="AD125" s="207"/>
      <c r="AE125" s="207"/>
      <c r="AF125" s="207"/>
      <c r="AG125" s="207"/>
      <c r="AH125" s="207"/>
      <c r="AI125"/>
    </row>
    <row r="126" spans="1:35" x14ac:dyDescent="0.4">
      <c r="A126" s="1501" t="s">
        <v>937</v>
      </c>
      <c r="B126" s="1501" t="s">
        <v>1627</v>
      </c>
      <c r="C126" s="1501" t="s">
        <v>1628</v>
      </c>
      <c r="D126" s="1501" t="s">
        <v>1629</v>
      </c>
      <c r="E126" s="1501" t="s">
        <v>1630</v>
      </c>
      <c r="F126" s="1501" t="s">
        <v>1631</v>
      </c>
      <c r="G126" s="1501" t="s">
        <v>1632</v>
      </c>
      <c r="H126" s="1501" t="s">
        <v>1633</v>
      </c>
      <c r="I126" s="1501" t="s">
        <v>1634</v>
      </c>
      <c r="J126" s="1501" t="s">
        <v>1635</v>
      </c>
      <c r="K126" s="1501" t="s">
        <v>1636</v>
      </c>
      <c r="L126" s="1501" t="s">
        <v>1637</v>
      </c>
      <c r="M126" s="1501" t="s">
        <v>1638</v>
      </c>
      <c r="N126" s="1501" t="s">
        <v>1639</v>
      </c>
      <c r="O126" s="1501" t="s">
        <v>1640</v>
      </c>
      <c r="P126" s="1501" t="s">
        <v>1641</v>
      </c>
      <c r="Q126" s="1501" t="s">
        <v>1642</v>
      </c>
      <c r="R126" s="1501" t="s">
        <v>1643</v>
      </c>
      <c r="S126" s="1501" t="s">
        <v>1644</v>
      </c>
      <c r="T126" s="1501" t="s">
        <v>1645</v>
      </c>
      <c r="U126" s="1501" t="s">
        <v>1646</v>
      </c>
      <c r="V126" s="1501" t="s">
        <v>1647</v>
      </c>
      <c r="W126" s="1501" t="s">
        <v>1648</v>
      </c>
      <c r="X126" s="1501" t="s">
        <v>1649</v>
      </c>
      <c r="Y126" s="1501" t="s">
        <v>1650</v>
      </c>
      <c r="Z126" s="1501" t="s">
        <v>1651</v>
      </c>
      <c r="AA126" s="1501" t="s">
        <v>1652</v>
      </c>
      <c r="AB126" s="1501" t="s">
        <v>1653</v>
      </c>
      <c r="AC126" s="1501" t="s">
        <v>1654</v>
      </c>
      <c r="AD126" s="1501" t="s">
        <v>1655</v>
      </c>
      <c r="AE126" s="1501" t="s">
        <v>1656</v>
      </c>
      <c r="AF126" s="1501" t="s">
        <v>1657</v>
      </c>
      <c r="AG126" s="1501" t="s">
        <v>1658</v>
      </c>
      <c r="AH126" s="1501" t="s">
        <v>1659</v>
      </c>
      <c r="AI126"/>
    </row>
    <row r="127" spans="1:35" x14ac:dyDescent="0.4">
      <c r="A127" s="1504" t="s">
        <v>1664</v>
      </c>
      <c r="B127" s="1505" t="s">
        <v>458</v>
      </c>
      <c r="C127" s="1505" t="s">
        <v>32</v>
      </c>
      <c r="D127" s="1505" t="s">
        <v>32</v>
      </c>
      <c r="E127" s="1505" t="s">
        <v>32</v>
      </c>
      <c r="F127" s="1505" t="s">
        <v>32</v>
      </c>
      <c r="G127" s="1505" t="s">
        <v>32</v>
      </c>
      <c r="H127" s="1505" t="s">
        <v>32</v>
      </c>
      <c r="I127" s="1505" t="s">
        <v>32</v>
      </c>
      <c r="J127" s="1505" t="s">
        <v>32</v>
      </c>
      <c r="K127" s="1505" t="s">
        <v>32</v>
      </c>
      <c r="L127" s="1505" t="s">
        <v>32</v>
      </c>
      <c r="M127" s="1505" t="s">
        <v>32</v>
      </c>
      <c r="N127" s="1505" t="s">
        <v>32</v>
      </c>
      <c r="O127" s="1505" t="s">
        <v>32</v>
      </c>
      <c r="P127" s="1505" t="s">
        <v>32</v>
      </c>
      <c r="Q127" s="1505" t="s">
        <v>32</v>
      </c>
      <c r="R127" s="1505" t="s">
        <v>32</v>
      </c>
      <c r="S127" s="1505" t="s">
        <v>32</v>
      </c>
      <c r="T127" s="1505" t="s">
        <v>32</v>
      </c>
      <c r="U127" s="1505" t="s">
        <v>32</v>
      </c>
      <c r="V127" s="1505" t="s">
        <v>32</v>
      </c>
      <c r="W127" s="1505" t="s">
        <v>32</v>
      </c>
      <c r="X127" s="1505" t="s">
        <v>32</v>
      </c>
      <c r="Y127" s="1505" t="s">
        <v>32</v>
      </c>
      <c r="Z127" s="1505" t="s">
        <v>32</v>
      </c>
      <c r="AA127" s="1505" t="s">
        <v>32</v>
      </c>
      <c r="AB127" s="1505" t="s">
        <v>32</v>
      </c>
      <c r="AC127" s="1505" t="s">
        <v>32</v>
      </c>
      <c r="AD127" s="1505" t="s">
        <v>32</v>
      </c>
      <c r="AE127" s="1505" t="s">
        <v>32</v>
      </c>
      <c r="AF127" s="1505" t="s">
        <v>32</v>
      </c>
      <c r="AG127" s="1505" t="s">
        <v>32</v>
      </c>
      <c r="AH127" s="1505" t="s">
        <v>32</v>
      </c>
      <c r="AI127"/>
    </row>
    <row r="128" spans="1:35" x14ac:dyDescent="0.4">
      <c r="A128" s="1504" t="s">
        <v>1665</v>
      </c>
      <c r="B128" s="1505" t="s">
        <v>458</v>
      </c>
      <c r="C128" s="1505">
        <v>311.81094374999998</v>
      </c>
      <c r="D128" s="1505">
        <v>213.04013124999997</v>
      </c>
      <c r="E128" s="1505">
        <v>156.29145</v>
      </c>
      <c r="F128" s="1505">
        <v>307.15941250000003</v>
      </c>
      <c r="G128" s="1505">
        <v>276.7562125</v>
      </c>
      <c r="H128" s="1505">
        <v>240.137775</v>
      </c>
      <c r="I128" s="1505">
        <v>192.0389625</v>
      </c>
      <c r="J128" s="1505">
        <v>246.94682500000002</v>
      </c>
      <c r="K128" s="1505">
        <v>226.14359374999998</v>
      </c>
      <c r="L128" s="1505">
        <v>352.84338750000001</v>
      </c>
      <c r="M128" s="1505">
        <v>407.98877499999992</v>
      </c>
      <c r="N128" s="1505">
        <v>234.7934625</v>
      </c>
      <c r="O128" s="1505">
        <v>353.99142499999999</v>
      </c>
      <c r="P128" s="1505">
        <v>860.53328125000007</v>
      </c>
      <c r="Q128" s="1505">
        <v>1195.7206437499999</v>
      </c>
      <c r="R128" s="1505">
        <v>1309.4555312500001</v>
      </c>
      <c r="S128" s="1505">
        <v>1223.15478125</v>
      </c>
      <c r="T128" s="1505">
        <v>679.34129374999998</v>
      </c>
      <c r="U128" s="1505">
        <v>519.48696874999996</v>
      </c>
      <c r="V128" s="1505">
        <v>641.47584999999992</v>
      </c>
      <c r="W128" s="1505">
        <v>657.62754999999993</v>
      </c>
      <c r="X128" s="1505">
        <v>222.71927500000004</v>
      </c>
      <c r="Y128" s="1505">
        <v>297.99490625000004</v>
      </c>
      <c r="Z128" s="1505">
        <v>401.04116874999994</v>
      </c>
      <c r="AA128" s="1505">
        <v>527.80034375000002</v>
      </c>
      <c r="AB128" s="1505">
        <v>658.49847499999998</v>
      </c>
      <c r="AC128" s="1505">
        <v>245.20497499999999</v>
      </c>
      <c r="AD128" s="1505">
        <v>453.35604999999998</v>
      </c>
      <c r="AE128" s="1505">
        <v>387.48244999999997</v>
      </c>
      <c r="AF128" s="1505">
        <v>999.2280874999999</v>
      </c>
      <c r="AG128" s="1505">
        <v>999.2280874999999</v>
      </c>
      <c r="AH128" s="1505">
        <v>999.2280874999999</v>
      </c>
      <c r="AI128"/>
    </row>
    <row r="129" spans="1:35" x14ac:dyDescent="0.4">
      <c r="A129" s="1506" t="s">
        <v>60</v>
      </c>
      <c r="B129" s="1507" t="s">
        <v>458</v>
      </c>
      <c r="C129" s="1508" t="s">
        <v>32</v>
      </c>
      <c r="D129" s="1508" t="s">
        <v>32</v>
      </c>
      <c r="E129" s="1508" t="s">
        <v>32</v>
      </c>
      <c r="F129" s="1508" t="s">
        <v>32</v>
      </c>
      <c r="G129" s="1508" t="s">
        <v>32</v>
      </c>
      <c r="H129" s="1508" t="s">
        <v>32</v>
      </c>
      <c r="I129" s="1508" t="s">
        <v>32</v>
      </c>
      <c r="J129" s="1508" t="s">
        <v>32</v>
      </c>
      <c r="K129" s="1508" t="s">
        <v>32</v>
      </c>
      <c r="L129" s="1508" t="s">
        <v>32</v>
      </c>
      <c r="M129" s="1508" t="s">
        <v>32</v>
      </c>
      <c r="N129" s="1508" t="s">
        <v>32</v>
      </c>
      <c r="O129" s="1508" t="s">
        <v>32</v>
      </c>
      <c r="P129" s="1508" t="s">
        <v>32</v>
      </c>
      <c r="Q129" s="1508" t="s">
        <v>32</v>
      </c>
      <c r="R129" s="1508" t="s">
        <v>32</v>
      </c>
      <c r="S129" s="1508" t="s">
        <v>32</v>
      </c>
      <c r="T129" s="1508" t="s">
        <v>32</v>
      </c>
      <c r="U129" s="1508" t="s">
        <v>32</v>
      </c>
      <c r="V129" s="1508" t="s">
        <v>32</v>
      </c>
      <c r="W129" s="1508" t="s">
        <v>32</v>
      </c>
      <c r="X129" s="1508" t="s">
        <v>32</v>
      </c>
      <c r="Y129" s="1508" t="s">
        <v>32</v>
      </c>
      <c r="Z129" s="1508" t="s">
        <v>32</v>
      </c>
      <c r="AA129" s="1508" t="s">
        <v>32</v>
      </c>
      <c r="AB129" s="1508" t="s">
        <v>32</v>
      </c>
      <c r="AC129" s="1508" t="s">
        <v>32</v>
      </c>
      <c r="AD129" s="1508" t="s">
        <v>32</v>
      </c>
      <c r="AE129" s="1508" t="s">
        <v>32</v>
      </c>
      <c r="AF129" s="1508" t="s">
        <v>32</v>
      </c>
      <c r="AG129" s="1508" t="s">
        <v>32</v>
      </c>
      <c r="AH129" s="1508" t="s">
        <v>32</v>
      </c>
      <c r="AI129"/>
    </row>
    <row r="130" spans="1:35" x14ac:dyDescent="0.4">
      <c r="A130" s="108" t="s">
        <v>1669</v>
      </c>
      <c r="B130" s="1526" t="s">
        <v>458</v>
      </c>
      <c r="C130" s="207">
        <v>311.81094374999998</v>
      </c>
      <c r="D130" s="207">
        <v>213.04013124999997</v>
      </c>
      <c r="E130" s="207">
        <v>156.29145</v>
      </c>
      <c r="F130" s="207">
        <v>307.15941250000003</v>
      </c>
      <c r="G130" s="207">
        <v>276.7562125</v>
      </c>
      <c r="H130" s="207">
        <v>240.137775</v>
      </c>
      <c r="I130" s="207">
        <v>192.0389625</v>
      </c>
      <c r="J130" s="207">
        <v>246.94682500000002</v>
      </c>
      <c r="K130" s="207">
        <v>226.14359374999998</v>
      </c>
      <c r="L130" s="207">
        <v>352.84338750000001</v>
      </c>
      <c r="M130" s="207">
        <v>407.98877499999992</v>
      </c>
      <c r="N130" s="207">
        <v>234.7934625</v>
      </c>
      <c r="O130" s="207">
        <v>353.99142499999999</v>
      </c>
      <c r="P130" s="207">
        <v>860.53328125000007</v>
      </c>
      <c r="Q130" s="207">
        <v>1195.7206437499999</v>
      </c>
      <c r="R130" s="207">
        <v>1309.4555312500001</v>
      </c>
      <c r="S130" s="207">
        <v>1223.15478125</v>
      </c>
      <c r="T130" s="207">
        <v>679.34129374999998</v>
      </c>
      <c r="U130" s="207">
        <v>519.48696874999996</v>
      </c>
      <c r="V130" s="207">
        <v>641.47584999999992</v>
      </c>
      <c r="W130" s="207">
        <v>657.62754999999993</v>
      </c>
      <c r="X130" s="207">
        <v>222.71927500000004</v>
      </c>
      <c r="Y130" s="207">
        <v>297.99490625000004</v>
      </c>
      <c r="Z130" s="207">
        <v>401.04116874999994</v>
      </c>
      <c r="AA130" s="207">
        <v>527.80034375000002</v>
      </c>
      <c r="AB130" s="207">
        <v>658.49847499999998</v>
      </c>
      <c r="AC130" s="207">
        <v>245.20497499999999</v>
      </c>
      <c r="AD130" s="207">
        <v>453.35604999999998</v>
      </c>
      <c r="AE130" s="207">
        <v>387.48244999999997</v>
      </c>
      <c r="AF130" s="207">
        <v>999.2280874999999</v>
      </c>
      <c r="AG130" s="207">
        <v>999.2280874999999</v>
      </c>
      <c r="AH130" s="207">
        <v>999.2280874999999</v>
      </c>
      <c r="AI130"/>
    </row>
    <row r="131" spans="1:35" x14ac:dyDescent="0.4">
      <c r="A131" s="1509" t="s">
        <v>1111</v>
      </c>
      <c r="B131" s="1510"/>
      <c r="C131" s="1511"/>
      <c r="D131" s="1511"/>
      <c r="E131" s="1511"/>
      <c r="F131" s="1511"/>
      <c r="G131" s="1511"/>
      <c r="H131" s="1511"/>
      <c r="I131" s="1511"/>
      <c r="J131" s="1511"/>
      <c r="K131" s="1511"/>
      <c r="L131" s="1511"/>
      <c r="M131" s="1511"/>
      <c r="N131" s="1511"/>
      <c r="O131" s="1511"/>
      <c r="P131" s="1511"/>
      <c r="Q131" s="1511"/>
      <c r="R131" s="1511"/>
      <c r="S131" s="1511"/>
      <c r="T131" s="1511"/>
      <c r="U131" s="1511"/>
      <c r="V131" s="1511"/>
      <c r="W131" s="1511"/>
      <c r="X131" s="1511"/>
      <c r="Y131" s="1511"/>
      <c r="Z131" s="1511"/>
      <c r="AA131" s="1511"/>
      <c r="AB131" s="1511"/>
      <c r="AC131" s="1511"/>
      <c r="AD131" s="1511"/>
      <c r="AE131" s="1511"/>
      <c r="AF131" s="1511"/>
      <c r="AG131" s="1511"/>
      <c r="AH131" s="1511"/>
      <c r="AI131"/>
    </row>
    <row r="132" spans="1:35" x14ac:dyDescent="0.4">
      <c r="A132" s="108"/>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c r="X132" s="207"/>
      <c r="Y132" s="207"/>
      <c r="Z132" s="207"/>
      <c r="AA132" s="207"/>
      <c r="AB132" s="207"/>
      <c r="AC132" s="207"/>
      <c r="AD132" s="207"/>
      <c r="AE132" s="207"/>
      <c r="AF132" s="207"/>
      <c r="AG132" s="207"/>
      <c r="AH132" s="207"/>
      <c r="AI132"/>
    </row>
    <row r="133" spans="1:35" ht="17" x14ac:dyDescent="0.45">
      <c r="A133" s="1492" t="s">
        <v>1670</v>
      </c>
      <c r="B133" s="1491"/>
      <c r="C133" s="1491"/>
      <c r="D133" s="1491"/>
      <c r="E133" s="1491"/>
      <c r="F133" s="1491"/>
      <c r="G133" s="1491"/>
      <c r="H133" s="1491"/>
      <c r="I133" s="1491"/>
      <c r="J133" s="1491"/>
      <c r="K133" s="1491"/>
      <c r="L133" s="1491"/>
      <c r="M133" s="1491"/>
      <c r="N133" s="1491"/>
      <c r="O133" s="1491"/>
      <c r="P133" s="1491"/>
      <c r="Q133" s="1491"/>
      <c r="R133" s="1491"/>
      <c r="S133" s="1491"/>
      <c r="T133" s="1491"/>
      <c r="U133" s="1491"/>
      <c r="V133" s="1491"/>
      <c r="W133" s="1491"/>
      <c r="X133" s="1491"/>
      <c r="Y133" s="1491"/>
      <c r="Z133" s="1491"/>
      <c r="AA133" s="1491"/>
      <c r="AB133" s="1491"/>
      <c r="AC133" s="1491"/>
      <c r="AD133" s="1491"/>
      <c r="AE133" s="1491"/>
      <c r="AF133" s="1491"/>
      <c r="AG133" s="1491"/>
      <c r="AH133" s="1491"/>
      <c r="AI133"/>
    </row>
    <row r="134" spans="1:35" x14ac:dyDescent="0.4">
      <c r="A134" s="1501" t="s">
        <v>95</v>
      </c>
      <c r="B134" s="1501" t="s">
        <v>1627</v>
      </c>
      <c r="C134" s="1501" t="s">
        <v>1628</v>
      </c>
      <c r="D134" s="1501" t="s">
        <v>1629</v>
      </c>
      <c r="E134" s="1501" t="s">
        <v>1630</v>
      </c>
      <c r="F134" s="1501" t="s">
        <v>1631</v>
      </c>
      <c r="G134" s="1501" t="s">
        <v>1632</v>
      </c>
      <c r="H134" s="1501" t="s">
        <v>1633</v>
      </c>
      <c r="I134" s="1501" t="s">
        <v>1634</v>
      </c>
      <c r="J134" s="1501" t="s">
        <v>1635</v>
      </c>
      <c r="K134" s="1501" t="s">
        <v>1636</v>
      </c>
      <c r="L134" s="1501" t="s">
        <v>1637</v>
      </c>
      <c r="M134" s="1501" t="s">
        <v>1638</v>
      </c>
      <c r="N134" s="1501" t="s">
        <v>1639</v>
      </c>
      <c r="O134" s="1501" t="s">
        <v>1640</v>
      </c>
      <c r="P134" s="1501" t="s">
        <v>1641</v>
      </c>
      <c r="Q134" s="1501" t="s">
        <v>1642</v>
      </c>
      <c r="R134" s="1501" t="s">
        <v>1643</v>
      </c>
      <c r="S134" s="1501" t="s">
        <v>1644</v>
      </c>
      <c r="T134" s="1501" t="s">
        <v>1645</v>
      </c>
      <c r="U134" s="1501" t="s">
        <v>1646</v>
      </c>
      <c r="V134" s="1501" t="s">
        <v>1647</v>
      </c>
      <c r="W134" s="1501" t="s">
        <v>1648</v>
      </c>
      <c r="X134" s="1501" t="s">
        <v>1649</v>
      </c>
      <c r="Y134" s="1501" t="s">
        <v>1650</v>
      </c>
      <c r="Z134" s="1501" t="s">
        <v>1651</v>
      </c>
      <c r="AA134" s="1501" t="s">
        <v>1652</v>
      </c>
      <c r="AB134" s="1501" t="s">
        <v>1653</v>
      </c>
      <c r="AC134" s="1501" t="s">
        <v>1654</v>
      </c>
      <c r="AD134" s="1501" t="s">
        <v>1655</v>
      </c>
      <c r="AE134" s="1501" t="s">
        <v>1656</v>
      </c>
      <c r="AF134" s="1501" t="s">
        <v>1657</v>
      </c>
      <c r="AG134" s="1501" t="s">
        <v>1658</v>
      </c>
      <c r="AH134" s="1501" t="s">
        <v>1659</v>
      </c>
      <c r="AI134"/>
    </row>
    <row r="135" spans="1:35" x14ac:dyDescent="0.4">
      <c r="A135" s="1389" t="s">
        <v>1671</v>
      </c>
      <c r="B135" s="1505" t="s">
        <v>458</v>
      </c>
      <c r="C135" s="1512">
        <v>40.362276443079473</v>
      </c>
      <c r="D135" s="1512">
        <v>41.985264575403896</v>
      </c>
      <c r="E135" s="1512">
        <v>66.935399117943732</v>
      </c>
      <c r="F135" s="1512">
        <v>74.031804968309018</v>
      </c>
      <c r="G135" s="1512">
        <v>77.052696353097346</v>
      </c>
      <c r="H135" s="1512">
        <v>80.190245680098243</v>
      </c>
      <c r="I135" s="1512">
        <v>82.624115431640092</v>
      </c>
      <c r="J135" s="1512">
        <v>26.135555394489867</v>
      </c>
      <c r="K135" s="1512">
        <v>39.095033256817665</v>
      </c>
      <c r="L135" s="1512">
        <v>32.013288700393552</v>
      </c>
      <c r="M135" s="1512">
        <v>53.665148230006153</v>
      </c>
      <c r="N135" s="1512">
        <v>57.589504836625252</v>
      </c>
      <c r="O135" s="1512">
        <v>61.515884621113614</v>
      </c>
      <c r="P135" s="1512">
        <v>82.45932371759659</v>
      </c>
      <c r="Q135" s="1512">
        <v>89.32546784349033</v>
      </c>
      <c r="R135" s="1512">
        <v>133.8201652421283</v>
      </c>
      <c r="S135" s="1512">
        <v>108.20841700324632</v>
      </c>
      <c r="T135" s="1512">
        <v>46.838763508275875</v>
      </c>
      <c r="U135" s="1512">
        <v>50.203662271305774</v>
      </c>
      <c r="V135" s="1512">
        <v>262.49639455193625</v>
      </c>
      <c r="W135" s="1512">
        <v>269.54410639414345</v>
      </c>
      <c r="X135" s="1512">
        <v>296.88159156234957</v>
      </c>
      <c r="Y135" s="1512">
        <v>206.6716134094782</v>
      </c>
      <c r="Z135" s="1512">
        <v>203.60961683533469</v>
      </c>
      <c r="AA135" s="1512">
        <v>7.7242382058808863</v>
      </c>
      <c r="AB135" s="1512">
        <v>6.9102282289085544</v>
      </c>
      <c r="AC135" s="1512">
        <v>6.9417284819796823</v>
      </c>
      <c r="AD135" s="1512">
        <v>6.6438582914647482</v>
      </c>
      <c r="AE135" s="1512">
        <v>5.3974078597937565</v>
      </c>
      <c r="AF135" s="1512">
        <v>5.6516206849201573</v>
      </c>
      <c r="AG135" s="1512">
        <v>6.2042633392075484</v>
      </c>
      <c r="AH135" s="1512">
        <v>7.1000243687608187</v>
      </c>
      <c r="AI135"/>
    </row>
    <row r="136" spans="1:35" x14ac:dyDescent="0.4">
      <c r="A136" s="1389" t="s">
        <v>1672</v>
      </c>
      <c r="B136" s="1505" t="s">
        <v>458</v>
      </c>
      <c r="C136" s="1512">
        <v>286.2302255668634</v>
      </c>
      <c r="D136" s="1512">
        <v>291.36921452420148</v>
      </c>
      <c r="E136" s="1512">
        <v>0</v>
      </c>
      <c r="F136" s="1512">
        <v>392.00847093549316</v>
      </c>
      <c r="G136" s="1512">
        <v>427.27085960408908</v>
      </c>
      <c r="H136" s="1512">
        <v>423.9817402603004</v>
      </c>
      <c r="I136" s="1512">
        <v>454.4049425114564</v>
      </c>
      <c r="J136" s="1512">
        <v>395.99118292002476</v>
      </c>
      <c r="K136" s="1512">
        <v>276.55449098554016</v>
      </c>
      <c r="L136" s="1512">
        <v>277.36669474859639</v>
      </c>
      <c r="M136" s="1512">
        <v>1092.509219959469</v>
      </c>
      <c r="N136" s="1512">
        <v>1048.2260176785883</v>
      </c>
      <c r="O136" s="1512">
        <v>1033.7926865286133</v>
      </c>
      <c r="P136" s="1512">
        <v>976.24050972569239</v>
      </c>
      <c r="Q136" s="1512">
        <v>901.79271292329213</v>
      </c>
      <c r="R136" s="1512">
        <v>897.39704556198524</v>
      </c>
      <c r="S136" s="1512">
        <v>725.05421626648956</v>
      </c>
      <c r="T136" s="1512">
        <v>680.53216676570776</v>
      </c>
      <c r="U136" s="1512">
        <v>651.36653701568139</v>
      </c>
      <c r="V136" s="1512">
        <v>821.42147779561935</v>
      </c>
      <c r="W136" s="1512">
        <v>797.34036550127087</v>
      </c>
      <c r="X136" s="1512">
        <v>815.25531935919594</v>
      </c>
      <c r="Y136" s="1512">
        <v>1452.390333371417</v>
      </c>
      <c r="Z136" s="1512">
        <v>929.43132109771045</v>
      </c>
      <c r="AA136" s="1512">
        <v>251.00606409327062</v>
      </c>
      <c r="AB136" s="1512">
        <v>254.79410208899691</v>
      </c>
      <c r="AC136" s="1512">
        <v>255.4601800068053</v>
      </c>
      <c r="AD136" s="1512">
        <v>262.09008484677406</v>
      </c>
      <c r="AE136" s="1512">
        <v>269.93431156392404</v>
      </c>
      <c r="AF136" s="1512">
        <v>267.10909141232008</v>
      </c>
      <c r="AG136" s="1512">
        <v>248.4211959940767</v>
      </c>
      <c r="AH136" s="1512">
        <v>126.76324252926119</v>
      </c>
      <c r="AI136"/>
    </row>
    <row r="137" spans="1:35" x14ac:dyDescent="0.4">
      <c r="A137" s="1389" t="s">
        <v>1673</v>
      </c>
      <c r="B137" s="1505" t="s">
        <v>458</v>
      </c>
      <c r="C137" s="1512">
        <v>3085.2128993914553</v>
      </c>
      <c r="D137" s="1512">
        <v>3217.0745715251892</v>
      </c>
      <c r="E137" s="1512">
        <v>2914.8243023821074</v>
      </c>
      <c r="F137" s="1512">
        <v>3101.658831138091</v>
      </c>
      <c r="G137" s="1512">
        <v>3067.4722842819824</v>
      </c>
      <c r="H137" s="1512">
        <v>3086.9528383127163</v>
      </c>
      <c r="I137" s="1512">
        <v>3202.2033443483574</v>
      </c>
      <c r="J137" s="1512">
        <v>3002.7383841002452</v>
      </c>
      <c r="K137" s="1512">
        <v>4603.4527486182269</v>
      </c>
      <c r="L137" s="1512">
        <v>4887.0987161837174</v>
      </c>
      <c r="M137" s="1512">
        <v>4654.0631741493135</v>
      </c>
      <c r="N137" s="1512">
        <v>4711.9890850032079</v>
      </c>
      <c r="O137" s="1512">
        <v>4862.2712263994454</v>
      </c>
      <c r="P137" s="1512">
        <v>5045.8718692303828</v>
      </c>
      <c r="Q137" s="1512">
        <v>5207.5266781396813</v>
      </c>
      <c r="R137" s="1512">
        <v>5369.8052905240093</v>
      </c>
      <c r="S137" s="1512">
        <v>6187.5468205428515</v>
      </c>
      <c r="T137" s="1512">
        <v>6402.1296044679748</v>
      </c>
      <c r="U137" s="1512">
        <v>6435.8925277830267</v>
      </c>
      <c r="V137" s="1512">
        <v>6496.6734757622926</v>
      </c>
      <c r="W137" s="1512">
        <v>7295.8167772410388</v>
      </c>
      <c r="X137" s="1512">
        <v>6358.7895687752698</v>
      </c>
      <c r="Y137" s="1512">
        <v>7340.6454677381344</v>
      </c>
      <c r="Z137" s="1512">
        <v>7504.951786625631</v>
      </c>
      <c r="AA137" s="1512">
        <v>4177.0930608512735</v>
      </c>
      <c r="AB137" s="1512">
        <v>4193.2557027733928</v>
      </c>
      <c r="AC137" s="1512">
        <v>4233.3805175879443</v>
      </c>
      <c r="AD137" s="1512">
        <v>4246.4839356525135</v>
      </c>
      <c r="AE137" s="1512">
        <v>4295.2334295149831</v>
      </c>
      <c r="AF137" s="1512">
        <v>3952.6779074562719</v>
      </c>
      <c r="AG137" s="1512">
        <v>4309.0845421153681</v>
      </c>
      <c r="AH137" s="1512">
        <v>4671.8338802561175</v>
      </c>
      <c r="AI137"/>
    </row>
    <row r="138" spans="1:35" x14ac:dyDescent="0.4">
      <c r="A138" s="1389" t="s">
        <v>1674</v>
      </c>
      <c r="B138" s="1505" t="s">
        <v>458</v>
      </c>
      <c r="C138" s="1512">
        <v>407.32311506563769</v>
      </c>
      <c r="D138" s="1512">
        <v>419.20241818328583</v>
      </c>
      <c r="E138" s="1512">
        <v>266.8894573882788</v>
      </c>
      <c r="F138" s="1512">
        <v>291.96149998973982</v>
      </c>
      <c r="G138" s="1512">
        <v>310.07124867993326</v>
      </c>
      <c r="H138" s="1512">
        <v>316.58818764964315</v>
      </c>
      <c r="I138" s="1512">
        <v>336.86709161749275</v>
      </c>
      <c r="J138" s="1512">
        <v>342.72176072241916</v>
      </c>
      <c r="K138" s="1512">
        <v>392.70489995810721</v>
      </c>
      <c r="L138" s="1512">
        <v>432.58610903116062</v>
      </c>
      <c r="M138" s="1512">
        <v>1175.4279312201186</v>
      </c>
      <c r="N138" s="1512">
        <v>1254.8986013963702</v>
      </c>
      <c r="O138" s="1512">
        <v>1361.2145302707572</v>
      </c>
      <c r="P138" s="1512">
        <v>1485.2960274974671</v>
      </c>
      <c r="Q138" s="1512">
        <v>1397.1737405209603</v>
      </c>
      <c r="R138" s="1512">
        <v>1402.0693083830772</v>
      </c>
      <c r="S138" s="1512">
        <v>1226.8799764521355</v>
      </c>
      <c r="T138" s="1512">
        <v>1260.2934606275378</v>
      </c>
      <c r="U138" s="1512">
        <v>1208.9319967153417</v>
      </c>
      <c r="V138" s="1512">
        <v>1178.9716840497988</v>
      </c>
      <c r="W138" s="1512">
        <v>1358.0031124546074</v>
      </c>
      <c r="X138" s="1512">
        <v>864.68775496271655</v>
      </c>
      <c r="Y138" s="1512">
        <v>899.22942628481883</v>
      </c>
      <c r="Z138" s="1512">
        <v>907.58756559262076</v>
      </c>
      <c r="AA138" s="1512">
        <v>1957.4835960880748</v>
      </c>
      <c r="AB138" s="1512">
        <v>1994.1496657902576</v>
      </c>
      <c r="AC138" s="1512">
        <v>2026.2205583406235</v>
      </c>
      <c r="AD138" s="1512">
        <v>2064.8230910663574</v>
      </c>
      <c r="AE138" s="1512">
        <v>2105.1710455054922</v>
      </c>
      <c r="AF138" s="1512">
        <v>2133.0589814474374</v>
      </c>
      <c r="AG138" s="1512">
        <v>2140.709798475069</v>
      </c>
      <c r="AH138" s="1512">
        <v>2754.4810704621891</v>
      </c>
      <c r="AI138"/>
    </row>
    <row r="139" spans="1:35" x14ac:dyDescent="0.4">
      <c r="A139" s="1389" t="s">
        <v>1675</v>
      </c>
      <c r="B139" s="1505" t="s">
        <v>458</v>
      </c>
      <c r="C139" s="1512">
        <v>199.92964667994926</v>
      </c>
      <c r="D139" s="1512">
        <v>149.77417661261543</v>
      </c>
      <c r="E139" s="1512">
        <v>117.3965237272412</v>
      </c>
      <c r="F139" s="1512">
        <v>88.008061341488514</v>
      </c>
      <c r="G139" s="1512">
        <v>70.513430627914119</v>
      </c>
      <c r="H139" s="1512">
        <v>130.51749676242201</v>
      </c>
      <c r="I139" s="1512">
        <v>111.54400338061379</v>
      </c>
      <c r="J139" s="1512">
        <v>91.689485430496077</v>
      </c>
      <c r="K139" s="1512">
        <v>181.11347911391059</v>
      </c>
      <c r="L139" s="1512">
        <v>97.101493492968743</v>
      </c>
      <c r="M139" s="1512">
        <v>113.8409602908493</v>
      </c>
      <c r="N139" s="1512">
        <v>172.49202440973903</v>
      </c>
      <c r="O139" s="1512">
        <v>164.12229101079873</v>
      </c>
      <c r="P139" s="1512">
        <v>170.98169657835126</v>
      </c>
      <c r="Q139" s="1512">
        <v>112.86554023307804</v>
      </c>
      <c r="R139" s="1512">
        <v>162.80075415833448</v>
      </c>
      <c r="S139" s="1512">
        <v>109.30997679668613</v>
      </c>
      <c r="T139" s="1512">
        <v>44.806392331168979</v>
      </c>
      <c r="U139" s="1512">
        <v>52.358031488107571</v>
      </c>
      <c r="V139" s="1512">
        <v>35.335378221841836</v>
      </c>
      <c r="W139" s="1512">
        <v>47.512396362405312</v>
      </c>
      <c r="X139" s="1512">
        <v>60.41311325550874</v>
      </c>
      <c r="Y139" s="1512">
        <v>38.135777742539894</v>
      </c>
      <c r="Z139" s="1512">
        <v>42.352109605163939</v>
      </c>
      <c r="AA139" s="1512">
        <v>41.565480526316165</v>
      </c>
      <c r="AB139" s="1512">
        <v>33.762120064146288</v>
      </c>
      <c r="AC139" s="1512">
        <v>48.141699625483525</v>
      </c>
      <c r="AD139" s="1512">
        <v>54.529127745727422</v>
      </c>
      <c r="AE139" s="1512">
        <v>30.615603748755209</v>
      </c>
      <c r="AF139" s="1512">
        <v>44.177089068090766</v>
      </c>
      <c r="AG139" s="1512">
        <v>44.177089068090766</v>
      </c>
      <c r="AH139" s="1512">
        <v>44.177089068090766</v>
      </c>
      <c r="AI139"/>
    </row>
    <row r="140" spans="1:35" x14ac:dyDescent="0.4">
      <c r="A140" s="1389" t="s">
        <v>1676</v>
      </c>
      <c r="B140" s="1505" t="s">
        <v>458</v>
      </c>
      <c r="C140" s="1512">
        <v>2002.4433906681868</v>
      </c>
      <c r="D140" s="1512">
        <v>2093.7614514258316</v>
      </c>
      <c r="E140" s="1512">
        <v>0</v>
      </c>
      <c r="F140" s="1512">
        <v>2925.2053104187085</v>
      </c>
      <c r="G140" s="1512">
        <v>3055.5636954146912</v>
      </c>
      <c r="H140" s="1512">
        <v>3010.6795829409903</v>
      </c>
      <c r="I140" s="1512">
        <v>3068.4367401446743</v>
      </c>
      <c r="J140" s="1512">
        <v>3445.0985165832153</v>
      </c>
      <c r="K140" s="1512">
        <v>3196.3378304485259</v>
      </c>
      <c r="L140" s="1512">
        <v>3042.3653999496655</v>
      </c>
      <c r="M140" s="1512">
        <v>4606.590611771825</v>
      </c>
      <c r="N140" s="1512">
        <v>4255.2560363575349</v>
      </c>
      <c r="O140" s="1512">
        <v>4133.4895136829991</v>
      </c>
      <c r="P140" s="1512">
        <v>3786.634499712161</v>
      </c>
      <c r="Q140" s="1512">
        <v>3934.5945108573142</v>
      </c>
      <c r="R140" s="1512">
        <v>3940.426663814972</v>
      </c>
      <c r="S140" s="1512">
        <v>3860.8358123094858</v>
      </c>
      <c r="T140" s="1512">
        <v>3365.0505705926344</v>
      </c>
      <c r="U140" s="1512">
        <v>3186.8863630198175</v>
      </c>
      <c r="V140" s="1512">
        <v>3235.3931663321418</v>
      </c>
      <c r="W140" s="1512">
        <v>3277.5082721874533</v>
      </c>
      <c r="X140" s="1512">
        <v>3140.0297469169504</v>
      </c>
      <c r="Y140" s="1512">
        <v>2891.069666483163</v>
      </c>
      <c r="Z140" s="1512">
        <v>3024.2399740560936</v>
      </c>
      <c r="AA140" s="1512">
        <v>1234.991673869813</v>
      </c>
      <c r="AB140" s="1512">
        <v>1292.1434059897604</v>
      </c>
      <c r="AC140" s="1512">
        <v>1411.6286385112035</v>
      </c>
      <c r="AD140" s="1512">
        <v>1475.7724782424311</v>
      </c>
      <c r="AE140" s="1512">
        <v>1560.7281329580674</v>
      </c>
      <c r="AF140" s="1512">
        <v>1414.6336326760702</v>
      </c>
      <c r="AG140" s="1512">
        <v>1790.8071875219619</v>
      </c>
      <c r="AH140" s="1512">
        <v>966.7482043042362</v>
      </c>
      <c r="AI140"/>
    </row>
    <row r="141" spans="1:35" x14ac:dyDescent="0.4">
      <c r="A141" s="1513" t="s">
        <v>1677</v>
      </c>
      <c r="B141" s="1507" t="s">
        <v>458</v>
      </c>
      <c r="C141" s="1514">
        <v>284.91588210561451</v>
      </c>
      <c r="D141" s="1514">
        <v>286.5102980019908</v>
      </c>
      <c r="E141" s="1514">
        <v>250.32884464407843</v>
      </c>
      <c r="F141" s="1514">
        <v>256.88114847147807</v>
      </c>
      <c r="G141" s="1514">
        <v>245.0044741124056</v>
      </c>
      <c r="H141" s="1514">
        <v>237.80365976174019</v>
      </c>
      <c r="I141" s="1514">
        <v>237.89378686125997</v>
      </c>
      <c r="J141" s="1514">
        <v>215.1440504307906</v>
      </c>
      <c r="K141" s="1514">
        <v>318.10654851268185</v>
      </c>
      <c r="L141" s="1514">
        <v>330.60706208873722</v>
      </c>
      <c r="M141" s="1514">
        <v>310.67336395428782</v>
      </c>
      <c r="N141" s="1514">
        <v>320.62026292012212</v>
      </c>
      <c r="O141" s="1514">
        <v>338.26317353087865</v>
      </c>
      <c r="P141" s="1514">
        <v>361.53036026644492</v>
      </c>
      <c r="Q141" s="1514">
        <v>379.18206926871386</v>
      </c>
      <c r="R141" s="1514">
        <v>405.32498244025226</v>
      </c>
      <c r="S141" s="1514">
        <v>472.53810798483835</v>
      </c>
      <c r="T141" s="1514">
        <v>496.442252923664</v>
      </c>
      <c r="U141" s="1514">
        <v>496.69650529922887</v>
      </c>
      <c r="V141" s="1514">
        <v>497.99980847720553</v>
      </c>
      <c r="W141" s="1514">
        <v>614.60500424394922</v>
      </c>
      <c r="X141" s="1514">
        <v>572.51507430577669</v>
      </c>
      <c r="Y141" s="1514">
        <v>686.11798351420703</v>
      </c>
      <c r="Z141" s="1514">
        <v>722.95313507849175</v>
      </c>
      <c r="AA141" s="1514">
        <v>544.26960261238503</v>
      </c>
      <c r="AB141" s="1514">
        <v>537.72924554178132</v>
      </c>
      <c r="AC141" s="1514">
        <v>538.01923872986595</v>
      </c>
      <c r="AD141" s="1514">
        <v>553.26751736738481</v>
      </c>
      <c r="AE141" s="1514">
        <v>569.00610072702398</v>
      </c>
      <c r="AF141" s="1514">
        <v>518.97302348702169</v>
      </c>
      <c r="AG141" s="1514">
        <v>564.1798773252284</v>
      </c>
      <c r="AH141" s="1514">
        <v>676.57567709998455</v>
      </c>
      <c r="AI141"/>
    </row>
    <row r="142" spans="1:35" x14ac:dyDescent="0.4">
      <c r="A142" s="108" t="s">
        <v>1678</v>
      </c>
      <c r="B142" s="1526" t="s">
        <v>458</v>
      </c>
      <c r="C142" s="1515">
        <v>6306.4174359207864</v>
      </c>
      <c r="D142" s="1515">
        <v>6499.6773948485188</v>
      </c>
      <c r="E142" s="1515">
        <v>3616.3745272596498</v>
      </c>
      <c r="F142" s="1515">
        <v>7129.7551272633073</v>
      </c>
      <c r="G142" s="1515">
        <v>7252.9486890741136</v>
      </c>
      <c r="H142" s="1515">
        <v>7286.7137513679108</v>
      </c>
      <c r="I142" s="1515">
        <v>7493.9740242954949</v>
      </c>
      <c r="J142" s="1515">
        <v>7519.5189355816801</v>
      </c>
      <c r="K142" s="1515">
        <v>9007.3650308938104</v>
      </c>
      <c r="L142" s="1515">
        <v>9099.1387641952388</v>
      </c>
      <c r="M142" s="1515">
        <v>12006.770409575869</v>
      </c>
      <c r="N142" s="1515">
        <v>11821.071532602187</v>
      </c>
      <c r="O142" s="1515">
        <v>11954.669306044605</v>
      </c>
      <c r="P142" s="1515">
        <v>11909.014286728096</v>
      </c>
      <c r="Q142" s="1515">
        <v>12022.46071978653</v>
      </c>
      <c r="R142" s="1515">
        <v>12311.644210124759</v>
      </c>
      <c r="S142" s="1515">
        <v>12690.373327355734</v>
      </c>
      <c r="T142" s="1515">
        <v>12296.093211216963</v>
      </c>
      <c r="U142" s="1515">
        <v>12082.335623592509</v>
      </c>
      <c r="V142" s="1515">
        <v>12528.291385190836</v>
      </c>
      <c r="W142" s="1515">
        <v>13660.330034384868</v>
      </c>
      <c r="X142" s="1515">
        <v>12108.572169137768</v>
      </c>
      <c r="Y142" s="1515">
        <v>13514.260268543758</v>
      </c>
      <c r="Z142" s="1515">
        <v>13335.125508891048</v>
      </c>
      <c r="AA142" s="1515">
        <v>8214.1337162470154</v>
      </c>
      <c r="AB142" s="1515">
        <v>8312.7444704772424</v>
      </c>
      <c r="AC142" s="1515">
        <v>8519.7925612839063</v>
      </c>
      <c r="AD142" s="1515">
        <v>8663.6100932126519</v>
      </c>
      <c r="AE142" s="1515">
        <v>8836.0860318780396</v>
      </c>
      <c r="AF142" s="1515">
        <v>8336.2813462321319</v>
      </c>
      <c r="AG142" s="1515">
        <v>9103.5839538390028</v>
      </c>
      <c r="AH142" s="1515">
        <v>9247.6791880886412</v>
      </c>
      <c r="AI142"/>
    </row>
    <row r="143" spans="1:35" x14ac:dyDescent="0.4">
      <c r="A143" s="1516" t="s">
        <v>1111</v>
      </c>
      <c r="B143" s="1517"/>
      <c r="C143" s="1517"/>
      <c r="D143" s="1517"/>
      <c r="E143" s="1517"/>
      <c r="F143" s="1517"/>
      <c r="G143" s="1517"/>
      <c r="H143" s="1517"/>
      <c r="I143" s="1517"/>
      <c r="J143" s="1517"/>
      <c r="K143" s="1517"/>
      <c r="L143" s="1517"/>
      <c r="M143" s="1517"/>
      <c r="N143" s="1517"/>
      <c r="O143" s="1517"/>
      <c r="P143" s="1517"/>
      <c r="Q143" s="1517"/>
      <c r="R143" s="1517"/>
      <c r="S143" s="1517"/>
      <c r="T143" s="1517"/>
      <c r="U143" s="1517"/>
      <c r="V143" s="1517"/>
      <c r="W143" s="1517"/>
      <c r="X143" s="1517"/>
      <c r="Y143" s="1517"/>
      <c r="Z143" s="1517"/>
      <c r="AA143" s="1517"/>
      <c r="AB143" s="1517"/>
      <c r="AC143" s="1517"/>
      <c r="AD143" s="1517"/>
      <c r="AE143" s="1517"/>
      <c r="AF143" s="1517"/>
      <c r="AG143" s="1517"/>
      <c r="AH143" s="1517"/>
      <c r="AI143"/>
    </row>
    <row r="144" spans="1:35" x14ac:dyDescent="0.4">
      <c r="A144" s="1491"/>
      <c r="B144" s="1491"/>
      <c r="C144" s="1491"/>
      <c r="D144" s="1491"/>
      <c r="E144" s="1491"/>
      <c r="F144" s="1491"/>
      <c r="G144" s="1491"/>
      <c r="H144" s="1491"/>
      <c r="I144" s="1491"/>
      <c r="J144" s="1491"/>
      <c r="K144" s="1491"/>
      <c r="L144" s="1491"/>
      <c r="M144" s="1491"/>
      <c r="N144" s="1491"/>
      <c r="O144" s="1491"/>
      <c r="P144" s="1491"/>
      <c r="Q144" s="1491"/>
      <c r="R144" s="1491"/>
      <c r="S144" s="1491"/>
      <c r="T144" s="1491"/>
      <c r="U144" s="1491"/>
      <c r="V144" s="1491"/>
      <c r="W144" s="1491"/>
      <c r="X144" s="1491"/>
      <c r="Y144" s="1491"/>
      <c r="Z144" s="1491"/>
      <c r="AA144" s="1491"/>
      <c r="AB144" s="1491"/>
      <c r="AC144" s="1491"/>
      <c r="AD144" s="1491"/>
      <c r="AE144" s="1491"/>
      <c r="AF144" s="1491"/>
      <c r="AG144" s="1491"/>
      <c r="AH144" s="1491"/>
      <c r="AI144"/>
    </row>
    <row r="145" spans="1:35" ht="17" x14ac:dyDescent="0.45">
      <c r="A145" s="42" t="s">
        <v>1679</v>
      </c>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row>
    <row r="146" spans="1:35" ht="17" x14ac:dyDescent="0.45">
      <c r="A146" s="1492" t="s">
        <v>1680</v>
      </c>
      <c r="B146" s="1"/>
      <c r="C146"/>
      <c r="D146"/>
      <c r="E146"/>
      <c r="F146"/>
      <c r="G146"/>
      <c r="H146"/>
      <c r="I146"/>
      <c r="J146"/>
      <c r="K146"/>
      <c r="L146"/>
      <c r="M146"/>
      <c r="N146"/>
      <c r="O146"/>
      <c r="P146"/>
      <c r="Q146"/>
      <c r="R146"/>
      <c r="S146"/>
      <c r="T146"/>
      <c r="U146"/>
      <c r="V146"/>
      <c r="W146"/>
      <c r="X146"/>
      <c r="Y146"/>
      <c r="Z146"/>
      <c r="AA146"/>
      <c r="AB146"/>
      <c r="AC146"/>
      <c r="AD146"/>
      <c r="AE146"/>
      <c r="AF146"/>
      <c r="AG146"/>
      <c r="AH146"/>
      <c r="AI146"/>
    </row>
    <row r="147" spans="1:35" x14ac:dyDescent="0.4">
      <c r="A147" s="1493" t="s">
        <v>937</v>
      </c>
      <c r="B147" s="1493" t="s">
        <v>1627</v>
      </c>
      <c r="C147" s="1493" t="s">
        <v>1628</v>
      </c>
      <c r="D147" s="1493" t="s">
        <v>1629</v>
      </c>
      <c r="E147" s="1493" t="s">
        <v>1630</v>
      </c>
      <c r="F147" s="1493" t="s">
        <v>1631</v>
      </c>
      <c r="G147" s="1493" t="s">
        <v>1632</v>
      </c>
      <c r="H147" s="1493" t="s">
        <v>1633</v>
      </c>
      <c r="I147" s="1493" t="s">
        <v>1634</v>
      </c>
      <c r="J147" s="1493" t="s">
        <v>1635</v>
      </c>
      <c r="K147" s="1493" t="s">
        <v>1636</v>
      </c>
      <c r="L147" s="1493" t="s">
        <v>1637</v>
      </c>
      <c r="M147" s="1493" t="s">
        <v>1638</v>
      </c>
      <c r="N147" s="1493" t="s">
        <v>1639</v>
      </c>
      <c r="O147" s="1493" t="s">
        <v>1640</v>
      </c>
      <c r="P147" s="1493" t="s">
        <v>1641</v>
      </c>
      <c r="Q147" s="1493" t="s">
        <v>1642</v>
      </c>
      <c r="R147" s="1493" t="s">
        <v>1643</v>
      </c>
      <c r="S147" s="1493" t="s">
        <v>1644</v>
      </c>
      <c r="T147" s="1493" t="s">
        <v>1645</v>
      </c>
      <c r="U147" s="1493" t="s">
        <v>1646</v>
      </c>
      <c r="V147" s="1493" t="s">
        <v>1647</v>
      </c>
      <c r="W147" s="1493" t="s">
        <v>1648</v>
      </c>
      <c r="X147" s="1493" t="s">
        <v>1649</v>
      </c>
      <c r="Y147" s="1493" t="s">
        <v>1650</v>
      </c>
      <c r="Z147" s="1493" t="s">
        <v>1651</v>
      </c>
      <c r="AA147" s="1493" t="s">
        <v>1652</v>
      </c>
      <c r="AB147" s="1493" t="s">
        <v>1653</v>
      </c>
      <c r="AC147" s="1493" t="s">
        <v>1654</v>
      </c>
      <c r="AD147" s="1493" t="s">
        <v>1655</v>
      </c>
      <c r="AE147" s="1493" t="s">
        <v>1656</v>
      </c>
      <c r="AF147" s="1493" t="s">
        <v>1657</v>
      </c>
      <c r="AG147" s="1493" t="s">
        <v>1658</v>
      </c>
      <c r="AH147" s="1493" t="s">
        <v>1659</v>
      </c>
      <c r="AI147" s="1493" t="s">
        <v>1660</v>
      </c>
    </row>
    <row r="148" spans="1:35" x14ac:dyDescent="0.4">
      <c r="A148" s="1494" t="s">
        <v>67</v>
      </c>
      <c r="B148" s="1505" t="s">
        <v>458</v>
      </c>
      <c r="C148" s="1495">
        <v>27592.44935497062</v>
      </c>
      <c r="D148" s="1495">
        <v>22364.873328900052</v>
      </c>
      <c r="E148" s="1495">
        <v>22204.328558629739</v>
      </c>
      <c r="F148" s="1495">
        <v>21338.705132901392</v>
      </c>
      <c r="G148" s="1495">
        <v>19781.295671006548</v>
      </c>
      <c r="H148" s="1495">
        <v>20653.789641330932</v>
      </c>
      <c r="I148" s="1495">
        <v>20742.0578019981</v>
      </c>
      <c r="J148" s="1495">
        <v>19470.990759957145</v>
      </c>
      <c r="K148" s="1495">
        <v>20318.703135287691</v>
      </c>
      <c r="L148" s="1495">
        <v>20339.45669783976</v>
      </c>
      <c r="M148" s="1495">
        <v>17398.304962760245</v>
      </c>
      <c r="N148" s="1495">
        <v>13990.564279369757</v>
      </c>
      <c r="O148" s="1495">
        <v>16190.433618814533</v>
      </c>
      <c r="P148" s="1495">
        <v>20851.824465792186</v>
      </c>
      <c r="Q148" s="1495">
        <v>22852.556375726628</v>
      </c>
      <c r="R148" s="1495">
        <v>21212.572382557584</v>
      </c>
      <c r="S148" s="1495">
        <v>20834.678929890422</v>
      </c>
      <c r="T148" s="1495">
        <v>27909.089726728602</v>
      </c>
      <c r="U148" s="1495">
        <v>15452.856023135106</v>
      </c>
      <c r="V148" s="1495">
        <v>21687.679539984994</v>
      </c>
      <c r="W148" s="1495">
        <v>21353.610062175114</v>
      </c>
      <c r="X148" s="1495">
        <v>21198.334865700002</v>
      </c>
      <c r="Y148" s="1495">
        <v>22052.610718770367</v>
      </c>
      <c r="Z148" s="1495">
        <v>21382.154491515521</v>
      </c>
      <c r="AA148" s="1495">
        <v>20930.719104440079</v>
      </c>
      <c r="AB148" s="1495">
        <v>22198.116096310358</v>
      </c>
      <c r="AC148" s="1495">
        <v>24253.844182802361</v>
      </c>
      <c r="AD148" s="1495">
        <v>25823.867725933484</v>
      </c>
      <c r="AE148" s="1495">
        <v>27470.604856378835</v>
      </c>
      <c r="AF148" s="1495">
        <v>13967.593035622103</v>
      </c>
      <c r="AG148" s="1495">
        <v>19831.102988264713</v>
      </c>
      <c r="AH148" s="1495">
        <v>24623.159942746697</v>
      </c>
      <c r="AI148" s="1518">
        <v>24951.533990314801</v>
      </c>
    </row>
    <row r="149" spans="1:35" x14ac:dyDescent="0.4">
      <c r="A149" s="1496" t="s">
        <v>1661</v>
      </c>
      <c r="B149" s="1505" t="s">
        <v>458</v>
      </c>
      <c r="C149" s="1495">
        <v>5243.7748799999999</v>
      </c>
      <c r="D149" s="1495">
        <v>1824.6539999999998</v>
      </c>
      <c r="E149" s="1495">
        <v>1506.0413400000002</v>
      </c>
      <c r="F149" s="1495">
        <v>454.05813000000001</v>
      </c>
      <c r="G149" s="1495">
        <v>45.616350000000004</v>
      </c>
      <c r="H149" s="1495">
        <v>17.544750000000001</v>
      </c>
      <c r="I149" s="1495">
        <v>8.4214800000000007</v>
      </c>
      <c r="J149" s="1505" t="s">
        <v>32</v>
      </c>
      <c r="K149" s="1505" t="s">
        <v>32</v>
      </c>
      <c r="L149" s="1505" t="s">
        <v>32</v>
      </c>
      <c r="M149" s="1505" t="s">
        <v>32</v>
      </c>
      <c r="N149" s="1505" t="s">
        <v>32</v>
      </c>
      <c r="O149" s="1505" t="s">
        <v>32</v>
      </c>
      <c r="P149" s="1505" t="s">
        <v>32</v>
      </c>
      <c r="Q149" s="1505" t="s">
        <v>32</v>
      </c>
      <c r="R149" s="1505" t="s">
        <v>32</v>
      </c>
      <c r="S149" s="1505" t="s">
        <v>32</v>
      </c>
      <c r="T149" s="1505" t="s">
        <v>32</v>
      </c>
      <c r="U149" s="1505" t="s">
        <v>32</v>
      </c>
      <c r="V149" s="1505" t="s">
        <v>32</v>
      </c>
      <c r="W149" s="1505" t="s">
        <v>32</v>
      </c>
      <c r="X149" s="1505" t="s">
        <v>32</v>
      </c>
      <c r="Y149" s="1505" t="s">
        <v>32</v>
      </c>
      <c r="Z149" s="1505" t="s">
        <v>32</v>
      </c>
      <c r="AA149" s="1505" t="s">
        <v>32</v>
      </c>
      <c r="AB149" s="1505" t="s">
        <v>32</v>
      </c>
      <c r="AC149" s="1505" t="s">
        <v>32</v>
      </c>
      <c r="AD149" s="1505" t="s">
        <v>32</v>
      </c>
      <c r="AE149" s="1505" t="s">
        <v>32</v>
      </c>
      <c r="AF149" s="1505" t="s">
        <v>32</v>
      </c>
      <c r="AG149" s="1505" t="s">
        <v>32</v>
      </c>
      <c r="AH149" s="1505" t="s">
        <v>32</v>
      </c>
      <c r="AI149" s="1505" t="s">
        <v>32</v>
      </c>
    </row>
    <row r="150" spans="1:35" x14ac:dyDescent="0.4">
      <c r="A150" s="1497" t="s">
        <v>93</v>
      </c>
      <c r="B150" s="1507" t="s">
        <v>458</v>
      </c>
      <c r="C150" s="1498">
        <v>60.269037177600012</v>
      </c>
      <c r="D150" s="1498">
        <v>60.269037177600012</v>
      </c>
      <c r="E150" s="1498">
        <v>113.8415146688</v>
      </c>
      <c r="F150" s="1498">
        <v>97.769771421439998</v>
      </c>
      <c r="G150" s="1498">
        <v>112.50220273151999</v>
      </c>
      <c r="H150" s="1498">
        <v>120.53807435520002</v>
      </c>
      <c r="I150" s="1498">
        <v>116.52013854336001</v>
      </c>
      <c r="J150" s="1498">
        <v>116.52013854336001</v>
      </c>
      <c r="K150" s="1498">
        <v>128.57394597888</v>
      </c>
      <c r="L150" s="1498">
        <v>155.36018472448001</v>
      </c>
      <c r="M150" s="1498">
        <v>107.14495498239998</v>
      </c>
      <c r="N150" s="1498">
        <v>103.12701917055999</v>
      </c>
      <c r="O150" s="1498">
        <v>108.48426691968001</v>
      </c>
      <c r="P150" s="1498">
        <v>127.2346340416</v>
      </c>
      <c r="Q150" s="1498">
        <v>156.69949666175998</v>
      </c>
      <c r="R150" s="1498">
        <v>65.626284926720004</v>
      </c>
      <c r="S150" s="1498">
        <v>116.52013854336001</v>
      </c>
      <c r="T150" s="1498">
        <v>66.965596864000005</v>
      </c>
      <c r="U150" s="1498">
        <v>129.91325791616001</v>
      </c>
      <c r="V150" s="1498">
        <v>75.00146848768</v>
      </c>
      <c r="W150" s="1498">
        <v>70.983532675839996</v>
      </c>
      <c r="X150" s="1498">
        <v>66.965596864000005</v>
      </c>
      <c r="Y150" s="1498">
        <v>57.590413303040002</v>
      </c>
      <c r="Z150" s="1498">
        <v>99.109083358719985</v>
      </c>
      <c r="AA150" s="1498">
        <v>95.091147546879995</v>
      </c>
      <c r="AB150" s="1498">
        <v>92.412523672319978</v>
      </c>
      <c r="AC150" s="1498">
        <v>89.733899797760003</v>
      </c>
      <c r="AD150" s="1498">
        <v>103.12701917055999</v>
      </c>
      <c r="AE150" s="1498">
        <v>103.12701917055999</v>
      </c>
      <c r="AF150" s="1498">
        <v>84.376652048639983</v>
      </c>
      <c r="AG150" s="1498">
        <v>95.091147546879995</v>
      </c>
      <c r="AH150" s="1498">
        <v>99.109083358719985</v>
      </c>
      <c r="AI150" s="1519">
        <v>93.656322079999995</v>
      </c>
    </row>
    <row r="151" spans="1:35" x14ac:dyDescent="0.4">
      <c r="A151" s="108" t="s">
        <v>1662</v>
      </c>
      <c r="B151" s="1526" t="s">
        <v>458</v>
      </c>
      <c r="C151" s="207">
        <v>32896.493272148218</v>
      </c>
      <c r="D151" s="207">
        <v>24249.796366077648</v>
      </c>
      <c r="E151" s="207">
        <v>23824.211413298541</v>
      </c>
      <c r="F151" s="207">
        <v>21890.533034322831</v>
      </c>
      <c r="G151" s="207">
        <v>19939.414223738066</v>
      </c>
      <c r="H151" s="207">
        <v>20791.872465686138</v>
      </c>
      <c r="I151" s="207">
        <v>20866.999420541459</v>
      </c>
      <c r="J151" s="207">
        <v>19586.107318500504</v>
      </c>
      <c r="K151" s="207">
        <v>20447.277081266569</v>
      </c>
      <c r="L151" s="207">
        <v>20494.816882564235</v>
      </c>
      <c r="M151" s="207">
        <v>17505.449917742644</v>
      </c>
      <c r="N151" s="207">
        <v>14093.691298540318</v>
      </c>
      <c r="O151" s="207">
        <v>16298.91788573421</v>
      </c>
      <c r="P151" s="207">
        <v>20979.059099833783</v>
      </c>
      <c r="Q151" s="207">
        <v>23009.255872388389</v>
      </c>
      <c r="R151" s="207">
        <v>21278.198667484303</v>
      </c>
      <c r="S151" s="207">
        <v>20951.199068433776</v>
      </c>
      <c r="T151" s="207">
        <v>27976.055323592605</v>
      </c>
      <c r="U151" s="207">
        <v>15582.769281051265</v>
      </c>
      <c r="V151" s="207">
        <v>21762.681008472671</v>
      </c>
      <c r="W151" s="207">
        <v>21424.593594850961</v>
      </c>
      <c r="X151" s="207">
        <v>21265.300462564006</v>
      </c>
      <c r="Y151" s="207">
        <v>22110.201132073405</v>
      </c>
      <c r="Z151" s="207">
        <v>21481.263574874243</v>
      </c>
      <c r="AA151" s="207">
        <v>21025.810251986957</v>
      </c>
      <c r="AB151" s="207">
        <v>22290.528619982677</v>
      </c>
      <c r="AC151" s="207">
        <v>24343.578082600121</v>
      </c>
      <c r="AD151" s="207">
        <v>25926.994745104046</v>
      </c>
      <c r="AE151" s="207">
        <v>27573.731875549394</v>
      </c>
      <c r="AF151" s="207">
        <v>14051.969687670742</v>
      </c>
      <c r="AG151" s="207">
        <v>19926.194135811591</v>
      </c>
      <c r="AH151" s="207">
        <v>24722.269026105416</v>
      </c>
      <c r="AI151" s="1518">
        <v>25045.1903123948</v>
      </c>
    </row>
    <row r="152" spans="1:35" x14ac:dyDescent="0.4">
      <c r="A152" s="1499" t="s">
        <v>1111</v>
      </c>
      <c r="B152" s="1500"/>
      <c r="C152" s="1500"/>
      <c r="D152" s="1500"/>
      <c r="E152" s="1500"/>
      <c r="F152" s="1500"/>
      <c r="G152" s="1500"/>
      <c r="H152" s="1500"/>
      <c r="I152" s="1500"/>
      <c r="J152" s="1500"/>
      <c r="K152" s="1500"/>
      <c r="L152" s="1500"/>
      <c r="M152" s="1500"/>
      <c r="N152" s="1500"/>
      <c r="O152" s="1500"/>
      <c r="P152" s="1500"/>
      <c r="Q152" s="1500"/>
      <c r="R152" s="1500"/>
      <c r="S152" s="1500"/>
      <c r="T152" s="1500"/>
      <c r="U152" s="1500"/>
      <c r="V152" s="1500"/>
      <c r="W152" s="1500"/>
      <c r="X152" s="1500"/>
      <c r="Y152" s="1500"/>
      <c r="Z152" s="1500"/>
      <c r="AA152" s="1500"/>
      <c r="AB152" s="1500"/>
      <c r="AC152" s="1500"/>
      <c r="AD152" s="1500"/>
      <c r="AE152" s="1500"/>
      <c r="AF152" s="1500"/>
      <c r="AG152" s="1500"/>
      <c r="AH152" s="1500"/>
      <c r="AI152" s="1500"/>
    </row>
    <row r="153" spans="1:35" x14ac:dyDescent="0.4">
      <c r="A153" s="108"/>
      <c r="B153" s="207"/>
      <c r="C153" s="207"/>
      <c r="D153" s="207"/>
      <c r="E153" s="207"/>
      <c r="F153" s="207"/>
      <c r="G153" s="207"/>
      <c r="H153" s="207"/>
      <c r="I153" s="207"/>
      <c r="J153" s="207"/>
      <c r="K153" s="207"/>
      <c r="L153" s="207"/>
      <c r="M153" s="207"/>
      <c r="N153" s="207"/>
      <c r="O153" s="207"/>
      <c r="P153" s="207"/>
      <c r="Q153" s="207"/>
      <c r="R153" s="207"/>
      <c r="S153" s="207"/>
      <c r="T153" s="207"/>
      <c r="U153" s="207"/>
      <c r="V153" s="207"/>
      <c r="W153" s="207"/>
      <c r="X153" s="207"/>
      <c r="Y153" s="207"/>
      <c r="Z153" s="207"/>
      <c r="AA153" s="207"/>
      <c r="AB153" s="207"/>
      <c r="AC153" s="207"/>
      <c r="AD153" s="207"/>
      <c r="AE153" s="207"/>
      <c r="AF153" s="207"/>
      <c r="AG153" s="207"/>
      <c r="AH153" s="207"/>
      <c r="AI153" s="207"/>
    </row>
    <row r="154" spans="1:35" ht="17" x14ac:dyDescent="0.45">
      <c r="A154" s="1492" t="s">
        <v>1681</v>
      </c>
      <c r="B154" s="1491"/>
      <c r="C154" s="1491"/>
      <c r="D154" s="1491"/>
      <c r="E154" s="1491"/>
      <c r="F154" s="1491"/>
      <c r="G154" s="1491"/>
      <c r="H154" s="1491"/>
      <c r="I154" s="1491"/>
      <c r="J154" s="1491"/>
      <c r="K154" s="1491"/>
      <c r="L154" s="1491"/>
      <c r="M154" s="1491"/>
      <c r="N154" s="1491"/>
      <c r="O154" s="1491"/>
      <c r="P154" s="1491"/>
      <c r="Q154" s="1491"/>
      <c r="R154" s="1491"/>
      <c r="S154" s="1491"/>
      <c r="T154" s="1491"/>
      <c r="U154" s="1491"/>
      <c r="V154" s="1491"/>
      <c r="W154" s="1491"/>
      <c r="X154" s="1491"/>
      <c r="Y154" s="1491"/>
      <c r="Z154" s="1491"/>
      <c r="AA154" s="1491"/>
      <c r="AB154" s="1491"/>
      <c r="AC154" s="1491"/>
      <c r="AD154" s="1491"/>
      <c r="AE154" s="1491"/>
      <c r="AF154" s="1491"/>
      <c r="AG154" s="1491"/>
      <c r="AH154" s="1491"/>
    </row>
    <row r="155" spans="1:35" x14ac:dyDescent="0.4">
      <c r="A155" s="1493" t="s">
        <v>937</v>
      </c>
      <c r="B155" s="1501" t="s">
        <v>1627</v>
      </c>
      <c r="C155" s="1501" t="s">
        <v>1628</v>
      </c>
      <c r="D155" s="1501" t="s">
        <v>1629</v>
      </c>
      <c r="E155" s="1501" t="s">
        <v>1630</v>
      </c>
      <c r="F155" s="1501" t="s">
        <v>1631</v>
      </c>
      <c r="G155" s="1501" t="s">
        <v>1632</v>
      </c>
      <c r="H155" s="1501" t="s">
        <v>1633</v>
      </c>
      <c r="I155" s="1501" t="s">
        <v>1634</v>
      </c>
      <c r="J155" s="1501" t="s">
        <v>1635</v>
      </c>
      <c r="K155" s="1501" t="s">
        <v>1636</v>
      </c>
      <c r="L155" s="1501" t="s">
        <v>1637</v>
      </c>
      <c r="M155" s="1501" t="s">
        <v>1638</v>
      </c>
      <c r="N155" s="1501" t="s">
        <v>1639</v>
      </c>
      <c r="O155" s="1501" t="s">
        <v>1640</v>
      </c>
      <c r="P155" s="1501" t="s">
        <v>1641</v>
      </c>
      <c r="Q155" s="1501" t="s">
        <v>1642</v>
      </c>
      <c r="R155" s="1501" t="s">
        <v>1643</v>
      </c>
      <c r="S155" s="1501" t="s">
        <v>1644</v>
      </c>
      <c r="T155" s="1501" t="s">
        <v>1645</v>
      </c>
      <c r="U155" s="1501" t="s">
        <v>1646</v>
      </c>
      <c r="V155" s="1501" t="s">
        <v>1647</v>
      </c>
      <c r="W155" s="1501" t="s">
        <v>1648</v>
      </c>
      <c r="X155" s="1501" t="s">
        <v>1649</v>
      </c>
      <c r="Y155" s="1501" t="s">
        <v>1650</v>
      </c>
      <c r="Z155" s="1501" t="s">
        <v>1651</v>
      </c>
      <c r="AA155" s="1501" t="s">
        <v>1652</v>
      </c>
      <c r="AB155" s="1501" t="s">
        <v>1653</v>
      </c>
      <c r="AC155" s="1501" t="s">
        <v>1654</v>
      </c>
      <c r="AD155" s="1501" t="s">
        <v>1655</v>
      </c>
      <c r="AE155" s="1501" t="s">
        <v>1656</v>
      </c>
      <c r="AF155" s="1501" t="s">
        <v>1657</v>
      </c>
      <c r="AG155" s="1501" t="s">
        <v>1658</v>
      </c>
      <c r="AH155" s="1501" t="s">
        <v>1659</v>
      </c>
    </row>
    <row r="156" spans="1:35" x14ac:dyDescent="0.4">
      <c r="A156" s="1502" t="s">
        <v>1664</v>
      </c>
      <c r="B156" s="1505" t="s">
        <v>458</v>
      </c>
      <c r="C156" s="1503">
        <v>1740.3898512000003</v>
      </c>
      <c r="D156" s="1503">
        <v>1700.8355364000001</v>
      </c>
      <c r="E156" s="1503">
        <v>1364.6238606000002</v>
      </c>
      <c r="F156" s="1503">
        <v>1439.77705872</v>
      </c>
      <c r="G156" s="1503">
        <v>787.13086452000016</v>
      </c>
      <c r="H156" s="1503">
        <v>7918.77382296</v>
      </c>
      <c r="I156" s="1503">
        <v>5458.4954424000007</v>
      </c>
      <c r="J156" s="1503">
        <v>118.66294440000001</v>
      </c>
      <c r="K156" s="1503">
        <v>83.064061080000002</v>
      </c>
      <c r="L156" s="1503">
        <v>2131.9775677200005</v>
      </c>
      <c r="M156" s="1503">
        <v>1135.2088347600002</v>
      </c>
      <c r="N156" s="1503">
        <v>1242.0054847199999</v>
      </c>
      <c r="O156" s="1503">
        <v>27.688020360000003</v>
      </c>
      <c r="P156" s="1503">
        <v>7.9108629600000002</v>
      </c>
      <c r="Q156" s="1503">
        <v>2555.2087360800001</v>
      </c>
      <c r="R156" s="1503">
        <v>1479.3313735199999</v>
      </c>
      <c r="S156" s="1503">
        <v>1111.4762458800001</v>
      </c>
      <c r="T156" s="1503">
        <v>1198.49573844</v>
      </c>
      <c r="U156" s="1503">
        <v>1574.2617290400003</v>
      </c>
      <c r="V156" s="1503">
        <v>1123.3425403200001</v>
      </c>
      <c r="W156" s="1503">
        <v>830.6406108000001</v>
      </c>
      <c r="X156" s="1503">
        <v>648.69076272000007</v>
      </c>
      <c r="Y156" s="1503">
        <v>779.22000156000013</v>
      </c>
      <c r="Z156" s="1503">
        <v>371.81055911999999</v>
      </c>
      <c r="AA156" s="1503">
        <v>340.16710727999998</v>
      </c>
      <c r="AB156" s="1503">
        <v>791.08629599999995</v>
      </c>
      <c r="AC156" s="1503">
        <v>1305.2923884000002</v>
      </c>
      <c r="AD156" s="1503">
        <v>435.09746280000007</v>
      </c>
      <c r="AE156" s="1503">
        <v>834.59604228000012</v>
      </c>
      <c r="AF156" s="1503">
        <v>51.420609240000005</v>
      </c>
      <c r="AG156" s="1503">
        <v>862.28406264000012</v>
      </c>
      <c r="AH156" s="1503">
        <v>882.06122004000008</v>
      </c>
    </row>
    <row r="157" spans="1:35" x14ac:dyDescent="0.4">
      <c r="A157" s="1504" t="s">
        <v>1665</v>
      </c>
      <c r="B157" s="1505" t="s">
        <v>458</v>
      </c>
      <c r="C157" s="1505">
        <v>279.3041331290255</v>
      </c>
      <c r="D157" s="1505">
        <v>283.78503673959938</v>
      </c>
      <c r="E157" s="1505">
        <v>262.4755014381746</v>
      </c>
      <c r="F157" s="1505">
        <v>287.39313159366816</v>
      </c>
      <c r="G157" s="1505">
        <v>162.71318724015123</v>
      </c>
      <c r="H157" s="1505">
        <v>1864.399407780081</v>
      </c>
      <c r="I157" s="1505">
        <v>1588.3990248397236</v>
      </c>
      <c r="J157" s="1505">
        <v>36.779834539774924</v>
      </c>
      <c r="K157" s="1505">
        <v>24.300557868555583</v>
      </c>
      <c r="L157" s="1505">
        <v>437.11613631949075</v>
      </c>
      <c r="M157" s="1505">
        <v>318.88950288172811</v>
      </c>
      <c r="N157" s="1505">
        <v>306.98454946939472</v>
      </c>
      <c r="O157" s="1505">
        <v>8.6512753066983521</v>
      </c>
      <c r="P157" s="1505">
        <v>1.8418340379058751</v>
      </c>
      <c r="Q157" s="1505">
        <v>492.4212784957889</v>
      </c>
      <c r="R157" s="1505">
        <v>273.4727833397443</v>
      </c>
      <c r="S157" s="1505">
        <v>173.17717381888988</v>
      </c>
      <c r="T157" s="1505">
        <v>206.59164629879271</v>
      </c>
      <c r="U157" s="1505">
        <v>306.5511254093995</v>
      </c>
      <c r="V157" s="1505">
        <v>202.96754994558444</v>
      </c>
      <c r="W157" s="1505">
        <v>183.68013796404892</v>
      </c>
      <c r="X157" s="1505">
        <v>137.66388574056219</v>
      </c>
      <c r="Y157" s="1505">
        <v>180.77403551738593</v>
      </c>
      <c r="Z157" s="1505">
        <v>106.76182643218095</v>
      </c>
      <c r="AA157" s="1505">
        <v>142.79141374746911</v>
      </c>
      <c r="AB157" s="1505">
        <v>229.37369229267611</v>
      </c>
      <c r="AC157" s="1505">
        <v>345.43267640173292</v>
      </c>
      <c r="AD157" s="1505">
        <v>128.25466281068438</v>
      </c>
      <c r="AE157" s="1505">
        <v>259.17847437816857</v>
      </c>
      <c r="AF157" s="1505">
        <v>19.203923555788332</v>
      </c>
      <c r="AG157" s="1505">
        <v>205.03943156220092</v>
      </c>
      <c r="AH157" s="1505">
        <v>207.92168452665763</v>
      </c>
    </row>
    <row r="158" spans="1:35" x14ac:dyDescent="0.4">
      <c r="A158" s="1506" t="s">
        <v>1666</v>
      </c>
      <c r="B158" s="1507" t="s">
        <v>458</v>
      </c>
      <c r="C158" s="1508">
        <v>815.97684389713811</v>
      </c>
      <c r="D158" s="1508">
        <v>490.25424281006991</v>
      </c>
      <c r="E158" s="1508">
        <v>337.15654870393087</v>
      </c>
      <c r="F158" s="1508">
        <v>337.41896483444623</v>
      </c>
      <c r="G158" s="1508">
        <v>340.54705152910299</v>
      </c>
      <c r="H158" s="1508">
        <v>308.40287862782122</v>
      </c>
      <c r="I158" s="1508">
        <v>315.8909229120539</v>
      </c>
      <c r="J158" s="1508">
        <v>319.68414471853384</v>
      </c>
      <c r="K158" s="1508">
        <v>361.41228997978089</v>
      </c>
      <c r="L158" s="1508">
        <v>374.91565991121001</v>
      </c>
      <c r="M158" s="1508">
        <v>201.32622924506316</v>
      </c>
      <c r="N158" s="1508">
        <v>284.40651068681069</v>
      </c>
      <c r="O158" s="1508">
        <v>292.83654214096384</v>
      </c>
      <c r="P158" s="1508">
        <v>298.58070833542848</v>
      </c>
      <c r="Q158" s="1508">
        <v>380.04609527409065</v>
      </c>
      <c r="R158" s="1508">
        <v>373.25418315704286</v>
      </c>
      <c r="S158" s="1508">
        <v>349.62430053768651</v>
      </c>
      <c r="T158" s="1508">
        <v>324.24133543042598</v>
      </c>
      <c r="U158" s="1508">
        <v>318.93570091879496</v>
      </c>
      <c r="V158" s="1508">
        <v>331.04761149947251</v>
      </c>
      <c r="W158" s="1508">
        <v>321.49694160687136</v>
      </c>
      <c r="X158" s="1508">
        <v>331.32764808516549</v>
      </c>
      <c r="Y158" s="1508">
        <v>343.71110898182121</v>
      </c>
      <c r="Z158" s="1508">
        <v>341.2700223678965</v>
      </c>
      <c r="AA158" s="1508">
        <v>515.05811946973358</v>
      </c>
      <c r="AB158" s="1508">
        <v>590.60136379723701</v>
      </c>
      <c r="AC158" s="1508">
        <v>596.90457152524527</v>
      </c>
      <c r="AD158" s="1508">
        <v>532.16381460256184</v>
      </c>
      <c r="AE158" s="1508">
        <v>548.30505355950208</v>
      </c>
      <c r="AF158" s="1508">
        <v>598.45151745870885</v>
      </c>
      <c r="AG158" s="1508">
        <v>743.75606299993899</v>
      </c>
      <c r="AH158" s="1508">
        <v>583.82516246711486</v>
      </c>
    </row>
    <row r="159" spans="1:35" x14ac:dyDescent="0.4">
      <c r="A159" s="108" t="s">
        <v>1667</v>
      </c>
      <c r="B159" s="1526" t="s">
        <v>458</v>
      </c>
      <c r="C159" s="207">
        <v>2835.6708282261638</v>
      </c>
      <c r="D159" s="207">
        <v>2474.874815949669</v>
      </c>
      <c r="E159" s="207">
        <v>1964.2559107421055</v>
      </c>
      <c r="F159" s="207">
        <v>2064.5891551481141</v>
      </c>
      <c r="G159" s="207">
        <v>1290.3911032892543</v>
      </c>
      <c r="H159" s="207">
        <v>10091.576109367901</v>
      </c>
      <c r="I159" s="207">
        <v>7362.7853901517774</v>
      </c>
      <c r="J159" s="207">
        <v>475.12692365830878</v>
      </c>
      <c r="K159" s="207">
        <v>468.77690892833641</v>
      </c>
      <c r="L159" s="207">
        <v>2944.0093639507008</v>
      </c>
      <c r="M159" s="207">
        <v>1655.4245668867914</v>
      </c>
      <c r="N159" s="207">
        <v>1833.3965448762056</v>
      </c>
      <c r="O159" s="207">
        <v>329.17583780766228</v>
      </c>
      <c r="P159" s="207">
        <v>308.33340533333438</v>
      </c>
      <c r="Q159" s="207">
        <v>3427.6761098498796</v>
      </c>
      <c r="R159" s="207">
        <v>2126.058340016787</v>
      </c>
      <c r="S159" s="207">
        <v>1634.2777202365764</v>
      </c>
      <c r="T159" s="207">
        <v>1729.3287201692187</v>
      </c>
      <c r="U159" s="207">
        <v>2199.748555368195</v>
      </c>
      <c r="V159" s="207">
        <v>1657.3577017650568</v>
      </c>
      <c r="W159" s="207">
        <v>1335.8176903709204</v>
      </c>
      <c r="X159" s="207">
        <v>1117.6822965457277</v>
      </c>
      <c r="Y159" s="207">
        <v>1303.7051460592074</v>
      </c>
      <c r="Z159" s="207">
        <v>819.84240792007745</v>
      </c>
      <c r="AA159" s="207">
        <v>998.01664049720262</v>
      </c>
      <c r="AB159" s="207">
        <v>1611.061352089913</v>
      </c>
      <c r="AC159" s="207">
        <v>2247.6296363269785</v>
      </c>
      <c r="AD159" s="207">
        <v>1095.5159402132463</v>
      </c>
      <c r="AE159" s="207">
        <v>1642.0795702176708</v>
      </c>
      <c r="AF159" s="207">
        <v>669.07605025449709</v>
      </c>
      <c r="AG159" s="207">
        <v>1811.0795572021398</v>
      </c>
      <c r="AH159" s="207">
        <v>1673.8080670337724</v>
      </c>
    </row>
    <row r="160" spans="1:35" x14ac:dyDescent="0.4">
      <c r="A160" s="1509" t="s">
        <v>1111</v>
      </c>
      <c r="B160" s="1510"/>
      <c r="C160" s="1511"/>
      <c r="D160" s="1511"/>
      <c r="E160" s="1511"/>
      <c r="F160" s="1511"/>
      <c r="G160" s="1511"/>
      <c r="H160" s="1511"/>
      <c r="I160" s="1511"/>
      <c r="J160" s="1511"/>
      <c r="K160" s="1511"/>
      <c r="L160" s="1511"/>
      <c r="M160" s="1511"/>
      <c r="N160" s="1511"/>
      <c r="O160" s="1511"/>
      <c r="P160" s="1511"/>
      <c r="Q160" s="1511"/>
      <c r="R160" s="1511"/>
      <c r="S160" s="1511"/>
      <c r="T160" s="1511"/>
      <c r="U160" s="1511"/>
      <c r="V160" s="1511"/>
      <c r="W160" s="1511"/>
      <c r="X160" s="1511"/>
      <c r="Y160" s="1511"/>
      <c r="Z160" s="1511"/>
      <c r="AA160" s="1511"/>
      <c r="AB160" s="1511"/>
      <c r="AC160" s="1511"/>
      <c r="AD160" s="1511"/>
      <c r="AE160" s="1511"/>
      <c r="AF160" s="1511"/>
      <c r="AG160" s="1511"/>
      <c r="AH160" s="1511"/>
    </row>
    <row r="161" spans="1:34" x14ac:dyDescent="0.4">
      <c r="A161" s="108"/>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c r="X161" s="207"/>
      <c r="Y161" s="207"/>
      <c r="Z161" s="207"/>
      <c r="AA161" s="207"/>
      <c r="AB161" s="207"/>
      <c r="AC161" s="207"/>
      <c r="AD161" s="207"/>
      <c r="AE161" s="207"/>
      <c r="AF161" s="207"/>
      <c r="AG161" s="207"/>
      <c r="AH161" s="207"/>
    </row>
    <row r="162" spans="1:34" ht="17" x14ac:dyDescent="0.45">
      <c r="A162" s="1492" t="s">
        <v>1682</v>
      </c>
      <c r="B162" s="207"/>
      <c r="C162" s="207"/>
      <c r="D162" s="207"/>
      <c r="E162" s="207"/>
      <c r="F162" s="207"/>
      <c r="G162" s="207"/>
      <c r="H162" s="207"/>
      <c r="I162" s="207"/>
      <c r="J162" s="207"/>
      <c r="K162" s="207"/>
      <c r="L162" s="207"/>
      <c r="M162" s="207"/>
      <c r="N162" s="207"/>
      <c r="O162" s="207"/>
      <c r="P162" s="207"/>
      <c r="Q162" s="207"/>
      <c r="R162" s="207"/>
      <c r="S162" s="207"/>
      <c r="T162" s="207"/>
      <c r="U162" s="207"/>
      <c r="V162" s="207"/>
      <c r="W162" s="207"/>
      <c r="X162" s="207"/>
      <c r="Y162" s="207"/>
      <c r="Z162" s="207"/>
      <c r="AA162" s="207"/>
      <c r="AB162" s="207"/>
      <c r="AC162" s="207"/>
      <c r="AD162" s="207"/>
      <c r="AE162" s="207"/>
      <c r="AF162" s="207"/>
      <c r="AG162" s="207"/>
      <c r="AH162" s="207"/>
    </row>
    <row r="163" spans="1:34" x14ac:dyDescent="0.4">
      <c r="A163" s="1501" t="s">
        <v>937</v>
      </c>
      <c r="B163" s="1501" t="s">
        <v>1627</v>
      </c>
      <c r="C163" s="1501" t="s">
        <v>1628</v>
      </c>
      <c r="D163" s="1501" t="s">
        <v>1629</v>
      </c>
      <c r="E163" s="1501" t="s">
        <v>1630</v>
      </c>
      <c r="F163" s="1501" t="s">
        <v>1631</v>
      </c>
      <c r="G163" s="1501" t="s">
        <v>1632</v>
      </c>
      <c r="H163" s="1501" t="s">
        <v>1633</v>
      </c>
      <c r="I163" s="1501" t="s">
        <v>1634</v>
      </c>
      <c r="J163" s="1501" t="s">
        <v>1635</v>
      </c>
      <c r="K163" s="1501" t="s">
        <v>1636</v>
      </c>
      <c r="L163" s="1501" t="s">
        <v>1637</v>
      </c>
      <c r="M163" s="1501" t="s">
        <v>1638</v>
      </c>
      <c r="N163" s="1501" t="s">
        <v>1639</v>
      </c>
      <c r="O163" s="1501" t="s">
        <v>1640</v>
      </c>
      <c r="P163" s="1501" t="s">
        <v>1641</v>
      </c>
      <c r="Q163" s="1501" t="s">
        <v>1642</v>
      </c>
      <c r="R163" s="1501" t="s">
        <v>1643</v>
      </c>
      <c r="S163" s="1501" t="s">
        <v>1644</v>
      </c>
      <c r="T163" s="1501" t="s">
        <v>1645</v>
      </c>
      <c r="U163" s="1501" t="s">
        <v>1646</v>
      </c>
      <c r="V163" s="1501" t="s">
        <v>1647</v>
      </c>
      <c r="W163" s="1501" t="s">
        <v>1648</v>
      </c>
      <c r="X163" s="1501" t="s">
        <v>1649</v>
      </c>
      <c r="Y163" s="1501" t="s">
        <v>1650</v>
      </c>
      <c r="Z163" s="1501" t="s">
        <v>1651</v>
      </c>
      <c r="AA163" s="1501" t="s">
        <v>1652</v>
      </c>
      <c r="AB163" s="1501" t="s">
        <v>1653</v>
      </c>
      <c r="AC163" s="1501" t="s">
        <v>1654</v>
      </c>
      <c r="AD163" s="1501" t="s">
        <v>1655</v>
      </c>
      <c r="AE163" s="1501" t="s">
        <v>1656</v>
      </c>
      <c r="AF163" s="1501" t="s">
        <v>1657</v>
      </c>
      <c r="AG163" s="1501" t="s">
        <v>1658</v>
      </c>
      <c r="AH163" s="1501" t="s">
        <v>1659</v>
      </c>
    </row>
    <row r="164" spans="1:34" x14ac:dyDescent="0.4">
      <c r="A164" s="1504" t="s">
        <v>1664</v>
      </c>
      <c r="B164" s="1505" t="s">
        <v>458</v>
      </c>
      <c r="C164" s="1503" t="s">
        <v>32</v>
      </c>
      <c r="D164" s="1503" t="s">
        <v>32</v>
      </c>
      <c r="E164" s="1503" t="s">
        <v>32</v>
      </c>
      <c r="F164" s="1503" t="s">
        <v>32</v>
      </c>
      <c r="G164" s="1503" t="s">
        <v>32</v>
      </c>
      <c r="H164" s="1503" t="s">
        <v>32</v>
      </c>
      <c r="I164" s="1503" t="s">
        <v>32</v>
      </c>
      <c r="J164" s="1503" t="s">
        <v>32</v>
      </c>
      <c r="K164" s="1503" t="s">
        <v>32</v>
      </c>
      <c r="L164" s="1503" t="s">
        <v>32</v>
      </c>
      <c r="M164" s="1503" t="s">
        <v>32</v>
      </c>
      <c r="N164" s="1503" t="s">
        <v>32</v>
      </c>
      <c r="O164" s="1503" t="s">
        <v>32</v>
      </c>
      <c r="P164" s="1503" t="s">
        <v>32</v>
      </c>
      <c r="Q164" s="1503" t="s">
        <v>32</v>
      </c>
      <c r="R164" s="1503" t="s">
        <v>32</v>
      </c>
      <c r="S164" s="1503" t="s">
        <v>32</v>
      </c>
      <c r="T164" s="1503" t="s">
        <v>32</v>
      </c>
      <c r="U164" s="1503" t="s">
        <v>32</v>
      </c>
      <c r="V164" s="1503" t="s">
        <v>32</v>
      </c>
      <c r="W164" s="1503" t="s">
        <v>32</v>
      </c>
      <c r="X164" s="1503" t="s">
        <v>32</v>
      </c>
      <c r="Y164" s="1503" t="s">
        <v>32</v>
      </c>
      <c r="Z164" s="1503" t="s">
        <v>32</v>
      </c>
      <c r="AA164" s="1503" t="s">
        <v>32</v>
      </c>
      <c r="AB164" s="1503" t="s">
        <v>32</v>
      </c>
      <c r="AC164" s="1503" t="s">
        <v>32</v>
      </c>
      <c r="AD164" s="1503" t="s">
        <v>32</v>
      </c>
      <c r="AE164" s="1503" t="s">
        <v>32</v>
      </c>
      <c r="AF164" s="1503" t="s">
        <v>32</v>
      </c>
      <c r="AG164" s="1503" t="s">
        <v>32</v>
      </c>
      <c r="AH164" s="1503" t="s">
        <v>32</v>
      </c>
    </row>
    <row r="165" spans="1:34" x14ac:dyDescent="0.4">
      <c r="A165" s="1504" t="s">
        <v>1665</v>
      </c>
      <c r="B165" s="1505" t="s">
        <v>458</v>
      </c>
      <c r="C165" s="1505">
        <v>1189.3716638399999</v>
      </c>
      <c r="D165" s="1505">
        <v>812.62027664000004</v>
      </c>
      <c r="E165" s="1505">
        <v>596.15810687999999</v>
      </c>
      <c r="F165" s="1505">
        <v>1171.6288630399999</v>
      </c>
      <c r="G165" s="1505">
        <v>1055.65889696</v>
      </c>
      <c r="H165" s="1505">
        <v>915.98152895999999</v>
      </c>
      <c r="I165" s="1505">
        <v>732.5134185600001</v>
      </c>
      <c r="J165" s="1505">
        <v>941.95396927999991</v>
      </c>
      <c r="K165" s="1505">
        <v>862.602124</v>
      </c>
      <c r="L165" s="1505">
        <v>1345.8858172800001</v>
      </c>
      <c r="M165" s="1505">
        <v>1556.2323833599996</v>
      </c>
      <c r="N165" s="1505">
        <v>895.59618336000005</v>
      </c>
      <c r="O165" s="1505">
        <v>1350.26489152</v>
      </c>
      <c r="P165" s="1505">
        <v>3282.4181479999997</v>
      </c>
      <c r="Q165" s="1505">
        <v>4560.9568235199995</v>
      </c>
      <c r="R165" s="1505">
        <v>4994.7871783999999</v>
      </c>
      <c r="S165" s="1505">
        <v>4665.6015976000008</v>
      </c>
      <c r="T165" s="1505">
        <v>2591.2794308799998</v>
      </c>
      <c r="U165" s="1505">
        <v>1981.5310936000003</v>
      </c>
      <c r="V165" s="1505">
        <v>2446.8454822400004</v>
      </c>
      <c r="W165" s="1505">
        <v>2508.4545267200001</v>
      </c>
      <c r="X165" s="1505">
        <v>849.54040255999996</v>
      </c>
      <c r="Y165" s="1505">
        <v>1136.6717704</v>
      </c>
      <c r="Z165" s="1505">
        <v>1529.7314340799999</v>
      </c>
      <c r="AA165" s="1505">
        <v>2013.2416312000003</v>
      </c>
      <c r="AB165" s="1505">
        <v>2511.7765830400003</v>
      </c>
      <c r="AC165" s="1505">
        <v>935.30985664000002</v>
      </c>
      <c r="AD165" s="1505">
        <v>1729.2813171200003</v>
      </c>
      <c r="AE165" s="1505">
        <v>1478.0130572800003</v>
      </c>
      <c r="AF165" s="1505">
        <v>3811.4556169599996</v>
      </c>
      <c r="AG165" s="1505">
        <v>3811.4556169599996</v>
      </c>
      <c r="AH165" s="1505">
        <v>3811.4556169599996</v>
      </c>
    </row>
    <row r="166" spans="1:34" x14ac:dyDescent="0.4">
      <c r="A166" s="1506" t="s">
        <v>60</v>
      </c>
      <c r="B166" s="1507" t="s">
        <v>458</v>
      </c>
      <c r="C166" s="1508" t="s">
        <v>32</v>
      </c>
      <c r="D166" s="1508" t="s">
        <v>32</v>
      </c>
      <c r="E166" s="1508" t="s">
        <v>32</v>
      </c>
      <c r="F166" s="1508" t="s">
        <v>32</v>
      </c>
      <c r="G166" s="1508" t="s">
        <v>32</v>
      </c>
      <c r="H166" s="1508" t="s">
        <v>32</v>
      </c>
      <c r="I166" s="1508" t="s">
        <v>32</v>
      </c>
      <c r="J166" s="1508" t="s">
        <v>32</v>
      </c>
      <c r="K166" s="1508" t="s">
        <v>32</v>
      </c>
      <c r="L166" s="1508" t="s">
        <v>32</v>
      </c>
      <c r="M166" s="1508" t="s">
        <v>32</v>
      </c>
      <c r="N166" s="1508" t="s">
        <v>32</v>
      </c>
      <c r="O166" s="1508" t="s">
        <v>32</v>
      </c>
      <c r="P166" s="1508" t="s">
        <v>32</v>
      </c>
      <c r="Q166" s="1508" t="s">
        <v>32</v>
      </c>
      <c r="R166" s="1508" t="s">
        <v>32</v>
      </c>
      <c r="S166" s="1508" t="s">
        <v>32</v>
      </c>
      <c r="T166" s="1508" t="s">
        <v>32</v>
      </c>
      <c r="U166" s="1508" t="s">
        <v>32</v>
      </c>
      <c r="V166" s="1508" t="s">
        <v>32</v>
      </c>
      <c r="W166" s="1508" t="s">
        <v>32</v>
      </c>
      <c r="X166" s="1508" t="s">
        <v>32</v>
      </c>
      <c r="Y166" s="1508" t="s">
        <v>32</v>
      </c>
      <c r="Z166" s="1508" t="s">
        <v>32</v>
      </c>
      <c r="AA166" s="1508" t="s">
        <v>32</v>
      </c>
      <c r="AB166" s="1508" t="s">
        <v>32</v>
      </c>
      <c r="AC166" s="1508" t="s">
        <v>32</v>
      </c>
      <c r="AD166" s="1508" t="s">
        <v>32</v>
      </c>
      <c r="AE166" s="1508" t="s">
        <v>32</v>
      </c>
      <c r="AF166" s="1508" t="s">
        <v>32</v>
      </c>
      <c r="AG166" s="1508" t="s">
        <v>32</v>
      </c>
      <c r="AH166" s="1508" t="s">
        <v>32</v>
      </c>
    </row>
    <row r="167" spans="1:34" x14ac:dyDescent="0.4">
      <c r="A167" s="108" t="s">
        <v>1669</v>
      </c>
      <c r="B167" s="1526" t="s">
        <v>458</v>
      </c>
      <c r="C167" s="207">
        <v>1189.3716638399999</v>
      </c>
      <c r="D167" s="207">
        <v>812.62027664000004</v>
      </c>
      <c r="E167" s="207">
        <v>596.15810687999999</v>
      </c>
      <c r="F167" s="207">
        <v>1171.6288630399999</v>
      </c>
      <c r="G167" s="207">
        <v>1055.65889696</v>
      </c>
      <c r="H167" s="207">
        <v>915.98152895999999</v>
      </c>
      <c r="I167" s="207">
        <v>732.5134185600001</v>
      </c>
      <c r="J167" s="207">
        <v>941.95396927999991</v>
      </c>
      <c r="K167" s="207">
        <v>862.602124</v>
      </c>
      <c r="L167" s="207">
        <v>1345.8858172800001</v>
      </c>
      <c r="M167" s="207">
        <v>1556.2323833599996</v>
      </c>
      <c r="N167" s="207">
        <v>895.59618336000005</v>
      </c>
      <c r="O167" s="207">
        <v>1350.26489152</v>
      </c>
      <c r="P167" s="207">
        <v>3282.4181479999997</v>
      </c>
      <c r="Q167" s="207">
        <v>4560.9568235199995</v>
      </c>
      <c r="R167" s="207">
        <v>4994.7871783999999</v>
      </c>
      <c r="S167" s="207">
        <v>4665.6015976000008</v>
      </c>
      <c r="T167" s="207">
        <v>2591.2794308799998</v>
      </c>
      <c r="U167" s="207">
        <v>1981.5310936000003</v>
      </c>
      <c r="V167" s="207">
        <v>2446.8454822400004</v>
      </c>
      <c r="W167" s="207">
        <v>2508.4545267200001</v>
      </c>
      <c r="X167" s="207">
        <v>849.54040255999996</v>
      </c>
      <c r="Y167" s="207">
        <v>1136.6717704</v>
      </c>
      <c r="Z167" s="207">
        <v>1529.7314340799999</v>
      </c>
      <c r="AA167" s="207">
        <v>2013.2416312000003</v>
      </c>
      <c r="AB167" s="207">
        <v>2511.7765830400003</v>
      </c>
      <c r="AC167" s="207">
        <v>935.30985664000002</v>
      </c>
      <c r="AD167" s="207">
        <v>1729.2813171200003</v>
      </c>
      <c r="AE167" s="207">
        <v>1478.0130572800003</v>
      </c>
      <c r="AF167" s="207">
        <v>3811.4556169599996</v>
      </c>
      <c r="AG167" s="207">
        <v>3811.4556169599996</v>
      </c>
      <c r="AH167" s="207">
        <v>3811.4556169599996</v>
      </c>
    </row>
    <row r="168" spans="1:34" x14ac:dyDescent="0.4">
      <c r="A168" s="1509" t="s">
        <v>1111</v>
      </c>
      <c r="B168" s="1510"/>
      <c r="C168" s="1511"/>
      <c r="D168" s="1511"/>
      <c r="E168" s="1511"/>
      <c r="F168" s="1511"/>
      <c r="G168" s="1511"/>
      <c r="H168" s="1511"/>
      <c r="I168" s="1511"/>
      <c r="J168" s="1511"/>
      <c r="K168" s="1511"/>
      <c r="L168" s="1511"/>
      <c r="M168" s="1511"/>
      <c r="N168" s="1511"/>
      <c r="O168" s="1511"/>
      <c r="P168" s="1511"/>
      <c r="Q168" s="1511"/>
      <c r="R168" s="1511"/>
      <c r="S168" s="1511"/>
      <c r="T168" s="1511"/>
      <c r="U168" s="1511"/>
      <c r="V168" s="1511"/>
      <c r="W168" s="1511"/>
      <c r="X168" s="1511"/>
      <c r="Y168" s="1511"/>
      <c r="Z168" s="1511"/>
      <c r="AA168" s="1511"/>
      <c r="AB168" s="1511"/>
      <c r="AC168" s="1511"/>
      <c r="AD168" s="1511"/>
      <c r="AE168" s="1511"/>
      <c r="AF168" s="1511"/>
      <c r="AG168" s="1511"/>
      <c r="AH168" s="1511"/>
    </row>
    <row r="169" spans="1:34" x14ac:dyDescent="0.4">
      <c r="A169" s="108"/>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c r="X169" s="207"/>
      <c r="Y169" s="207"/>
      <c r="Z169" s="207"/>
      <c r="AA169" s="207"/>
      <c r="AB169" s="207"/>
      <c r="AC169" s="207"/>
      <c r="AD169" s="207"/>
      <c r="AE169" s="207"/>
      <c r="AF169" s="207"/>
      <c r="AG169" s="207"/>
      <c r="AH169" s="207"/>
    </row>
    <row r="170" spans="1:34" ht="17" x14ac:dyDescent="0.45">
      <c r="A170" s="1492" t="s">
        <v>1683</v>
      </c>
      <c r="B170" s="1491"/>
      <c r="C170" s="1491"/>
      <c r="D170" s="1491"/>
      <c r="E170" s="1491"/>
      <c r="F170" s="1491"/>
      <c r="G170" s="1491"/>
      <c r="H170" s="1491"/>
      <c r="I170" s="1491"/>
      <c r="J170" s="1491"/>
      <c r="K170" s="1491"/>
      <c r="L170" s="1491"/>
      <c r="M170" s="1491"/>
      <c r="N170" s="1491"/>
      <c r="O170" s="1491"/>
      <c r="P170" s="1491"/>
      <c r="Q170" s="1491"/>
      <c r="R170" s="1491"/>
      <c r="S170" s="1491"/>
      <c r="T170" s="1491"/>
      <c r="U170" s="1491"/>
      <c r="V170" s="1491"/>
      <c r="W170" s="1491"/>
      <c r="X170" s="1491"/>
      <c r="Y170" s="1491"/>
      <c r="Z170" s="1491"/>
      <c r="AA170" s="1491"/>
      <c r="AB170" s="1491"/>
      <c r="AC170" s="1491"/>
      <c r="AD170" s="1491"/>
      <c r="AE170" s="1491"/>
      <c r="AF170" s="1491"/>
      <c r="AG170" s="1491"/>
      <c r="AH170" s="1491"/>
    </row>
    <row r="171" spans="1:34" x14ac:dyDescent="0.4">
      <c r="A171" s="1501" t="s">
        <v>95</v>
      </c>
      <c r="B171" s="1501" t="s">
        <v>1627</v>
      </c>
      <c r="C171" s="1501" t="s">
        <v>1628</v>
      </c>
      <c r="D171" s="1501" t="s">
        <v>1629</v>
      </c>
      <c r="E171" s="1501" t="s">
        <v>1630</v>
      </c>
      <c r="F171" s="1501" t="s">
        <v>1631</v>
      </c>
      <c r="G171" s="1501" t="s">
        <v>1632</v>
      </c>
      <c r="H171" s="1501" t="s">
        <v>1633</v>
      </c>
      <c r="I171" s="1501" t="s">
        <v>1634</v>
      </c>
      <c r="J171" s="1501" t="s">
        <v>1635</v>
      </c>
      <c r="K171" s="1501" t="s">
        <v>1636</v>
      </c>
      <c r="L171" s="1501" t="s">
        <v>1637</v>
      </c>
      <c r="M171" s="1501" t="s">
        <v>1638</v>
      </c>
      <c r="N171" s="1501" t="s">
        <v>1639</v>
      </c>
      <c r="O171" s="1501" t="s">
        <v>1640</v>
      </c>
      <c r="P171" s="1501" t="s">
        <v>1641</v>
      </c>
      <c r="Q171" s="1501" t="s">
        <v>1642</v>
      </c>
      <c r="R171" s="1501" t="s">
        <v>1643</v>
      </c>
      <c r="S171" s="1501" t="s">
        <v>1644</v>
      </c>
      <c r="T171" s="1501" t="s">
        <v>1645</v>
      </c>
      <c r="U171" s="1501" t="s">
        <v>1646</v>
      </c>
      <c r="V171" s="1501" t="s">
        <v>1647</v>
      </c>
      <c r="W171" s="1501" t="s">
        <v>1648</v>
      </c>
      <c r="X171" s="1501" t="s">
        <v>1649</v>
      </c>
      <c r="Y171" s="1501" t="s">
        <v>1650</v>
      </c>
      <c r="Z171" s="1501" t="s">
        <v>1651</v>
      </c>
      <c r="AA171" s="1501" t="s">
        <v>1652</v>
      </c>
      <c r="AB171" s="1501" t="s">
        <v>1653</v>
      </c>
      <c r="AC171" s="1501" t="s">
        <v>1654</v>
      </c>
      <c r="AD171" s="1501" t="s">
        <v>1655</v>
      </c>
      <c r="AE171" s="1501" t="s">
        <v>1656</v>
      </c>
      <c r="AF171" s="1501" t="s">
        <v>1657</v>
      </c>
      <c r="AG171" s="1501" t="s">
        <v>1658</v>
      </c>
      <c r="AH171" s="1501" t="s">
        <v>1659</v>
      </c>
    </row>
    <row r="172" spans="1:34" x14ac:dyDescent="0.4">
      <c r="A172" s="1389" t="s">
        <v>1671</v>
      </c>
      <c r="B172" s="1505" t="s">
        <v>458</v>
      </c>
      <c r="C172" s="1512">
        <v>481.11833520150731</v>
      </c>
      <c r="D172" s="1512">
        <v>500.46435373881445</v>
      </c>
      <c r="E172" s="1512">
        <v>797.86995748588924</v>
      </c>
      <c r="F172" s="1512">
        <v>882.45911522224344</v>
      </c>
      <c r="G172" s="1512">
        <v>918.46814052892046</v>
      </c>
      <c r="H172" s="1512">
        <v>955.86772850677096</v>
      </c>
      <c r="I172" s="1512">
        <v>984.87945594514986</v>
      </c>
      <c r="J172" s="1512">
        <v>311.53582030231922</v>
      </c>
      <c r="K172" s="1512">
        <v>466.01279642126656</v>
      </c>
      <c r="L172" s="1512">
        <v>381.59840130869111</v>
      </c>
      <c r="M172" s="1512">
        <v>639.68856690167331</v>
      </c>
      <c r="N172" s="1512">
        <v>686.46689765257292</v>
      </c>
      <c r="O172" s="1512">
        <v>733.26934468367426</v>
      </c>
      <c r="P172" s="1512">
        <v>982.91513871375139</v>
      </c>
      <c r="Q172" s="1512">
        <v>1064.7595766944048</v>
      </c>
      <c r="R172" s="1512">
        <v>1595.1363696861692</v>
      </c>
      <c r="S172" s="1512">
        <v>1289.8443306786962</v>
      </c>
      <c r="T172" s="1512">
        <v>558.31806101864845</v>
      </c>
      <c r="U172" s="1512">
        <v>598.42765427396478</v>
      </c>
      <c r="V172" s="1512">
        <v>3128.9570230590803</v>
      </c>
      <c r="W172" s="1512">
        <v>3212.9657482181901</v>
      </c>
      <c r="X172" s="1512">
        <v>3538.8285714232065</v>
      </c>
      <c r="Y172" s="1512">
        <v>2463.5256318409802</v>
      </c>
      <c r="Z172" s="1512">
        <v>2427.0266326771894</v>
      </c>
      <c r="AA172" s="1512">
        <v>92.072919414100156</v>
      </c>
      <c r="AB172" s="1512">
        <v>82.369920488589969</v>
      </c>
      <c r="AC172" s="1512">
        <v>82.745403505197814</v>
      </c>
      <c r="AD172" s="1512">
        <v>79.194790834259791</v>
      </c>
      <c r="AE172" s="1512">
        <v>64.337101688741569</v>
      </c>
      <c r="AF172" s="1512">
        <v>67.367318564248279</v>
      </c>
      <c r="AG172" s="1512">
        <v>73.954819003353975</v>
      </c>
      <c r="AH172" s="1512">
        <v>84.632290475628949</v>
      </c>
    </row>
    <row r="173" spans="1:34" x14ac:dyDescent="0.4">
      <c r="A173" s="1389" t="s">
        <v>1672</v>
      </c>
      <c r="B173" s="1505" t="s">
        <v>458</v>
      </c>
      <c r="C173" s="1512">
        <v>1763.3252443534313</v>
      </c>
      <c r="D173" s="1512">
        <v>1794.9840137466254</v>
      </c>
      <c r="E173" s="1512">
        <v>0</v>
      </c>
      <c r="F173" s="1512">
        <v>2414.9734117066514</v>
      </c>
      <c r="G173" s="1512">
        <v>2632.2077683029602</v>
      </c>
      <c r="H173" s="1512">
        <v>2611.9450478969397</v>
      </c>
      <c r="I173" s="1512">
        <v>2799.3675225197962</v>
      </c>
      <c r="J173" s="1512">
        <v>2439.5087500539726</v>
      </c>
      <c r="K173" s="1512">
        <v>1703.7174457368687</v>
      </c>
      <c r="L173" s="1512">
        <v>1708.7244049018736</v>
      </c>
      <c r="M173" s="1512">
        <v>6730.4178484387185</v>
      </c>
      <c r="N173" s="1512">
        <v>6457.6101462701981</v>
      </c>
      <c r="O173" s="1512">
        <v>6368.7046363335758</v>
      </c>
      <c r="P173" s="1512">
        <v>6014.1524516484833</v>
      </c>
      <c r="Q173" s="1512">
        <v>5555.5146104856058</v>
      </c>
      <c r="R173" s="1512">
        <v>6178.2662924446295</v>
      </c>
      <c r="S173" s="1512">
        <v>4466.6992564671837</v>
      </c>
      <c r="T173" s="1512">
        <v>4192.7052800084357</v>
      </c>
      <c r="U173" s="1512">
        <v>4013.0422644715782</v>
      </c>
      <c r="V173" s="1512">
        <v>5060.599574022709</v>
      </c>
      <c r="W173" s="1512">
        <v>4912.0099450350299</v>
      </c>
      <c r="X173" s="1512">
        <v>5022.376379939451</v>
      </c>
      <c r="Y173" s="1512">
        <v>8947.3784398368171</v>
      </c>
      <c r="Z173" s="1512">
        <v>5725.7568789517854</v>
      </c>
      <c r="AA173" s="1512">
        <v>1546.3095434146264</v>
      </c>
      <c r="AB173" s="1512">
        <v>1569.6465256755241</v>
      </c>
      <c r="AC173" s="1512">
        <v>1573.7512363940725</v>
      </c>
      <c r="AD173" s="1512">
        <v>1614.5950627293166</v>
      </c>
      <c r="AE173" s="1512">
        <v>1662.9195212298932</v>
      </c>
      <c r="AF173" s="1512">
        <v>1645.5153652483439</v>
      </c>
      <c r="AG173" s="1512">
        <v>1530.3984618026523</v>
      </c>
      <c r="AH173" s="1512">
        <v>780.92888246735208</v>
      </c>
    </row>
    <row r="174" spans="1:34" x14ac:dyDescent="0.4">
      <c r="A174" s="1389" t="s">
        <v>1673</v>
      </c>
      <c r="B174" s="1505" t="s">
        <v>458</v>
      </c>
      <c r="C174" s="1512">
        <v>20658.230443839206</v>
      </c>
      <c r="D174" s="1512">
        <v>21558.317375937644</v>
      </c>
      <c r="E174" s="1512">
        <v>19548.095462598485</v>
      </c>
      <c r="F174" s="1512">
        <v>20816.957212040164</v>
      </c>
      <c r="G174" s="1512">
        <v>20602.886524354541</v>
      </c>
      <c r="H174" s="1512">
        <v>20748.890487578876</v>
      </c>
      <c r="I174" s="1512">
        <v>21538.95958018977</v>
      </c>
      <c r="J174" s="1512">
        <v>20211.470394066746</v>
      </c>
      <c r="K174" s="1512">
        <v>31007.200982865088</v>
      </c>
      <c r="L174" s="1512">
        <v>32908.546175181757</v>
      </c>
      <c r="M174" s="1512">
        <v>31326.601324168172</v>
      </c>
      <c r="N174" s="1512">
        <v>31710.545839462571</v>
      </c>
      <c r="O174" s="1512">
        <v>32724.485327549424</v>
      </c>
      <c r="P174" s="1512">
        <v>33950.837403298508</v>
      </c>
      <c r="Q174" s="1512">
        <v>35020.786243416704</v>
      </c>
      <c r="R174" s="1512">
        <v>40216.462476607936</v>
      </c>
      <c r="S174" s="1512">
        <v>41544.64627501076</v>
      </c>
      <c r="T174" s="1512">
        <v>42951.447312903598</v>
      </c>
      <c r="U174" s="1512">
        <v>43141.207603598603</v>
      </c>
      <c r="V174" s="1512">
        <v>43502.262904569601</v>
      </c>
      <c r="W174" s="1512">
        <v>48772.440232883266</v>
      </c>
      <c r="X174" s="1512">
        <v>42416.371274003061</v>
      </c>
      <c r="Y174" s="1512">
        <v>48905.511446751392</v>
      </c>
      <c r="Z174" s="1512">
        <v>49944.447416076677</v>
      </c>
      <c r="AA174" s="1512">
        <v>27845.260248494509</v>
      </c>
      <c r="AB174" s="1512">
        <v>27974.677491772891</v>
      </c>
      <c r="AC174" s="1512">
        <v>28251.249249715707</v>
      </c>
      <c r="AD174" s="1512">
        <v>28336.646207226393</v>
      </c>
      <c r="AE174" s="1512">
        <v>28664.496178435365</v>
      </c>
      <c r="AF174" s="1512">
        <v>26378.542940495641</v>
      </c>
      <c r="AG174" s="1512">
        <v>28762.751186745172</v>
      </c>
      <c r="AH174" s="1512">
        <v>31190.971119273516</v>
      </c>
    </row>
    <row r="175" spans="1:34" x14ac:dyDescent="0.4">
      <c r="A175" s="1389" t="s">
        <v>1674</v>
      </c>
      <c r="B175" s="1505" t="s">
        <v>458</v>
      </c>
      <c r="C175" s="1512">
        <v>2727.3886926208929</v>
      </c>
      <c r="D175" s="1512">
        <v>2809.1667056605711</v>
      </c>
      <c r="E175" s="1512">
        <v>1789.8782395643896</v>
      </c>
      <c r="F175" s="1512">
        <v>1959.5159828134188</v>
      </c>
      <c r="G175" s="1512">
        <v>2082.6146608568088</v>
      </c>
      <c r="H175" s="1512">
        <v>2127.9410406522297</v>
      </c>
      <c r="I175" s="1512">
        <v>2265.8669328576934</v>
      </c>
      <c r="J175" s="1512">
        <v>2306.8645463494863</v>
      </c>
      <c r="K175" s="1512">
        <v>2645.1188759593351</v>
      </c>
      <c r="L175" s="1512">
        <v>2912.9307121732804</v>
      </c>
      <c r="M175" s="1512">
        <v>7911.8311911085984</v>
      </c>
      <c r="N175" s="1512">
        <v>8445.1637950748718</v>
      </c>
      <c r="O175" s="1512">
        <v>9161.3657176583456</v>
      </c>
      <c r="P175" s="1512">
        <v>9993.7226374761358</v>
      </c>
      <c r="Q175" s="1512">
        <v>9396.0388368435852</v>
      </c>
      <c r="R175" s="1512">
        <v>10500.61681560324</v>
      </c>
      <c r="S175" s="1512">
        <v>8237.5610434776045</v>
      </c>
      <c r="T175" s="1512">
        <v>8455.2221709418263</v>
      </c>
      <c r="U175" s="1512">
        <v>8103.7379079565399</v>
      </c>
      <c r="V175" s="1512">
        <v>7894.4919038831022</v>
      </c>
      <c r="W175" s="1512">
        <v>9078.2331383201581</v>
      </c>
      <c r="X175" s="1512">
        <v>5767.9085703172432</v>
      </c>
      <c r="Y175" s="1512">
        <v>5990.9275272462592</v>
      </c>
      <c r="Z175" s="1512">
        <v>6039.8735040517095</v>
      </c>
      <c r="AA175" s="1512">
        <v>13048.940823483385</v>
      </c>
      <c r="AB175" s="1512">
        <v>13303.670876525091</v>
      </c>
      <c r="AC175" s="1512">
        <v>13521.879687109868</v>
      </c>
      <c r="AD175" s="1512">
        <v>13778.495880043478</v>
      </c>
      <c r="AE175" s="1512">
        <v>14048.984386783135</v>
      </c>
      <c r="AF175" s="1512">
        <v>14235.156330491773</v>
      </c>
      <c r="AG175" s="1512">
        <v>14289.045084814978</v>
      </c>
      <c r="AH175" s="1512">
        <v>18389.981690158416</v>
      </c>
    </row>
    <row r="176" spans="1:34" x14ac:dyDescent="0.4">
      <c r="A176" s="1389" t="s">
        <v>1675</v>
      </c>
      <c r="B176" s="1505" t="s">
        <v>458</v>
      </c>
      <c r="C176" s="1512">
        <v>2013.3984175328796</v>
      </c>
      <c r="D176" s="1512">
        <v>1508.3060270001586</v>
      </c>
      <c r="E176" s="1512">
        <v>1182.2457569829994</v>
      </c>
      <c r="F176" s="1512">
        <v>886.28823156735575</v>
      </c>
      <c r="G176" s="1512">
        <v>710.10794879030925</v>
      </c>
      <c r="H176" s="1512">
        <v>1314.3809818024865</v>
      </c>
      <c r="I176" s="1512">
        <v>1123.3077613676003</v>
      </c>
      <c r="J176" s="1512">
        <v>923.36215126192883</v>
      </c>
      <c r="K176" s="1512">
        <v>1823.9095944572614</v>
      </c>
      <c r="L176" s="1512">
        <v>977.8638768422602</v>
      </c>
      <c r="M176" s="1512">
        <v>1146.4397669852531</v>
      </c>
      <c r="N176" s="1512">
        <v>1737.0870501822233</v>
      </c>
      <c r="O176" s="1512">
        <v>1652.7992417760042</v>
      </c>
      <c r="P176" s="1512">
        <v>1721.8766171366499</v>
      </c>
      <c r="Q176" s="1512">
        <v>1136.6158290013943</v>
      </c>
      <c r="R176" s="1512">
        <v>1860.6880976164443</v>
      </c>
      <c r="S176" s="1512">
        <v>1100.8099562038835</v>
      </c>
      <c r="T176" s="1512">
        <v>451.2243890135129</v>
      </c>
      <c r="U176" s="1512">
        <v>527.68595728784078</v>
      </c>
      <c r="V176" s="1512">
        <v>355.84608429775244</v>
      </c>
      <c r="W176" s="1512">
        <v>478.47523415678234</v>
      </c>
      <c r="X176" s="1512">
        <v>608.39236004501652</v>
      </c>
      <c r="Y176" s="1512">
        <v>384.04772071240365</v>
      </c>
      <c r="Z176" s="1512">
        <v>426.50839813446203</v>
      </c>
      <c r="AA176" s="1512">
        <v>418.58651986154007</v>
      </c>
      <c r="AB176" s="1512">
        <v>340.00270394371427</v>
      </c>
      <c r="AC176" s="1512">
        <v>484.81265343438793</v>
      </c>
      <c r="AD176" s="1512">
        <v>549.13738192148276</v>
      </c>
      <c r="AE176" s="1512">
        <v>308.31566708450958</v>
      </c>
      <c r="AF176" s="1512">
        <v>444.88691119367707</v>
      </c>
      <c r="AG176" s="1512">
        <v>444.88701453335136</v>
      </c>
      <c r="AH176" s="1512">
        <v>443.61968889165462</v>
      </c>
    </row>
    <row r="177" spans="1:34" x14ac:dyDescent="0.4">
      <c r="A177" s="1389" t="s">
        <v>1676</v>
      </c>
      <c r="B177" s="1505" t="s">
        <v>458</v>
      </c>
      <c r="C177" s="1512">
        <v>22238.818606292047</v>
      </c>
      <c r="D177" s="1512">
        <v>23252.397736371644</v>
      </c>
      <c r="E177" s="1512">
        <v>0</v>
      </c>
      <c r="F177" s="1512">
        <v>32484.415329606112</v>
      </c>
      <c r="G177" s="1512">
        <v>33931.192453172043</v>
      </c>
      <c r="H177" s="1512">
        <v>33431.926147724589</v>
      </c>
      <c r="I177" s="1512">
        <v>34072.430653394062</v>
      </c>
      <c r="J177" s="1512">
        <v>38253.983744502664</v>
      </c>
      <c r="K177" s="1512">
        <v>35490.881002561458</v>
      </c>
      <c r="L177" s="1512">
        <v>33780.826844102987</v>
      </c>
      <c r="M177" s="1512">
        <v>51147.387468182438</v>
      </c>
      <c r="N177" s="1512">
        <v>47246.130843136831</v>
      </c>
      <c r="O177" s="1512">
        <v>45889.627614929872</v>
      </c>
      <c r="P177" s="1512">
        <v>42038.300328620389</v>
      </c>
      <c r="Q177" s="1512">
        <v>43681.352049651548</v>
      </c>
      <c r="R177" s="1512">
        <v>50702.640312543444</v>
      </c>
      <c r="S177" s="1512">
        <v>42872.276292162634</v>
      </c>
      <c r="T177" s="1512">
        <v>37374.593078346727</v>
      </c>
      <c r="U177" s="1512">
        <v>35410.514794543342</v>
      </c>
      <c r="V177" s="1512">
        <v>35938.277272160369</v>
      </c>
      <c r="W177" s="1512">
        <v>36403.899773933925</v>
      </c>
      <c r="X177" s="1512">
        <v>34880.729631741779</v>
      </c>
      <c r="Y177" s="1512">
        <v>32115.94386594254</v>
      </c>
      <c r="Z177" s="1512">
        <v>33595.351174621283</v>
      </c>
      <c r="AA177" s="1512">
        <v>13717.574700084177</v>
      </c>
      <c r="AB177" s="1512">
        <v>14350.65495288835</v>
      </c>
      <c r="AC177" s="1512">
        <v>15676.231099311422</v>
      </c>
      <c r="AD177" s="1512">
        <v>16387.987183921749</v>
      </c>
      <c r="AE177" s="1512">
        <v>17330.816299844904</v>
      </c>
      <c r="AF177" s="1512">
        <v>15707.995274911043</v>
      </c>
      <c r="AG177" s="1512">
        <v>19884.406603294403</v>
      </c>
      <c r="AH177" s="1512">
        <v>10734.189456925924</v>
      </c>
    </row>
    <row r="178" spans="1:34" x14ac:dyDescent="0.4">
      <c r="A178" s="1513" t="s">
        <v>1677</v>
      </c>
      <c r="B178" s="1507" t="s">
        <v>458</v>
      </c>
      <c r="C178" s="1514">
        <v>5256.4549015503026</v>
      </c>
      <c r="D178" s="1514">
        <v>5342.2914361135518</v>
      </c>
      <c r="E178" s="1514">
        <v>4718.2305410337613</v>
      </c>
      <c r="F178" s="1514">
        <v>4895.0052758478296</v>
      </c>
      <c r="G178" s="1514">
        <v>4720.8620619664298</v>
      </c>
      <c r="H178" s="1514">
        <v>4634.126947508119</v>
      </c>
      <c r="I178" s="1514">
        <v>4689.3477107098061</v>
      </c>
      <c r="J178" s="1514">
        <v>4290.6063750169415</v>
      </c>
      <c r="K178" s="1514">
        <v>6419.5456057933188</v>
      </c>
      <c r="L178" s="1514">
        <v>6668.1427620494269</v>
      </c>
      <c r="M178" s="1514">
        <v>6226.5205157376986</v>
      </c>
      <c r="N178" s="1514">
        <v>6385.0775273158615</v>
      </c>
      <c r="O178" s="1514">
        <v>6724.4282885970351</v>
      </c>
      <c r="P178" s="1514">
        <v>7084.7726505267201</v>
      </c>
      <c r="Q178" s="1514">
        <v>7312.1749491223127</v>
      </c>
      <c r="R178" s="1514">
        <v>8941.191815382932</v>
      </c>
      <c r="S178" s="1514">
        <v>8695.7121410095988</v>
      </c>
      <c r="T178" s="1514">
        <v>8990.4525804549685</v>
      </c>
      <c r="U178" s="1514">
        <v>8834.8572872855875</v>
      </c>
      <c r="V178" s="1514">
        <v>8746.3257918613526</v>
      </c>
      <c r="W178" s="1514">
        <v>10514.989540000299</v>
      </c>
      <c r="X178" s="1514">
        <v>9472.2600668697287</v>
      </c>
      <c r="Y178" s="1514">
        <v>11135.476791060593</v>
      </c>
      <c r="Z178" s="1514">
        <v>11552.082255002306</v>
      </c>
      <c r="AA178" s="1514">
        <v>8771.3490438942717</v>
      </c>
      <c r="AB178" s="1514">
        <v>8765.1811798274412</v>
      </c>
      <c r="AC178" s="1514">
        <v>8985.9371757195586</v>
      </c>
      <c r="AD178" s="1514">
        <v>9300.3398999758301</v>
      </c>
      <c r="AE178" s="1514">
        <v>9610.8594659274604</v>
      </c>
      <c r="AF178" s="1514">
        <v>8785.7062899512421</v>
      </c>
      <c r="AG178" s="1514">
        <v>9609.7256190510143</v>
      </c>
      <c r="AH178" s="1514">
        <v>11603.660000393262</v>
      </c>
    </row>
    <row r="179" spans="1:34" x14ac:dyDescent="0.4">
      <c r="A179" s="108" t="s">
        <v>1678</v>
      </c>
      <c r="B179" s="1526" t="s">
        <v>458</v>
      </c>
      <c r="C179" s="1515">
        <v>55138.734641390271</v>
      </c>
      <c r="D179" s="1515">
        <v>56765.927648569006</v>
      </c>
      <c r="E179" s="1515">
        <v>28036.319957665524</v>
      </c>
      <c r="F179" s="1515">
        <v>64339.614558803776</v>
      </c>
      <c r="G179" s="1515">
        <v>65598.339557972009</v>
      </c>
      <c r="H179" s="1515">
        <v>65825.078381670013</v>
      </c>
      <c r="I179" s="1515">
        <v>67474.159616983874</v>
      </c>
      <c r="J179" s="1515">
        <v>68737.331781554065</v>
      </c>
      <c r="K179" s="1515">
        <v>79556.386303794599</v>
      </c>
      <c r="L179" s="1515">
        <v>79338.633176560266</v>
      </c>
      <c r="M179" s="1515">
        <v>105128.88668152256</v>
      </c>
      <c r="N179" s="1515">
        <v>102668.08209909512</v>
      </c>
      <c r="O179" s="1515">
        <v>103254.68017152793</v>
      </c>
      <c r="P179" s="1515">
        <v>101786.57722742064</v>
      </c>
      <c r="Q179" s="1515">
        <v>103167.24209521555</v>
      </c>
      <c r="R179" s="1515">
        <v>119995.0021798848</v>
      </c>
      <c r="S179" s="1515">
        <v>108207.54929501037</v>
      </c>
      <c r="T179" s="1515">
        <v>102973.9628726877</v>
      </c>
      <c r="U179" s="1515">
        <v>100629.47346941745</v>
      </c>
      <c r="V179" s="1515">
        <v>104626.76055385396</v>
      </c>
      <c r="W179" s="1515">
        <v>113373.01361254764</v>
      </c>
      <c r="X179" s="1515">
        <v>101706.86685433949</v>
      </c>
      <c r="Y179" s="1515">
        <v>109942.81142339097</v>
      </c>
      <c r="Z179" s="1515">
        <v>109711.04625951541</v>
      </c>
      <c r="AA179" s="1515">
        <v>65440.093798646601</v>
      </c>
      <c r="AB179" s="1515">
        <v>66386.203651121599</v>
      </c>
      <c r="AC179" s="1515">
        <v>68576.606505190211</v>
      </c>
      <c r="AD179" s="1515">
        <v>70046.396406652522</v>
      </c>
      <c r="AE179" s="1515">
        <v>71690.728620994021</v>
      </c>
      <c r="AF179" s="1515">
        <v>67265.170430855971</v>
      </c>
      <c r="AG179" s="1515">
        <v>74595.168789244926</v>
      </c>
      <c r="AH179" s="1515">
        <v>73227.983128585751</v>
      </c>
    </row>
    <row r="180" spans="1:34" x14ac:dyDescent="0.4">
      <c r="A180" s="1516" t="s">
        <v>1111</v>
      </c>
      <c r="B180" s="1517"/>
      <c r="C180" s="1517"/>
      <c r="D180" s="1517"/>
      <c r="E180" s="1517"/>
      <c r="F180" s="1517"/>
      <c r="G180" s="1517"/>
      <c r="H180" s="1517"/>
      <c r="I180" s="1517"/>
      <c r="J180" s="1517"/>
      <c r="K180" s="1517"/>
      <c r="L180" s="1517"/>
      <c r="M180" s="1517"/>
      <c r="N180" s="1517"/>
      <c r="O180" s="1517"/>
      <c r="P180" s="1517"/>
      <c r="Q180" s="1517"/>
      <c r="R180" s="1517"/>
      <c r="S180" s="1517"/>
      <c r="T180" s="1517"/>
      <c r="U180" s="1517"/>
      <c r="V180" s="1517"/>
      <c r="W180" s="1517"/>
      <c r="X180" s="1517"/>
      <c r="Y180" s="1517"/>
      <c r="Z180" s="1517"/>
      <c r="AA180" s="1517"/>
      <c r="AB180" s="1517"/>
      <c r="AC180" s="1517"/>
      <c r="AD180" s="1517"/>
      <c r="AE180" s="1517"/>
      <c r="AF180" s="1517"/>
      <c r="AG180" s="1517"/>
      <c r="AH180" s="1517"/>
    </row>
    <row r="181" spans="1:34" x14ac:dyDescent="0.4">
      <c r="A181" s="1491"/>
      <c r="B181" s="1491"/>
      <c r="C181" s="1491"/>
      <c r="D181" s="1491"/>
      <c r="E181" s="1491"/>
      <c r="F181" s="1491"/>
      <c r="G181" s="1491"/>
      <c r="H181" s="1491"/>
      <c r="I181" s="1491"/>
      <c r="J181" s="1491"/>
      <c r="K181" s="1491"/>
      <c r="L181" s="1491"/>
      <c r="M181" s="1491"/>
      <c r="N181" s="1491"/>
      <c r="O181" s="1491"/>
      <c r="P181" s="1491"/>
      <c r="Q181" s="1491"/>
      <c r="R181" s="1491"/>
      <c r="S181" s="1491"/>
      <c r="T181" s="1491"/>
      <c r="U181" s="1491"/>
      <c r="V181" s="1491"/>
      <c r="W181" s="1491"/>
      <c r="X181" s="1491"/>
      <c r="Y181" s="1491"/>
      <c r="Z181" s="1491"/>
      <c r="AA181" s="1491"/>
      <c r="AB181" s="1491"/>
      <c r="AC181" s="1491"/>
      <c r="AD181" s="1491"/>
      <c r="AE181" s="1491"/>
      <c r="AF181" s="1491"/>
      <c r="AG181" s="1491"/>
      <c r="AH181" s="1491"/>
    </row>
    <row r="182" spans="1:34" x14ac:dyDescent="0.4">
      <c r="A182" s="395" t="s">
        <v>1064</v>
      </c>
    </row>
  </sheetData>
  <phoneticPr fontId="34" type="noConversion"/>
  <conditionalFormatting sqref="G1:H17 G18">
    <cfRule type="cellIs" dxfId="26" priority="1" stopIfTrue="1" operator="equal">
      <formula>0</formula>
    </cfRule>
    <cfRule type="cellIs" dxfId="25" priority="2" stopIfTrue="1" operator="notEqual">
      <formula>0</formula>
    </cfRule>
  </conditionalFormatting>
  <hyperlinks>
    <hyperlink ref="A2" location="Contents!A1" display="Return to Contents tab" xr:uid="{5C94CDA4-F2B7-4BBC-AFDA-9A80401364D7}"/>
    <hyperlink ref="A3" location="'Mobile CH4 and N2O'!A5" display="Go to Data on Mobile CH4 and N2O Worksheet" xr:uid="{8F1C95A6-BBD0-41D4-9A1C-265F53A05E2A}"/>
  </hyperlinks>
  <pageMargins left="0.7" right="0.7" top="0.75" bottom="0.75" header="0.3" footer="0.3"/>
  <pageSetup scale="24" orientation="landscape" r:id="rId1"/>
  <headerFooter>
    <oddFooter>&amp;L&amp;F &amp;A&amp;R Page &amp;P of &amp;N</oddFooter>
  </headerFooter>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AL544"/>
  <sheetViews>
    <sheetView zoomScaleNormal="100" zoomScaleSheetLayoutView="30" workbookViewId="0">
      <pane xSplit="1" topLeftCell="B1" activePane="topRight" state="frozen"/>
      <selection activeCell="A133" sqref="A133"/>
      <selection pane="topRight"/>
    </sheetView>
  </sheetViews>
  <sheetFormatPr defaultColWidth="8.81640625" defaultRowHeight="16" x14ac:dyDescent="0.4"/>
  <cols>
    <col min="1" max="1" width="68.1796875" style="3" customWidth="1"/>
    <col min="2" max="2" width="25.81640625" style="3" customWidth="1"/>
    <col min="3" max="3" width="15.1796875" style="3" customWidth="1"/>
    <col min="4" max="4" width="15.26953125" style="3" customWidth="1"/>
    <col min="5" max="37" width="15.1796875" style="3" customWidth="1"/>
    <col min="38" max="38" width="13.453125" style="3" customWidth="1"/>
    <col min="39" max="16384" width="8.81640625" style="3"/>
  </cols>
  <sheetData>
    <row r="1" spans="1:27" ht="21" x14ac:dyDescent="0.5">
      <c r="A1" s="52" t="s">
        <v>696</v>
      </c>
      <c r="B1" s="501"/>
      <c r="C1" s="501"/>
      <c r="E1" s="501"/>
      <c r="F1" s="501"/>
      <c r="G1" s="501"/>
      <c r="H1" s="501"/>
      <c r="I1" s="501"/>
      <c r="J1" s="501"/>
      <c r="K1" s="501"/>
      <c r="L1" s="501"/>
      <c r="M1" s="501"/>
      <c r="N1" s="501"/>
      <c r="O1" s="501"/>
      <c r="P1" s="501"/>
      <c r="Q1" s="501"/>
      <c r="R1" s="501"/>
      <c r="S1" s="501"/>
      <c r="T1" s="501"/>
      <c r="U1" s="501"/>
      <c r="V1" s="501"/>
      <c r="W1" s="501"/>
      <c r="X1" s="501"/>
      <c r="Y1" s="501"/>
      <c r="Z1" s="501"/>
      <c r="AA1" s="501"/>
    </row>
    <row r="2" spans="1:27" x14ac:dyDescent="0.4">
      <c r="A2" s="1011" t="s">
        <v>730</v>
      </c>
      <c r="B2" s="501"/>
      <c r="C2" s="501"/>
      <c r="E2" s="501"/>
      <c r="F2" s="501"/>
      <c r="G2" s="501"/>
      <c r="H2" s="501"/>
      <c r="I2" s="501"/>
      <c r="J2" s="501"/>
      <c r="K2" s="501"/>
      <c r="L2" s="501"/>
      <c r="M2" s="501"/>
      <c r="N2" s="501"/>
      <c r="O2" s="501"/>
      <c r="P2" s="501"/>
      <c r="Q2" s="501"/>
      <c r="R2" s="501"/>
      <c r="S2" s="501"/>
      <c r="T2" s="501"/>
      <c r="U2" s="501"/>
      <c r="V2" s="501"/>
      <c r="W2" s="501"/>
      <c r="X2" s="501"/>
      <c r="Y2" s="501"/>
      <c r="Z2" s="501"/>
      <c r="AA2" s="501"/>
    </row>
    <row r="3" spans="1:27" x14ac:dyDescent="0.4">
      <c r="A3" s="1011" t="s">
        <v>783</v>
      </c>
      <c r="B3" s="501"/>
      <c r="C3" s="501"/>
      <c r="E3" s="501"/>
      <c r="F3" s="501"/>
      <c r="G3" s="501"/>
      <c r="H3" s="501"/>
      <c r="I3" s="501"/>
      <c r="J3" s="501"/>
      <c r="K3" s="501"/>
      <c r="L3" s="501"/>
      <c r="M3" s="501"/>
      <c r="N3" s="501"/>
      <c r="O3" s="501"/>
      <c r="P3" s="501"/>
      <c r="Q3" s="501"/>
      <c r="R3" s="501"/>
      <c r="S3" s="501"/>
      <c r="T3" s="501"/>
      <c r="U3" s="501"/>
      <c r="V3" s="501"/>
      <c r="W3" s="501"/>
      <c r="X3" s="501"/>
      <c r="Y3" s="501"/>
      <c r="Z3" s="501"/>
      <c r="AA3" s="501"/>
    </row>
    <row r="4" spans="1:27" x14ac:dyDescent="0.4">
      <c r="A4" s="1011" t="s">
        <v>1107</v>
      </c>
      <c r="B4" s="501"/>
      <c r="C4" s="501"/>
      <c r="E4" s="501"/>
      <c r="F4" s="501"/>
      <c r="G4" s="501"/>
      <c r="H4" s="501"/>
      <c r="I4" s="501"/>
      <c r="J4" s="501"/>
      <c r="K4" s="501"/>
      <c r="L4" s="501"/>
      <c r="M4" s="501"/>
      <c r="N4" s="501"/>
      <c r="O4" s="501"/>
      <c r="P4" s="501"/>
      <c r="Q4" s="501"/>
      <c r="R4" s="501"/>
      <c r="S4" s="501"/>
      <c r="T4" s="501"/>
      <c r="U4" s="501"/>
      <c r="V4" s="501"/>
      <c r="W4" s="501"/>
      <c r="X4" s="501"/>
      <c r="Y4" s="501"/>
      <c r="Z4" s="501"/>
      <c r="AA4" s="501"/>
    </row>
    <row r="5" spans="1:27" x14ac:dyDescent="0.4">
      <c r="A5" s="1011"/>
      <c r="B5" s="501"/>
      <c r="C5" s="501"/>
      <c r="E5" s="501"/>
      <c r="F5" s="501"/>
      <c r="G5" s="501"/>
      <c r="H5" s="501"/>
      <c r="I5" s="501"/>
      <c r="J5" s="501"/>
      <c r="K5" s="501"/>
      <c r="L5" s="501"/>
      <c r="M5" s="501"/>
      <c r="N5" s="501"/>
      <c r="O5" s="501"/>
      <c r="P5" s="501"/>
      <c r="Q5" s="501"/>
      <c r="R5" s="501"/>
      <c r="S5" s="501"/>
      <c r="T5" s="501"/>
      <c r="U5" s="501"/>
      <c r="V5" s="501"/>
      <c r="W5" s="501"/>
      <c r="X5" s="501"/>
      <c r="Y5" s="501"/>
      <c r="Z5" s="501"/>
      <c r="AA5" s="501"/>
    </row>
    <row r="6" spans="1:27" x14ac:dyDescent="0.4">
      <c r="A6" s="502" t="s">
        <v>1131</v>
      </c>
      <c r="B6" s="501"/>
      <c r="C6" s="501"/>
      <c r="E6" s="501"/>
      <c r="F6" s="501"/>
      <c r="G6" s="501"/>
      <c r="H6" s="501"/>
      <c r="I6" s="501"/>
      <c r="J6" s="501"/>
      <c r="K6" s="501"/>
      <c r="L6" s="501"/>
      <c r="M6" s="501"/>
      <c r="N6" s="501"/>
      <c r="O6" s="501"/>
      <c r="P6" s="501"/>
      <c r="Q6" s="501"/>
      <c r="R6" s="501"/>
      <c r="S6" s="501"/>
      <c r="T6" s="501"/>
      <c r="U6" s="501"/>
      <c r="V6" s="501"/>
      <c r="W6" s="501"/>
      <c r="X6" s="501"/>
      <c r="Y6" s="501"/>
      <c r="Z6" s="501"/>
      <c r="AA6" s="501"/>
    </row>
    <row r="7" spans="1:27" ht="17" x14ac:dyDescent="0.4">
      <c r="A7" s="1109" t="s">
        <v>1384</v>
      </c>
      <c r="B7" s="501"/>
      <c r="C7" s="501"/>
      <c r="E7" s="501"/>
      <c r="F7" s="501"/>
      <c r="G7" s="501"/>
      <c r="H7" s="501"/>
      <c r="I7" s="501"/>
      <c r="J7" s="501"/>
      <c r="K7" s="501"/>
      <c r="L7" s="501"/>
      <c r="M7" s="501"/>
      <c r="N7" s="501"/>
      <c r="O7" s="501"/>
      <c r="P7" s="501"/>
      <c r="Q7" s="501"/>
      <c r="R7" s="501"/>
      <c r="S7" s="501"/>
      <c r="T7" s="501"/>
      <c r="U7" s="501"/>
      <c r="V7" s="501"/>
      <c r="W7" s="501"/>
      <c r="X7" s="501"/>
      <c r="Y7" s="501"/>
      <c r="Z7" s="501"/>
      <c r="AA7" s="501"/>
    </row>
    <row r="8" spans="1:27" ht="17" x14ac:dyDescent="0.4">
      <c r="A8" s="1109" t="s">
        <v>1385</v>
      </c>
      <c r="B8" s="501"/>
      <c r="C8" s="501"/>
      <c r="E8" s="501"/>
      <c r="F8" s="501"/>
      <c r="G8" s="501"/>
      <c r="H8" s="501"/>
      <c r="I8" s="501"/>
      <c r="J8" s="501"/>
      <c r="K8" s="501"/>
      <c r="L8" s="501"/>
      <c r="M8" s="501"/>
      <c r="N8" s="501"/>
      <c r="O8" s="501"/>
      <c r="P8" s="501"/>
      <c r="Q8" s="501"/>
      <c r="R8" s="501"/>
      <c r="S8" s="501"/>
      <c r="T8" s="501"/>
      <c r="U8" s="501"/>
      <c r="V8" s="501"/>
      <c r="W8" s="501"/>
      <c r="X8" s="501"/>
      <c r="Y8" s="501"/>
      <c r="Z8" s="501"/>
      <c r="AA8" s="501"/>
    </row>
    <row r="9" spans="1:27" x14ac:dyDescent="0.4">
      <c r="A9" s="1011"/>
      <c r="B9" s="501"/>
      <c r="C9" s="501"/>
      <c r="E9" s="501"/>
      <c r="F9" s="501"/>
      <c r="G9" s="501"/>
      <c r="H9" s="501"/>
      <c r="I9" s="501"/>
      <c r="J9" s="501"/>
      <c r="K9" s="501"/>
      <c r="L9" s="501"/>
      <c r="M9" s="501"/>
      <c r="N9" s="501"/>
      <c r="O9" s="501"/>
      <c r="P9" s="501"/>
      <c r="Q9" s="501"/>
      <c r="R9" s="501"/>
      <c r="S9" s="501"/>
      <c r="T9" s="501"/>
      <c r="U9" s="501"/>
      <c r="V9" s="501"/>
      <c r="W9" s="501"/>
      <c r="X9" s="501"/>
      <c r="Y9" s="501"/>
      <c r="Z9" s="501"/>
      <c r="AA9" s="501"/>
    </row>
    <row r="10" spans="1:27" x14ac:dyDescent="0.4">
      <c r="A10" s="1011"/>
      <c r="B10" s="501"/>
      <c r="C10" s="501"/>
      <c r="E10" s="501"/>
      <c r="F10" s="501"/>
      <c r="G10" s="501"/>
      <c r="H10" s="501"/>
      <c r="I10" s="501"/>
      <c r="J10" s="501"/>
      <c r="K10" s="501"/>
      <c r="L10" s="501"/>
      <c r="M10" s="501"/>
      <c r="N10" s="501"/>
      <c r="O10" s="501"/>
      <c r="P10" s="501"/>
      <c r="Q10" s="501"/>
      <c r="R10" s="501"/>
      <c r="S10" s="501"/>
      <c r="T10" s="501"/>
      <c r="U10" s="501"/>
      <c r="V10" s="501"/>
      <c r="W10" s="501"/>
      <c r="X10" s="501"/>
      <c r="Y10" s="501"/>
      <c r="Z10" s="501"/>
      <c r="AA10" s="501"/>
    </row>
    <row r="11" spans="1:27" x14ac:dyDescent="0.4">
      <c r="A11" s="1011"/>
      <c r="B11" s="501"/>
      <c r="C11" s="501"/>
      <c r="E11" s="501"/>
      <c r="F11" s="501"/>
      <c r="G11" s="501"/>
      <c r="H11" s="501"/>
      <c r="I11" s="501"/>
      <c r="J11" s="501"/>
      <c r="K11" s="501"/>
      <c r="L11" s="501"/>
      <c r="M11" s="501"/>
      <c r="N11" s="501"/>
      <c r="O11" s="501"/>
      <c r="P11" s="501"/>
      <c r="Q11" s="501"/>
      <c r="R11" s="501"/>
      <c r="S11" s="501"/>
      <c r="T11" s="501"/>
      <c r="U11" s="501"/>
      <c r="V11" s="501"/>
      <c r="W11" s="501"/>
      <c r="X11" s="501"/>
      <c r="Y11" s="501"/>
      <c r="Z11" s="501"/>
      <c r="AA11" s="501"/>
    </row>
    <row r="12" spans="1:27" x14ac:dyDescent="0.4">
      <c r="A12" s="1011"/>
      <c r="B12" s="501"/>
      <c r="C12" s="501"/>
      <c r="E12" s="501"/>
      <c r="F12" s="501"/>
      <c r="G12" s="501"/>
      <c r="H12" s="501"/>
      <c r="I12" s="501"/>
      <c r="J12" s="501"/>
      <c r="K12" s="501"/>
      <c r="L12" s="501"/>
      <c r="M12" s="501"/>
      <c r="N12" s="501"/>
      <c r="O12" s="501"/>
      <c r="P12" s="501"/>
      <c r="Q12" s="501"/>
      <c r="R12" s="501"/>
      <c r="S12" s="501"/>
      <c r="T12" s="501"/>
      <c r="U12" s="501"/>
      <c r="V12" s="501"/>
      <c r="W12" s="501"/>
      <c r="X12" s="501"/>
      <c r="Y12" s="501"/>
      <c r="Z12" s="501"/>
      <c r="AA12" s="501"/>
    </row>
    <row r="13" spans="1:27" x14ac:dyDescent="0.4">
      <c r="A13" s="1011"/>
      <c r="B13" s="501"/>
      <c r="C13" s="501"/>
      <c r="E13" s="501"/>
      <c r="F13" s="501"/>
      <c r="G13" s="501"/>
      <c r="H13" s="501"/>
      <c r="I13" s="501"/>
      <c r="J13" s="501"/>
      <c r="K13" s="501"/>
      <c r="L13" s="501"/>
      <c r="M13" s="501"/>
      <c r="N13" s="501"/>
      <c r="O13" s="501"/>
      <c r="P13" s="501"/>
      <c r="Q13" s="501"/>
      <c r="R13" s="501"/>
      <c r="S13" s="501"/>
      <c r="T13" s="501"/>
      <c r="U13" s="501"/>
      <c r="V13" s="501"/>
      <c r="W13" s="501"/>
      <c r="X13" s="501"/>
      <c r="Y13" s="501"/>
      <c r="Z13" s="501"/>
      <c r="AA13" s="501"/>
    </row>
    <row r="14" spans="1:27" x14ac:dyDescent="0.4">
      <c r="A14" s="1011"/>
      <c r="B14" s="501"/>
      <c r="C14" s="501"/>
      <c r="E14" s="501"/>
      <c r="F14" s="501"/>
      <c r="G14" s="501"/>
      <c r="H14" s="501"/>
      <c r="I14" s="501"/>
      <c r="J14" s="501"/>
      <c r="K14" s="501"/>
      <c r="L14" s="501"/>
      <c r="M14" s="501"/>
      <c r="N14" s="501"/>
      <c r="O14" s="501"/>
      <c r="P14" s="501"/>
      <c r="Q14" s="501"/>
      <c r="R14" s="501"/>
      <c r="S14" s="501"/>
      <c r="T14" s="501"/>
      <c r="U14" s="501"/>
      <c r="V14" s="501"/>
      <c r="W14" s="501"/>
      <c r="X14" s="501"/>
      <c r="Y14" s="501"/>
      <c r="Z14" s="501"/>
      <c r="AA14" s="501"/>
    </row>
    <row r="15" spans="1:27" x14ac:dyDescent="0.4">
      <c r="A15" s="1011"/>
      <c r="B15" s="501"/>
      <c r="C15" s="501"/>
      <c r="E15" s="501"/>
      <c r="F15" s="501"/>
      <c r="G15" s="501"/>
      <c r="H15" s="501"/>
      <c r="I15" s="501"/>
      <c r="J15" s="501"/>
      <c r="K15" s="501"/>
      <c r="L15" s="501"/>
      <c r="M15" s="501"/>
      <c r="N15" s="501"/>
      <c r="O15" s="501"/>
      <c r="P15" s="501"/>
      <c r="Q15" s="501"/>
      <c r="R15" s="501"/>
      <c r="S15" s="501"/>
      <c r="T15" s="501"/>
      <c r="U15" s="501"/>
      <c r="V15" s="501"/>
      <c r="W15" s="501"/>
      <c r="X15" s="501"/>
      <c r="Y15" s="501"/>
      <c r="Z15" s="501"/>
      <c r="AA15" s="501"/>
    </row>
    <row r="16" spans="1:27" x14ac:dyDescent="0.4">
      <c r="A16" s="1011"/>
      <c r="B16" s="501"/>
      <c r="C16" s="501"/>
      <c r="E16" s="501"/>
      <c r="F16" s="501"/>
      <c r="G16" s="501"/>
      <c r="H16" s="501"/>
      <c r="I16" s="501"/>
      <c r="J16" s="501"/>
      <c r="K16" s="501"/>
      <c r="L16" s="501"/>
      <c r="M16" s="501"/>
      <c r="N16" s="501"/>
      <c r="O16" s="501"/>
      <c r="P16" s="501"/>
      <c r="Q16" s="501"/>
      <c r="R16" s="501"/>
      <c r="S16" s="501"/>
      <c r="T16" s="501"/>
      <c r="U16" s="501"/>
      <c r="V16" s="501"/>
      <c r="W16" s="501"/>
      <c r="X16" s="501"/>
      <c r="Y16" s="501"/>
      <c r="Z16" s="501"/>
      <c r="AA16" s="501"/>
    </row>
    <row r="17" spans="1:27" x14ac:dyDescent="0.4">
      <c r="A17" s="1011"/>
      <c r="B17" s="501"/>
      <c r="C17" s="501"/>
      <c r="E17" s="501"/>
      <c r="F17" s="501"/>
      <c r="G17" s="501"/>
      <c r="H17" s="501"/>
      <c r="I17" s="501"/>
      <c r="J17" s="501"/>
      <c r="K17" s="501"/>
      <c r="L17" s="501"/>
      <c r="M17" s="501"/>
      <c r="N17" s="501"/>
      <c r="O17" s="501"/>
      <c r="P17" s="501"/>
      <c r="Q17" s="501"/>
      <c r="R17" s="501"/>
      <c r="S17" s="501"/>
      <c r="T17" s="501"/>
      <c r="U17" s="501"/>
      <c r="V17" s="501"/>
      <c r="W17" s="501"/>
      <c r="X17" s="501"/>
      <c r="Y17" s="501"/>
      <c r="Z17" s="501"/>
      <c r="AA17" s="501"/>
    </row>
    <row r="18" spans="1:27" x14ac:dyDescent="0.4">
      <c r="A18" s="1011"/>
      <c r="B18" s="501"/>
      <c r="C18" s="501"/>
      <c r="E18" s="501"/>
      <c r="F18" s="501"/>
      <c r="G18" s="501"/>
      <c r="H18" s="501"/>
      <c r="I18" s="501"/>
      <c r="J18" s="501"/>
      <c r="K18" s="501"/>
      <c r="L18" s="501"/>
      <c r="M18" s="501"/>
      <c r="N18" s="501"/>
      <c r="O18" s="501"/>
      <c r="P18" s="501"/>
      <c r="Q18" s="501"/>
      <c r="R18" s="501"/>
      <c r="S18" s="501"/>
      <c r="T18" s="501"/>
      <c r="U18" s="501"/>
      <c r="V18" s="501"/>
      <c r="W18" s="501"/>
      <c r="X18" s="501"/>
      <c r="Y18" s="501"/>
      <c r="Z18" s="501"/>
      <c r="AA18" s="501"/>
    </row>
    <row r="19" spans="1:27" x14ac:dyDescent="0.4">
      <c r="A19" s="1011"/>
      <c r="B19" s="501"/>
      <c r="C19" s="501"/>
      <c r="E19" s="501"/>
      <c r="F19" s="501"/>
      <c r="G19" s="501"/>
      <c r="H19" s="501"/>
      <c r="I19" s="501"/>
      <c r="J19" s="501"/>
      <c r="K19" s="501"/>
      <c r="L19" s="501"/>
      <c r="M19" s="501"/>
      <c r="N19" s="501"/>
      <c r="O19" s="501"/>
      <c r="P19" s="501"/>
      <c r="Q19" s="501"/>
      <c r="R19" s="501"/>
      <c r="S19" s="501"/>
      <c r="T19" s="501"/>
      <c r="U19" s="501"/>
      <c r="V19" s="501"/>
      <c r="W19" s="501"/>
      <c r="X19" s="501"/>
      <c r="Y19" s="501"/>
      <c r="Z19" s="501"/>
      <c r="AA19" s="501"/>
    </row>
    <row r="20" spans="1:27" x14ac:dyDescent="0.4">
      <c r="A20" s="1011"/>
      <c r="B20" s="501"/>
      <c r="C20" s="501"/>
      <c r="E20" s="501"/>
      <c r="F20" s="501"/>
      <c r="G20" s="501"/>
      <c r="H20" s="501"/>
      <c r="I20" s="501"/>
      <c r="J20" s="501"/>
      <c r="K20" s="501"/>
      <c r="L20" s="501"/>
      <c r="M20" s="501"/>
      <c r="N20" s="501"/>
      <c r="O20" s="501"/>
      <c r="P20" s="501"/>
      <c r="Q20" s="501"/>
      <c r="R20" s="501"/>
      <c r="S20" s="501"/>
      <c r="T20" s="501"/>
      <c r="U20" s="501"/>
      <c r="V20" s="501"/>
      <c r="W20" s="501"/>
      <c r="X20" s="501"/>
      <c r="Y20" s="501"/>
      <c r="Z20" s="501"/>
      <c r="AA20" s="501"/>
    </row>
    <row r="21" spans="1:27" x14ac:dyDescent="0.4">
      <c r="A21" s="1011"/>
      <c r="B21" s="501"/>
      <c r="C21" s="501"/>
      <c r="E21" s="501"/>
      <c r="F21" s="501"/>
      <c r="G21" s="501"/>
      <c r="H21" s="501"/>
      <c r="I21" s="501"/>
      <c r="J21" s="501"/>
      <c r="K21" s="501"/>
      <c r="L21" s="501"/>
      <c r="M21" s="501"/>
      <c r="N21" s="501"/>
      <c r="O21" s="501"/>
      <c r="P21" s="501"/>
      <c r="Q21" s="501"/>
      <c r="R21" s="501"/>
      <c r="S21" s="501"/>
      <c r="T21" s="501"/>
      <c r="U21" s="501"/>
      <c r="V21" s="501"/>
      <c r="W21" s="501"/>
      <c r="X21" s="501"/>
      <c r="Y21" s="501"/>
      <c r="Z21" s="501"/>
      <c r="AA21" s="501"/>
    </row>
    <row r="22" spans="1:27" x14ac:dyDescent="0.4">
      <c r="A22" s="1011"/>
      <c r="B22" s="501"/>
      <c r="C22" s="501"/>
      <c r="E22" s="501"/>
      <c r="F22" s="501"/>
      <c r="G22" s="501"/>
      <c r="H22" s="501"/>
      <c r="I22" s="501"/>
      <c r="J22" s="501"/>
      <c r="K22" s="501"/>
      <c r="L22" s="501"/>
      <c r="M22" s="501"/>
      <c r="N22" s="501"/>
      <c r="O22" s="501"/>
      <c r="P22" s="501"/>
      <c r="Q22" s="501"/>
      <c r="R22" s="501"/>
      <c r="S22" s="501"/>
      <c r="T22" s="501"/>
      <c r="U22" s="501"/>
      <c r="V22" s="501"/>
      <c r="W22" s="501"/>
      <c r="X22" s="501"/>
      <c r="Y22" s="501"/>
      <c r="Z22" s="501"/>
      <c r="AA22" s="501"/>
    </row>
    <row r="23" spans="1:27" x14ac:dyDescent="0.4">
      <c r="A23" s="1011"/>
      <c r="B23" s="501"/>
      <c r="C23" s="501"/>
      <c r="E23" s="501"/>
      <c r="F23" s="501"/>
      <c r="G23" s="501"/>
      <c r="H23" s="501"/>
      <c r="I23" s="501"/>
      <c r="J23" s="501"/>
      <c r="K23" s="501"/>
      <c r="L23" s="501"/>
      <c r="M23" s="501"/>
      <c r="N23" s="501"/>
      <c r="O23" s="501"/>
      <c r="P23" s="501"/>
      <c r="Q23" s="501"/>
      <c r="R23" s="501"/>
      <c r="S23" s="501"/>
      <c r="T23" s="501"/>
      <c r="U23" s="501"/>
      <c r="V23" s="501"/>
      <c r="W23" s="501"/>
      <c r="X23" s="501"/>
      <c r="Y23" s="501"/>
      <c r="Z23" s="501"/>
      <c r="AA23" s="501"/>
    </row>
    <row r="24" spans="1:27" x14ac:dyDescent="0.4">
      <c r="A24" s="1011"/>
      <c r="B24" s="501"/>
      <c r="C24" s="501"/>
      <c r="E24" s="501"/>
      <c r="F24" s="501"/>
      <c r="G24" s="501"/>
      <c r="H24" s="501"/>
      <c r="I24" s="501"/>
      <c r="J24" s="501"/>
      <c r="K24" s="501"/>
      <c r="L24" s="501"/>
      <c r="M24" s="501"/>
      <c r="N24" s="501"/>
      <c r="O24" s="501"/>
      <c r="P24" s="501"/>
      <c r="Q24" s="501"/>
      <c r="R24" s="501"/>
      <c r="S24" s="501"/>
      <c r="T24" s="501"/>
      <c r="U24" s="501"/>
      <c r="V24" s="501"/>
      <c r="W24" s="501"/>
      <c r="X24" s="501"/>
      <c r="Y24" s="501"/>
      <c r="Z24" s="501"/>
      <c r="AA24" s="501"/>
    </row>
    <row r="25" spans="1:27" x14ac:dyDescent="0.4">
      <c r="A25" s="1011"/>
      <c r="B25" s="501"/>
      <c r="C25" s="501"/>
      <c r="E25" s="501"/>
      <c r="F25" s="501"/>
      <c r="G25" s="501"/>
      <c r="H25" s="501"/>
      <c r="I25" s="501"/>
      <c r="J25" s="501"/>
      <c r="K25" s="501"/>
      <c r="L25" s="501"/>
      <c r="M25" s="501"/>
      <c r="N25" s="501"/>
      <c r="O25" s="501"/>
      <c r="P25" s="501"/>
      <c r="Q25" s="501"/>
      <c r="R25" s="501"/>
      <c r="S25" s="501"/>
      <c r="T25" s="501"/>
      <c r="U25" s="501"/>
      <c r="V25" s="501"/>
      <c r="W25" s="501"/>
      <c r="X25" s="501"/>
      <c r="Y25" s="501"/>
      <c r="Z25" s="501"/>
      <c r="AA25" s="501"/>
    </row>
    <row r="26" spans="1:27" x14ac:dyDescent="0.4">
      <c r="A26" s="1011"/>
      <c r="B26" s="501"/>
      <c r="C26" s="501"/>
      <c r="E26" s="501"/>
      <c r="F26" s="501"/>
      <c r="G26" s="501"/>
      <c r="H26" s="501"/>
      <c r="I26" s="501"/>
      <c r="J26" s="501"/>
      <c r="K26" s="501"/>
      <c r="L26" s="501"/>
      <c r="M26" s="501"/>
      <c r="N26" s="501"/>
      <c r="O26" s="501"/>
      <c r="P26" s="501"/>
      <c r="Q26" s="501"/>
      <c r="R26" s="501"/>
      <c r="S26" s="501"/>
      <c r="T26" s="501"/>
      <c r="U26" s="501"/>
      <c r="V26" s="501"/>
      <c r="W26" s="501"/>
      <c r="X26" s="501"/>
      <c r="Y26" s="501"/>
      <c r="Z26" s="501"/>
      <c r="AA26" s="501"/>
    </row>
    <row r="27" spans="1:27" x14ac:dyDescent="0.4">
      <c r="A27" s="1011"/>
      <c r="B27" s="501"/>
      <c r="C27" s="501"/>
      <c r="E27" s="501"/>
      <c r="F27" s="501"/>
      <c r="G27" s="501"/>
      <c r="H27" s="501"/>
      <c r="I27" s="501"/>
      <c r="J27" s="501"/>
      <c r="K27" s="501"/>
      <c r="L27" s="501"/>
      <c r="M27" s="501"/>
      <c r="N27" s="501"/>
      <c r="O27" s="501"/>
      <c r="P27" s="501"/>
      <c r="Q27" s="501"/>
      <c r="R27" s="501"/>
      <c r="S27" s="501"/>
      <c r="T27" s="501"/>
      <c r="U27" s="501"/>
      <c r="V27" s="501"/>
      <c r="W27" s="501"/>
      <c r="X27" s="501"/>
      <c r="Y27" s="501"/>
      <c r="Z27" s="501"/>
      <c r="AA27" s="501"/>
    </row>
    <row r="28" spans="1:27" x14ac:dyDescent="0.4">
      <c r="A28" s="502" t="s">
        <v>1132</v>
      </c>
      <c r="B28" s="501"/>
      <c r="C28" s="501"/>
      <c r="E28" s="501"/>
      <c r="F28" s="501"/>
      <c r="G28" s="501"/>
      <c r="H28" s="501"/>
      <c r="I28" s="501"/>
      <c r="J28" s="501"/>
      <c r="K28" s="501"/>
      <c r="L28" s="501"/>
      <c r="M28" s="501"/>
      <c r="N28" s="501"/>
      <c r="O28" s="501"/>
      <c r="P28" s="501"/>
      <c r="Q28" s="501"/>
      <c r="R28" s="501"/>
      <c r="S28" s="501"/>
      <c r="T28" s="501"/>
      <c r="U28" s="501"/>
      <c r="V28" s="501"/>
      <c r="W28" s="501"/>
      <c r="X28" s="501"/>
      <c r="Y28" s="501"/>
      <c r="Z28" s="501"/>
      <c r="AA28" s="501"/>
    </row>
    <row r="29" spans="1:27" x14ac:dyDescent="0.4">
      <c r="A29" s="1109" t="s">
        <v>708</v>
      </c>
      <c r="B29" s="501"/>
      <c r="C29" s="501"/>
      <c r="E29" s="501"/>
      <c r="F29" s="501"/>
      <c r="G29" s="501"/>
      <c r="H29" s="501"/>
      <c r="I29" s="501"/>
      <c r="J29" s="501"/>
      <c r="K29" s="501"/>
      <c r="L29" s="501"/>
      <c r="M29" s="501"/>
      <c r="N29" s="501"/>
      <c r="O29" s="501"/>
      <c r="P29" s="501"/>
      <c r="Q29" s="501"/>
      <c r="R29" s="501"/>
      <c r="S29" s="501"/>
      <c r="T29" s="501"/>
      <c r="U29" s="501"/>
      <c r="V29" s="501"/>
      <c r="W29" s="501"/>
      <c r="X29" s="501"/>
      <c r="Y29" s="501"/>
      <c r="Z29" s="501"/>
      <c r="AA29" s="501"/>
    </row>
    <row r="30" spans="1:27" x14ac:dyDescent="0.4">
      <c r="A30" s="1109" t="s">
        <v>709</v>
      </c>
      <c r="B30" s="501"/>
      <c r="C30" s="501"/>
      <c r="E30" s="501"/>
      <c r="F30" s="501"/>
      <c r="G30" s="501"/>
      <c r="H30" s="501"/>
      <c r="I30" s="501"/>
      <c r="J30" s="501"/>
      <c r="K30" s="501"/>
      <c r="L30" s="501"/>
      <c r="M30" s="501"/>
      <c r="N30" s="501"/>
      <c r="O30" s="501"/>
      <c r="P30" s="501"/>
      <c r="Q30" s="501"/>
      <c r="R30" s="501"/>
      <c r="S30" s="501"/>
      <c r="T30" s="501"/>
      <c r="U30" s="501"/>
      <c r="V30" s="501"/>
      <c r="W30" s="501"/>
      <c r="X30" s="501"/>
      <c r="Y30" s="501"/>
      <c r="Z30" s="501"/>
      <c r="AA30" s="501"/>
    </row>
    <row r="31" spans="1:27" x14ac:dyDescent="0.4">
      <c r="A31" s="1109"/>
      <c r="B31" s="501"/>
      <c r="C31" s="501"/>
      <c r="E31" s="501"/>
      <c r="F31" s="501"/>
      <c r="G31" s="501"/>
      <c r="H31" s="501"/>
      <c r="I31" s="501"/>
      <c r="J31" s="501"/>
      <c r="K31" s="501"/>
      <c r="L31" s="501"/>
      <c r="M31" s="501"/>
      <c r="N31" s="501"/>
      <c r="O31" s="501"/>
      <c r="P31" s="501"/>
      <c r="Q31" s="501"/>
      <c r="R31" s="501"/>
      <c r="S31" s="501"/>
      <c r="T31" s="501"/>
      <c r="U31" s="501"/>
      <c r="V31" s="501"/>
      <c r="W31" s="501"/>
      <c r="X31" s="501"/>
      <c r="Y31" s="501"/>
      <c r="Z31" s="501"/>
      <c r="AA31" s="501"/>
    </row>
    <row r="32" spans="1:27" x14ac:dyDescent="0.4">
      <c r="A32" s="1109"/>
      <c r="B32" s="501"/>
      <c r="C32" s="501"/>
      <c r="E32" s="501"/>
      <c r="F32" s="501"/>
      <c r="G32" s="501"/>
      <c r="H32" s="501"/>
      <c r="I32" s="501"/>
      <c r="J32" s="501"/>
      <c r="K32" s="501"/>
      <c r="L32" s="501"/>
      <c r="M32" s="501"/>
      <c r="N32" s="501"/>
      <c r="O32" s="501"/>
      <c r="P32" s="501"/>
      <c r="Q32" s="501"/>
      <c r="R32" s="501"/>
      <c r="S32" s="501"/>
      <c r="T32" s="501"/>
      <c r="U32" s="501"/>
      <c r="V32" s="501"/>
      <c r="W32" s="501"/>
      <c r="X32" s="501"/>
      <c r="Y32" s="501"/>
      <c r="Z32" s="501"/>
      <c r="AA32" s="501"/>
    </row>
    <row r="33" spans="1:27" x14ac:dyDescent="0.4">
      <c r="A33" s="1109"/>
      <c r="B33" s="501"/>
      <c r="C33" s="501"/>
      <c r="E33" s="501"/>
      <c r="F33" s="501"/>
      <c r="G33" s="501"/>
      <c r="H33" s="501"/>
      <c r="I33" s="501"/>
      <c r="J33" s="501"/>
      <c r="K33" s="501"/>
      <c r="L33" s="501"/>
      <c r="M33" s="501"/>
      <c r="N33" s="501"/>
      <c r="O33" s="501"/>
      <c r="P33" s="501"/>
      <c r="Q33" s="501"/>
      <c r="R33" s="501"/>
      <c r="S33" s="501"/>
      <c r="T33" s="501"/>
      <c r="U33" s="501"/>
      <c r="V33" s="501"/>
      <c r="W33" s="501"/>
      <c r="X33" s="501"/>
      <c r="Y33" s="501"/>
      <c r="Z33" s="501"/>
      <c r="AA33" s="501"/>
    </row>
    <row r="34" spans="1:27" x14ac:dyDescent="0.4">
      <c r="A34" s="1109"/>
      <c r="B34" s="501"/>
      <c r="C34" s="501"/>
      <c r="E34" s="501"/>
      <c r="F34" s="501"/>
      <c r="G34" s="501"/>
      <c r="H34" s="501"/>
      <c r="I34" s="501"/>
      <c r="J34" s="501"/>
      <c r="K34" s="501"/>
      <c r="L34" s="501"/>
      <c r="M34" s="501"/>
      <c r="N34" s="501"/>
      <c r="O34" s="501"/>
      <c r="P34" s="501"/>
      <c r="Q34" s="501"/>
      <c r="R34" s="501"/>
      <c r="S34" s="501"/>
      <c r="T34" s="501"/>
      <c r="U34" s="501"/>
      <c r="V34" s="501"/>
      <c r="W34" s="501"/>
      <c r="X34" s="501"/>
      <c r="Y34" s="501"/>
      <c r="Z34" s="501"/>
      <c r="AA34" s="501"/>
    </row>
    <row r="35" spans="1:27" x14ac:dyDescent="0.4">
      <c r="A35" s="1109"/>
      <c r="B35" s="501"/>
      <c r="C35" s="501"/>
      <c r="E35" s="501"/>
      <c r="F35" s="501"/>
      <c r="G35" s="501"/>
      <c r="H35" s="501"/>
      <c r="I35" s="501"/>
      <c r="J35" s="501"/>
      <c r="K35" s="501"/>
      <c r="L35" s="501"/>
      <c r="M35" s="501"/>
      <c r="N35" s="501"/>
      <c r="O35" s="501"/>
      <c r="P35" s="501"/>
      <c r="Q35" s="501"/>
      <c r="R35" s="501"/>
      <c r="S35" s="501"/>
      <c r="T35" s="501"/>
      <c r="U35" s="501"/>
      <c r="V35" s="501"/>
      <c r="W35" s="501"/>
      <c r="X35" s="501"/>
      <c r="Y35" s="501"/>
      <c r="Z35" s="501"/>
      <c r="AA35" s="501"/>
    </row>
    <row r="36" spans="1:27" x14ac:dyDescent="0.4">
      <c r="A36" s="1109"/>
      <c r="B36" s="501"/>
      <c r="C36" s="501"/>
      <c r="E36" s="501"/>
      <c r="F36" s="501"/>
      <c r="G36" s="501"/>
      <c r="H36" s="501"/>
      <c r="I36" s="501"/>
      <c r="J36" s="501"/>
      <c r="K36" s="501"/>
      <c r="L36" s="501"/>
      <c r="M36" s="501"/>
      <c r="N36" s="501"/>
      <c r="O36" s="501"/>
      <c r="P36" s="501"/>
      <c r="Q36" s="501"/>
      <c r="R36" s="501"/>
      <c r="S36" s="501"/>
      <c r="T36" s="501"/>
      <c r="U36" s="501"/>
      <c r="V36" s="501"/>
      <c r="W36" s="501"/>
      <c r="X36" s="501"/>
      <c r="Y36" s="501"/>
      <c r="Z36" s="501"/>
      <c r="AA36" s="501"/>
    </row>
    <row r="37" spans="1:27" x14ac:dyDescent="0.4">
      <c r="A37" s="1109"/>
      <c r="B37" s="501"/>
      <c r="C37" s="501"/>
      <c r="E37" s="501"/>
      <c r="F37" s="501"/>
      <c r="G37" s="501"/>
      <c r="H37" s="501"/>
      <c r="I37" s="501"/>
      <c r="J37" s="501"/>
      <c r="K37" s="501"/>
      <c r="L37" s="501"/>
      <c r="M37" s="501"/>
      <c r="N37" s="501"/>
      <c r="O37" s="501"/>
      <c r="P37" s="501"/>
      <c r="Q37" s="501"/>
      <c r="R37" s="501"/>
      <c r="S37" s="501"/>
      <c r="T37" s="501"/>
      <c r="U37" s="501"/>
      <c r="V37" s="501"/>
      <c r="W37" s="501"/>
      <c r="X37" s="501"/>
      <c r="Y37" s="501"/>
      <c r="Z37" s="501"/>
      <c r="AA37" s="501"/>
    </row>
    <row r="38" spans="1:27" x14ac:dyDescent="0.4">
      <c r="A38" s="1109"/>
      <c r="B38" s="501"/>
      <c r="C38" s="501"/>
      <c r="E38" s="501"/>
      <c r="F38" s="501"/>
      <c r="G38" s="501"/>
      <c r="H38" s="501"/>
      <c r="I38" s="501"/>
      <c r="J38" s="501"/>
      <c r="K38" s="501"/>
      <c r="L38" s="501"/>
      <c r="M38" s="501"/>
      <c r="N38" s="501"/>
      <c r="O38" s="501"/>
      <c r="P38" s="501"/>
      <c r="Q38" s="501"/>
      <c r="R38" s="501"/>
      <c r="S38" s="501"/>
      <c r="T38" s="501"/>
      <c r="U38" s="501"/>
      <c r="V38" s="501"/>
      <c r="W38" s="501"/>
      <c r="X38" s="501"/>
      <c r="Y38" s="501"/>
      <c r="Z38" s="501"/>
      <c r="AA38" s="501"/>
    </row>
    <row r="39" spans="1:27" x14ac:dyDescent="0.4">
      <c r="A39" s="1109"/>
      <c r="B39" s="501"/>
      <c r="C39" s="501"/>
      <c r="E39" s="501"/>
      <c r="F39" s="501"/>
      <c r="G39" s="501"/>
      <c r="H39" s="501"/>
      <c r="I39" s="501"/>
      <c r="J39" s="501"/>
      <c r="K39" s="501"/>
      <c r="L39" s="501"/>
      <c r="M39" s="501"/>
      <c r="N39" s="501"/>
      <c r="O39" s="501"/>
      <c r="P39" s="501"/>
      <c r="Q39" s="501"/>
      <c r="R39" s="501"/>
      <c r="S39" s="501"/>
      <c r="T39" s="501"/>
      <c r="U39" s="501"/>
      <c r="V39" s="501"/>
      <c r="W39" s="501"/>
      <c r="X39" s="501"/>
      <c r="Y39" s="501"/>
      <c r="Z39" s="501"/>
      <c r="AA39" s="501"/>
    </row>
    <row r="40" spans="1:27" x14ac:dyDescent="0.4">
      <c r="A40" s="1109"/>
      <c r="B40" s="501"/>
      <c r="C40" s="501"/>
      <c r="E40" s="501"/>
      <c r="F40" s="501"/>
      <c r="G40" s="501"/>
      <c r="H40" s="501"/>
      <c r="I40" s="501"/>
      <c r="J40" s="501"/>
      <c r="K40" s="501"/>
      <c r="L40" s="501"/>
      <c r="M40" s="501"/>
      <c r="N40" s="501"/>
      <c r="O40" s="501"/>
      <c r="P40" s="501"/>
      <c r="Q40" s="501"/>
      <c r="R40" s="501"/>
      <c r="S40" s="501"/>
      <c r="T40" s="501"/>
      <c r="U40" s="501"/>
      <c r="V40" s="501"/>
      <c r="W40" s="501"/>
      <c r="X40" s="501"/>
      <c r="Y40" s="501"/>
      <c r="Z40" s="501"/>
      <c r="AA40" s="501"/>
    </row>
    <row r="41" spans="1:27" x14ac:dyDescent="0.4">
      <c r="A41" s="1109"/>
      <c r="B41" s="501"/>
      <c r="C41" s="501"/>
      <c r="E41" s="501"/>
      <c r="F41" s="501"/>
      <c r="G41" s="501"/>
      <c r="H41" s="501"/>
      <c r="I41" s="501"/>
      <c r="J41" s="501"/>
      <c r="K41" s="501"/>
      <c r="L41" s="501"/>
      <c r="M41" s="501"/>
      <c r="N41" s="501"/>
      <c r="O41" s="501"/>
      <c r="P41" s="501"/>
      <c r="Q41" s="501"/>
      <c r="R41" s="501"/>
      <c r="S41" s="501"/>
      <c r="T41" s="501"/>
      <c r="U41" s="501"/>
      <c r="V41" s="501"/>
      <c r="W41" s="501"/>
      <c r="X41" s="501"/>
      <c r="Y41" s="501"/>
      <c r="Z41" s="501"/>
      <c r="AA41" s="501"/>
    </row>
    <row r="42" spans="1:27" x14ac:dyDescent="0.4">
      <c r="A42" s="1109"/>
      <c r="B42" s="501"/>
      <c r="C42" s="501"/>
      <c r="E42" s="501"/>
      <c r="F42" s="501"/>
      <c r="G42" s="501"/>
      <c r="H42" s="501"/>
      <c r="I42" s="501"/>
      <c r="J42" s="501"/>
      <c r="K42" s="501"/>
      <c r="L42" s="501"/>
      <c r="M42" s="501"/>
      <c r="N42" s="501"/>
      <c r="O42" s="501"/>
      <c r="P42" s="501"/>
      <c r="Q42" s="501"/>
      <c r="R42" s="501"/>
      <c r="S42" s="501"/>
      <c r="T42" s="501"/>
      <c r="U42" s="501"/>
      <c r="V42" s="501"/>
      <c r="W42" s="501"/>
      <c r="X42" s="501"/>
      <c r="Y42" s="501"/>
      <c r="Z42" s="501"/>
      <c r="AA42" s="501"/>
    </row>
    <row r="43" spans="1:27" x14ac:dyDescent="0.4">
      <c r="A43" s="1109"/>
      <c r="B43" s="501"/>
      <c r="C43" s="501"/>
      <c r="E43" s="501"/>
      <c r="F43" s="501"/>
      <c r="G43" s="501"/>
      <c r="H43" s="501"/>
      <c r="I43" s="501"/>
      <c r="J43" s="501"/>
      <c r="K43" s="501"/>
      <c r="L43" s="501"/>
      <c r="M43" s="501"/>
      <c r="N43" s="501"/>
      <c r="O43" s="501"/>
      <c r="P43" s="501"/>
      <c r="Q43" s="501"/>
      <c r="R43" s="501"/>
      <c r="S43" s="501"/>
      <c r="T43" s="501"/>
      <c r="U43" s="501"/>
      <c r="V43" s="501"/>
      <c r="W43" s="501"/>
      <c r="X43" s="501"/>
      <c r="Y43" s="501"/>
      <c r="Z43" s="501"/>
      <c r="AA43" s="501"/>
    </row>
    <row r="44" spans="1:27" x14ac:dyDescent="0.4">
      <c r="A44" s="1109"/>
      <c r="B44" s="501"/>
      <c r="C44" s="501"/>
      <c r="E44" s="501"/>
      <c r="F44" s="501"/>
      <c r="G44" s="501"/>
      <c r="H44" s="501"/>
      <c r="I44" s="501"/>
      <c r="J44" s="501"/>
      <c r="K44" s="501"/>
      <c r="L44" s="501"/>
      <c r="M44" s="501"/>
      <c r="N44" s="501"/>
      <c r="O44" s="501"/>
      <c r="P44" s="501"/>
      <c r="Q44" s="501"/>
      <c r="R44" s="501"/>
      <c r="S44" s="501"/>
      <c r="T44" s="501"/>
      <c r="U44" s="501"/>
      <c r="V44" s="501"/>
      <c r="W44" s="501"/>
      <c r="X44" s="501"/>
      <c r="Y44" s="501"/>
      <c r="Z44" s="501"/>
      <c r="AA44" s="501"/>
    </row>
    <row r="45" spans="1:27" x14ac:dyDescent="0.4">
      <c r="A45" s="1109"/>
      <c r="B45" s="501"/>
      <c r="C45" s="501"/>
      <c r="E45" s="501"/>
      <c r="F45" s="501"/>
      <c r="G45" s="501"/>
      <c r="H45" s="501"/>
      <c r="I45" s="501"/>
      <c r="J45" s="501"/>
      <c r="K45" s="501"/>
      <c r="L45" s="501"/>
      <c r="M45" s="501"/>
      <c r="N45" s="501"/>
      <c r="O45" s="501"/>
      <c r="P45" s="501"/>
      <c r="Q45" s="501"/>
      <c r="R45" s="501"/>
      <c r="S45" s="501"/>
      <c r="T45" s="501"/>
      <c r="U45" s="501"/>
      <c r="V45" s="501"/>
      <c r="W45" s="501"/>
      <c r="X45" s="501"/>
      <c r="Y45" s="501"/>
      <c r="Z45" s="501"/>
      <c r="AA45" s="501"/>
    </row>
    <row r="46" spans="1:27" x14ac:dyDescent="0.4">
      <c r="A46" s="1109"/>
      <c r="B46" s="501"/>
      <c r="C46" s="501"/>
      <c r="E46" s="501"/>
      <c r="F46" s="501"/>
      <c r="G46" s="501"/>
      <c r="H46" s="501"/>
      <c r="I46" s="501"/>
      <c r="J46" s="501"/>
      <c r="K46" s="501"/>
      <c r="L46" s="501"/>
      <c r="M46" s="501"/>
      <c r="N46" s="501"/>
      <c r="O46" s="501"/>
      <c r="P46" s="501"/>
      <c r="Q46" s="501"/>
      <c r="R46" s="501"/>
      <c r="S46" s="501"/>
      <c r="T46" s="501"/>
      <c r="U46" s="501"/>
      <c r="V46" s="501"/>
      <c r="W46" s="501"/>
      <c r="X46" s="501"/>
      <c r="Y46" s="501"/>
      <c r="Z46" s="501"/>
      <c r="AA46" s="501"/>
    </row>
    <row r="47" spans="1:27" x14ac:dyDescent="0.4">
      <c r="A47" s="1109"/>
      <c r="B47" s="501"/>
      <c r="C47" s="501"/>
      <c r="E47" s="501"/>
      <c r="F47" s="501"/>
      <c r="G47" s="501"/>
      <c r="H47" s="501"/>
      <c r="I47" s="501"/>
      <c r="J47" s="501"/>
      <c r="K47" s="501"/>
      <c r="L47" s="501"/>
      <c r="M47" s="501"/>
      <c r="N47" s="501"/>
      <c r="O47" s="501"/>
      <c r="P47" s="501"/>
      <c r="Q47" s="501"/>
      <c r="R47" s="501"/>
      <c r="S47" s="501"/>
      <c r="T47" s="501"/>
      <c r="U47" s="501"/>
      <c r="V47" s="501"/>
      <c r="W47" s="501"/>
      <c r="X47" s="501"/>
      <c r="Y47" s="501"/>
      <c r="Z47" s="501"/>
      <c r="AA47" s="501"/>
    </row>
    <row r="48" spans="1:27" x14ac:dyDescent="0.4">
      <c r="A48" s="1109"/>
      <c r="B48" s="501"/>
      <c r="C48" s="501"/>
      <c r="E48" s="501"/>
      <c r="F48" s="501"/>
      <c r="G48" s="501"/>
      <c r="H48" s="501"/>
      <c r="I48" s="501"/>
      <c r="J48" s="501"/>
      <c r="K48" s="501"/>
      <c r="L48" s="501"/>
      <c r="M48" s="501"/>
      <c r="N48" s="501"/>
      <c r="O48" s="501"/>
      <c r="P48" s="501"/>
      <c r="Q48" s="501"/>
      <c r="R48" s="501"/>
      <c r="S48" s="501"/>
      <c r="T48" s="501"/>
      <c r="U48" s="501"/>
      <c r="V48" s="501"/>
      <c r="W48" s="501"/>
      <c r="X48" s="501"/>
      <c r="Y48" s="501"/>
      <c r="Z48" s="501"/>
      <c r="AA48" s="501"/>
    </row>
    <row r="49" spans="1:36" x14ac:dyDescent="0.4">
      <c r="A49" s="1109"/>
      <c r="B49" s="501"/>
      <c r="C49" s="501"/>
      <c r="E49" s="501"/>
      <c r="F49" s="501"/>
      <c r="G49" s="501"/>
      <c r="H49" s="501"/>
      <c r="I49" s="501"/>
      <c r="J49" s="501"/>
      <c r="K49" s="501"/>
      <c r="L49" s="501"/>
      <c r="M49" s="501"/>
      <c r="N49" s="501"/>
      <c r="O49" s="501"/>
      <c r="P49" s="501"/>
      <c r="Q49" s="501"/>
      <c r="R49" s="501"/>
      <c r="S49" s="501"/>
      <c r="T49" s="501"/>
      <c r="U49" s="501"/>
      <c r="V49" s="501"/>
      <c r="W49" s="501"/>
      <c r="X49" s="501"/>
      <c r="Y49" s="501"/>
      <c r="Z49" s="501"/>
      <c r="AA49" s="501"/>
    </row>
    <row r="50" spans="1:36" x14ac:dyDescent="0.4">
      <c r="A50" s="1109"/>
      <c r="B50" s="501"/>
      <c r="C50" s="501"/>
      <c r="E50" s="501"/>
      <c r="F50" s="501"/>
      <c r="G50" s="501"/>
      <c r="H50" s="501"/>
      <c r="I50" s="501"/>
      <c r="J50" s="501"/>
      <c r="K50" s="501"/>
      <c r="L50" s="501"/>
      <c r="M50" s="501"/>
      <c r="N50" s="501"/>
      <c r="O50" s="501"/>
      <c r="P50" s="501"/>
      <c r="Q50" s="501"/>
      <c r="R50" s="501"/>
      <c r="S50" s="501"/>
      <c r="T50" s="501"/>
      <c r="U50" s="501"/>
      <c r="V50" s="501"/>
      <c r="W50" s="501"/>
      <c r="X50" s="501"/>
      <c r="Y50" s="501"/>
      <c r="Z50" s="501"/>
      <c r="AA50" s="501"/>
    </row>
    <row r="51" spans="1:36" x14ac:dyDescent="0.4">
      <c r="A51" s="1109"/>
      <c r="B51" s="501"/>
      <c r="C51" s="501"/>
      <c r="E51" s="501"/>
      <c r="F51" s="501"/>
      <c r="G51" s="501"/>
      <c r="H51" s="501"/>
      <c r="I51" s="501"/>
      <c r="J51" s="501"/>
      <c r="K51" s="501"/>
      <c r="L51" s="501"/>
      <c r="M51" s="501"/>
      <c r="N51" s="501"/>
      <c r="O51" s="501"/>
      <c r="P51" s="501"/>
      <c r="Q51" s="501"/>
      <c r="R51" s="501"/>
      <c r="S51" s="501"/>
      <c r="T51" s="501"/>
      <c r="U51" s="501"/>
      <c r="V51" s="501"/>
      <c r="W51" s="501"/>
      <c r="X51" s="501"/>
      <c r="Y51" s="501"/>
      <c r="Z51" s="501"/>
      <c r="AA51" s="501"/>
    </row>
    <row r="52" spans="1:36" ht="15.75" customHeight="1" x14ac:dyDescent="0.4">
      <c r="A52" s="512" t="s">
        <v>784</v>
      </c>
      <c r="B52" s="508"/>
      <c r="C52" s="508"/>
      <c r="D52" s="508"/>
      <c r="E52" s="508"/>
      <c r="F52" s="508"/>
      <c r="G52" s="508"/>
      <c r="H52" s="508"/>
      <c r="I52" s="508"/>
      <c r="J52" s="508"/>
      <c r="K52" s="508"/>
      <c r="L52" s="508"/>
      <c r="M52" s="508"/>
      <c r="N52" s="501"/>
      <c r="O52" s="501"/>
      <c r="P52" s="507"/>
      <c r="Q52" s="507"/>
      <c r="R52" s="509"/>
      <c r="S52" s="507"/>
      <c r="T52" s="507"/>
      <c r="U52" s="507"/>
      <c r="V52" s="507"/>
      <c r="W52" s="507"/>
      <c r="X52" s="507"/>
      <c r="Y52" s="507"/>
      <c r="Z52" s="507"/>
      <c r="AA52" s="501"/>
    </row>
    <row r="53" spans="1:36" ht="15.75" customHeight="1" x14ac:dyDescent="0.4">
      <c r="A53" s="501" t="s">
        <v>992</v>
      </c>
      <c r="B53" s="508"/>
      <c r="C53" s="508"/>
      <c r="D53" s="508"/>
      <c r="E53" s="508"/>
      <c r="F53" s="508"/>
      <c r="G53" s="508"/>
      <c r="H53" s="508"/>
      <c r="I53" s="508"/>
      <c r="J53" s="508"/>
      <c r="K53" s="508"/>
      <c r="L53" s="508"/>
      <c r="M53" s="508"/>
      <c r="N53" s="501"/>
      <c r="O53" s="501"/>
      <c r="P53" s="507"/>
      <c r="Q53" s="507"/>
      <c r="R53" s="509"/>
      <c r="S53" s="507"/>
      <c r="T53" s="507"/>
      <c r="U53" s="507"/>
      <c r="V53" s="507"/>
      <c r="W53" s="507"/>
      <c r="X53" s="507"/>
      <c r="Y53" s="507"/>
      <c r="Z53" s="507"/>
      <c r="AA53" s="501"/>
    </row>
    <row r="54" spans="1:36" ht="15.75" customHeight="1" x14ac:dyDescent="0.45">
      <c r="A54" s="1461" t="s">
        <v>1386</v>
      </c>
      <c r="B54" s="508"/>
      <c r="C54" s="508"/>
      <c r="D54" s="508"/>
      <c r="E54" s="508"/>
      <c r="F54" s="508"/>
      <c r="G54" s="508"/>
      <c r="H54" s="508"/>
      <c r="I54" s="508"/>
      <c r="J54" s="508"/>
      <c r="K54" s="508"/>
      <c r="L54" s="508"/>
      <c r="M54" s="508"/>
      <c r="N54" s="501"/>
      <c r="O54" s="501"/>
      <c r="P54" s="507"/>
      <c r="Q54" s="507"/>
      <c r="R54" s="509"/>
      <c r="S54" s="507"/>
      <c r="T54" s="507"/>
      <c r="U54" s="507"/>
      <c r="V54" s="507"/>
      <c r="W54" s="507"/>
      <c r="X54" s="507"/>
      <c r="Y54" s="507"/>
      <c r="Z54" s="507"/>
      <c r="AA54" s="501"/>
    </row>
    <row r="55" spans="1:36" ht="15.75" customHeight="1" x14ac:dyDescent="0.4">
      <c r="A55" s="512"/>
      <c r="B55" s="508"/>
      <c r="C55" s="508"/>
      <c r="D55" s="508"/>
      <c r="E55" s="508"/>
      <c r="F55" s="508"/>
      <c r="G55" s="508"/>
      <c r="H55" s="508"/>
      <c r="I55" s="508"/>
      <c r="J55" s="508"/>
      <c r="K55" s="508"/>
      <c r="L55" s="508"/>
      <c r="M55" s="508"/>
      <c r="N55" s="501"/>
      <c r="O55" s="501"/>
      <c r="P55" s="507"/>
      <c r="Q55" s="507"/>
      <c r="R55" s="509"/>
      <c r="S55" s="507"/>
      <c r="T55" s="507"/>
      <c r="U55" s="507"/>
      <c r="V55" s="507"/>
      <c r="W55" s="507"/>
      <c r="X55" s="507"/>
      <c r="Y55" s="507"/>
      <c r="Z55" s="507"/>
      <c r="AA55" s="501"/>
    </row>
    <row r="56" spans="1:36" ht="15.75" customHeight="1" thickBot="1" x14ac:dyDescent="0.5">
      <c r="A56" s="512" t="s">
        <v>1388</v>
      </c>
      <c r="B56" s="512"/>
      <c r="C56" s="29"/>
      <c r="D56" s="507"/>
      <c r="E56" s="507"/>
      <c r="F56" s="507"/>
      <c r="G56" s="507"/>
      <c r="H56" s="507"/>
      <c r="I56" s="507"/>
      <c r="J56" s="507"/>
      <c r="K56" s="507"/>
      <c r="L56" s="507"/>
      <c r="M56" s="507"/>
      <c r="N56" s="507"/>
      <c r="O56" s="507"/>
      <c r="P56" s="507"/>
      <c r="Q56" s="507"/>
      <c r="R56" s="507"/>
      <c r="S56" s="507"/>
      <c r="T56" s="507"/>
      <c r="U56" s="507"/>
      <c r="V56" s="507"/>
      <c r="W56" s="507"/>
      <c r="X56" s="507"/>
      <c r="Y56" s="507"/>
      <c r="Z56" s="507"/>
      <c r="AA56" s="507"/>
      <c r="AB56" s="507"/>
      <c r="AC56" s="507"/>
      <c r="AD56" s="1046"/>
      <c r="AE56" s="12"/>
      <c r="AF56" s="1046"/>
      <c r="AG56" s="1047"/>
      <c r="AH56" s="1048"/>
      <c r="AI56" s="1049"/>
      <c r="AJ56" s="1049"/>
    </row>
    <row r="57" spans="1:36" ht="15.75" customHeight="1" thickBot="1" x14ac:dyDescent="0.45">
      <c r="A57" s="510" t="s">
        <v>536</v>
      </c>
      <c r="B57" s="640" t="s">
        <v>136</v>
      </c>
      <c r="C57" s="510" t="s">
        <v>391</v>
      </c>
      <c r="D57" s="511" t="s">
        <v>392</v>
      </c>
      <c r="E57" s="511" t="s">
        <v>393</v>
      </c>
      <c r="F57" s="510" t="s">
        <v>394</v>
      </c>
      <c r="G57" s="510" t="s">
        <v>395</v>
      </c>
      <c r="H57" s="510" t="s">
        <v>396</v>
      </c>
      <c r="I57" s="510" t="s">
        <v>397</v>
      </c>
      <c r="J57" s="510" t="s">
        <v>398</v>
      </c>
      <c r="K57" s="510" t="s">
        <v>399</v>
      </c>
      <c r="L57" s="510" t="s">
        <v>400</v>
      </c>
      <c r="M57" s="510" t="s">
        <v>401</v>
      </c>
      <c r="N57" s="510" t="s">
        <v>402</v>
      </c>
      <c r="O57" s="510" t="s">
        <v>403</v>
      </c>
      <c r="P57" s="510" t="s">
        <v>404</v>
      </c>
      <c r="Q57" s="510" t="s">
        <v>405</v>
      </c>
      <c r="R57" s="510" t="s">
        <v>406</v>
      </c>
      <c r="S57" s="510" t="s">
        <v>407</v>
      </c>
      <c r="T57" s="510" t="s">
        <v>408</v>
      </c>
      <c r="U57" s="510" t="s">
        <v>409</v>
      </c>
      <c r="V57" s="510" t="s">
        <v>410</v>
      </c>
      <c r="W57" s="510" t="s">
        <v>411</v>
      </c>
      <c r="X57" s="510" t="s">
        <v>412</v>
      </c>
      <c r="Y57" s="510" t="s">
        <v>413</v>
      </c>
      <c r="Z57" s="510" t="s">
        <v>414</v>
      </c>
      <c r="AA57" s="510" t="s">
        <v>415</v>
      </c>
      <c r="AB57" s="510" t="s">
        <v>416</v>
      </c>
      <c r="AC57" s="510" t="s">
        <v>417</v>
      </c>
      <c r="AD57" s="510" t="s">
        <v>418</v>
      </c>
      <c r="AE57" s="510" t="s">
        <v>419</v>
      </c>
      <c r="AF57" s="510" t="s">
        <v>420</v>
      </c>
      <c r="AG57" s="510" t="s">
        <v>421</v>
      </c>
      <c r="AH57" s="510" t="s">
        <v>422</v>
      </c>
      <c r="AI57" s="510" t="s">
        <v>423</v>
      </c>
      <c r="AJ57" s="510" t="s">
        <v>424</v>
      </c>
    </row>
    <row r="58" spans="1:36" ht="15.75" customHeight="1" x14ac:dyDescent="0.45">
      <c r="A58" s="507" t="s">
        <v>521</v>
      </c>
      <c r="B58" s="1462" t="s">
        <v>1357</v>
      </c>
      <c r="C58" s="513">
        <f t="shared" ref="C58:AJ58" si="0">C61+C59+C60</f>
        <v>1.8677651258656023</v>
      </c>
      <c r="D58" s="513">
        <f t="shared" si="0"/>
        <v>1.852887425897749</v>
      </c>
      <c r="E58" s="513">
        <f t="shared" si="0"/>
        <v>1.8397743556365582</v>
      </c>
      <c r="F58" s="513">
        <f t="shared" si="0"/>
        <v>1.7613444610359528</v>
      </c>
      <c r="G58" s="513">
        <f t="shared" si="0"/>
        <v>1.7049153610944481</v>
      </c>
      <c r="H58" s="513">
        <f t="shared" si="0"/>
        <v>1.6709702656070302</v>
      </c>
      <c r="I58" s="513">
        <f t="shared" si="0"/>
        <v>1.5924548496297186</v>
      </c>
      <c r="J58" s="513">
        <f t="shared" si="0"/>
        <v>1.5411686000890501</v>
      </c>
      <c r="K58" s="513">
        <f t="shared" si="0"/>
        <v>1.4818949902988792</v>
      </c>
      <c r="L58" s="513">
        <f t="shared" si="0"/>
        <v>1.4228973383008028</v>
      </c>
      <c r="M58" s="513">
        <f t="shared" si="0"/>
        <v>1.3849041465119019</v>
      </c>
      <c r="N58" s="513">
        <f t="shared" si="0"/>
        <v>1.3148628860365357</v>
      </c>
      <c r="O58" s="513">
        <f t="shared" si="0"/>
        <v>1.2775637306450169</v>
      </c>
      <c r="P58" s="513">
        <f t="shared" si="0"/>
        <v>1.2248834953868954</v>
      </c>
      <c r="Q58" s="513">
        <f t="shared" si="0"/>
        <v>1.2096454508131458</v>
      </c>
      <c r="R58" s="513">
        <f t="shared" si="0"/>
        <v>1.116769011294539</v>
      </c>
      <c r="S58" s="513">
        <f t="shared" si="0"/>
        <v>1.0773854569526293</v>
      </c>
      <c r="T58" s="513">
        <f t="shared" si="0"/>
        <v>1.0341021055848827</v>
      </c>
      <c r="U58" s="513">
        <f t="shared" si="0"/>
        <v>1.0261355902109481</v>
      </c>
      <c r="V58" s="513">
        <f t="shared" si="0"/>
        <v>0.97574211006229161</v>
      </c>
      <c r="W58" s="513">
        <f t="shared" si="0"/>
        <v>0.98651781200941091</v>
      </c>
      <c r="X58" s="513">
        <f t="shared" si="0"/>
        <v>0.79998790658513363</v>
      </c>
      <c r="Y58" s="513">
        <f t="shared" si="0"/>
        <v>0.79980448829054263</v>
      </c>
      <c r="Z58" s="513">
        <f t="shared" si="0"/>
        <v>0.78487067159526325</v>
      </c>
      <c r="AA58" s="513">
        <f t="shared" si="0"/>
        <v>0.75976893464181838</v>
      </c>
      <c r="AB58" s="513">
        <f t="shared" si="0"/>
        <v>0.79756121017191395</v>
      </c>
      <c r="AC58" s="513">
        <f t="shared" si="0"/>
        <v>0.77716355555855188</v>
      </c>
      <c r="AD58" s="513">
        <f t="shared" si="0"/>
        <v>0.73524508776400288</v>
      </c>
      <c r="AE58" s="513">
        <f t="shared" si="0"/>
        <v>0.72053532011706112</v>
      </c>
      <c r="AF58" s="513">
        <f t="shared" si="0"/>
        <v>0.71879595083025949</v>
      </c>
      <c r="AG58" s="513">
        <f t="shared" si="0"/>
        <v>0.74193958504154822</v>
      </c>
      <c r="AH58" s="513">
        <f t="shared" si="0"/>
        <v>0.71349693568858763</v>
      </c>
      <c r="AI58" s="513">
        <f t="shared" si="0"/>
        <v>0.73924386892764438</v>
      </c>
      <c r="AJ58" s="513">
        <f t="shared" si="0"/>
        <v>0.70636312077249741</v>
      </c>
    </row>
    <row r="59" spans="1:36" ht="15.75" customHeight="1" x14ac:dyDescent="0.45">
      <c r="A59" s="509" t="s">
        <v>523</v>
      </c>
      <c r="B59" s="1462" t="s">
        <v>1357</v>
      </c>
      <c r="C59" s="513">
        <f t="shared" ref="C59:AJ59" si="1">C322+C459</f>
        <v>1.5978344104930755</v>
      </c>
      <c r="D59" s="513">
        <f t="shared" si="1"/>
        <v>1.5744995003524025</v>
      </c>
      <c r="E59" s="513">
        <f t="shared" si="1"/>
        <v>1.5525396891083991</v>
      </c>
      <c r="F59" s="513">
        <f t="shared" si="1"/>
        <v>1.4732757825207252</v>
      </c>
      <c r="G59" s="513">
        <f t="shared" si="1"/>
        <v>1.4132656546896274</v>
      </c>
      <c r="H59" s="513">
        <f t="shared" si="1"/>
        <v>1.3725407205561477</v>
      </c>
      <c r="I59" s="513">
        <f t="shared" si="1"/>
        <v>1.3037231351316354</v>
      </c>
      <c r="J59" s="513">
        <f t="shared" si="1"/>
        <v>1.2477696348879694</v>
      </c>
      <c r="K59" s="513">
        <f t="shared" si="1"/>
        <v>1.1936516917602449</v>
      </c>
      <c r="L59" s="513">
        <f t="shared" si="1"/>
        <v>1.1331753442114545</v>
      </c>
      <c r="M59" s="513">
        <f t="shared" si="1"/>
        <v>1.0946801811538924</v>
      </c>
      <c r="N59" s="513">
        <f t="shared" si="1"/>
        <v>1.0208406174807614</v>
      </c>
      <c r="O59" s="513">
        <f t="shared" si="1"/>
        <v>0.97403644267529255</v>
      </c>
      <c r="P59" s="513">
        <f t="shared" si="1"/>
        <v>0.92289323110311328</v>
      </c>
      <c r="Q59" s="513">
        <f t="shared" si="1"/>
        <v>0.91266786766907015</v>
      </c>
      <c r="R59" s="513">
        <f t="shared" si="1"/>
        <v>0.82258364391252681</v>
      </c>
      <c r="S59" s="513">
        <f t="shared" si="1"/>
        <v>0.77776712526721936</v>
      </c>
      <c r="T59" s="513">
        <f t="shared" si="1"/>
        <v>0.73062490579659056</v>
      </c>
      <c r="U59" s="513">
        <f t="shared" si="1"/>
        <v>0.68731440940452193</v>
      </c>
      <c r="V59" s="513">
        <f t="shared" si="1"/>
        <v>0.64057133180261028</v>
      </c>
      <c r="W59" s="513">
        <f t="shared" si="1"/>
        <v>0.59573799505490954</v>
      </c>
      <c r="X59" s="513">
        <f t="shared" si="1"/>
        <v>0.54078420626890666</v>
      </c>
      <c r="Y59" s="513">
        <f t="shared" si="1"/>
        <v>0.53458207946995173</v>
      </c>
      <c r="Z59" s="513">
        <f t="shared" si="1"/>
        <v>0.52664279834755212</v>
      </c>
      <c r="AA59" s="513">
        <f t="shared" si="1"/>
        <v>0.50954189145520212</v>
      </c>
      <c r="AB59" s="513">
        <f t="shared" si="1"/>
        <v>0.50378502705626149</v>
      </c>
      <c r="AC59" s="513">
        <f t="shared" si="1"/>
        <v>0.49773452890923608</v>
      </c>
      <c r="AD59" s="513">
        <f t="shared" si="1"/>
        <v>0.48565787154907947</v>
      </c>
      <c r="AE59" s="513">
        <f t="shared" si="1"/>
        <v>0.47982677177980365</v>
      </c>
      <c r="AF59" s="513">
        <f t="shared" si="1"/>
        <v>0.46923153622030983</v>
      </c>
      <c r="AG59" s="513">
        <f t="shared" si="1"/>
        <v>0.49600310092807481</v>
      </c>
      <c r="AH59" s="513">
        <f t="shared" si="1"/>
        <v>0.45337507613120814</v>
      </c>
      <c r="AI59" s="513">
        <f t="shared" si="1"/>
        <v>0.46540339594046104</v>
      </c>
      <c r="AJ59" s="513">
        <f t="shared" si="1"/>
        <v>0.43733813930658233</v>
      </c>
    </row>
    <row r="60" spans="1:36" ht="15.75" customHeight="1" x14ac:dyDescent="0.45">
      <c r="A60" s="509" t="s">
        <v>522</v>
      </c>
      <c r="B60" s="1462" t="s">
        <v>1357</v>
      </c>
      <c r="C60" s="513">
        <f t="shared" ref="C60:AJ60" si="2">C500+C531</f>
        <v>0.10028273414189426</v>
      </c>
      <c r="D60" s="513">
        <f t="shared" si="2"/>
        <v>0.10363735001728629</v>
      </c>
      <c r="E60" s="513">
        <f t="shared" si="2"/>
        <v>0.11247632557743603</v>
      </c>
      <c r="F60" s="513">
        <f t="shared" si="2"/>
        <v>0.11533027634693506</v>
      </c>
      <c r="G60" s="513">
        <f t="shared" si="2"/>
        <v>0.12087337113746273</v>
      </c>
      <c r="H60" s="513">
        <f t="shared" si="2"/>
        <v>0.12972626806828566</v>
      </c>
      <c r="I60" s="513">
        <f t="shared" si="2"/>
        <v>0.12174424099633757</v>
      </c>
      <c r="J60" s="513">
        <f t="shared" si="2"/>
        <v>0.1284245855777443</v>
      </c>
      <c r="K60" s="513">
        <f t="shared" si="2"/>
        <v>0.12519846726315653</v>
      </c>
      <c r="L60" s="513">
        <f t="shared" si="2"/>
        <v>0.12846620466570755</v>
      </c>
      <c r="M60" s="513">
        <f t="shared" si="2"/>
        <v>0.12874664168377201</v>
      </c>
      <c r="N60" s="513">
        <f t="shared" si="2"/>
        <v>0.13400500815960389</v>
      </c>
      <c r="O60" s="513">
        <f t="shared" si="2"/>
        <v>0.14525681159038553</v>
      </c>
      <c r="P60" s="513">
        <f t="shared" si="2"/>
        <v>0.14604649522629951</v>
      </c>
      <c r="Q60" s="513">
        <f t="shared" si="2"/>
        <v>0.14229810812674243</v>
      </c>
      <c r="R60" s="513">
        <f t="shared" si="2"/>
        <v>0.14130216903951076</v>
      </c>
      <c r="S60" s="513">
        <f t="shared" si="2"/>
        <v>0.14932399099451979</v>
      </c>
      <c r="T60" s="513">
        <f t="shared" si="2"/>
        <v>0.15450247449399643</v>
      </c>
      <c r="U60" s="513">
        <f t="shared" si="2"/>
        <v>0.14643074980260037</v>
      </c>
      <c r="V60" s="513">
        <f t="shared" si="2"/>
        <v>0.14460513754379603</v>
      </c>
      <c r="W60" s="513">
        <f t="shared" si="2"/>
        <v>0.15718783926651217</v>
      </c>
      <c r="X60" s="513">
        <f t="shared" si="2"/>
        <v>0.15814119016130063</v>
      </c>
      <c r="Y60" s="513">
        <f t="shared" si="2"/>
        <v>0.15938986567023478</v>
      </c>
      <c r="Z60" s="513">
        <f t="shared" si="2"/>
        <v>0.15232631048823717</v>
      </c>
      <c r="AA60" s="513">
        <f t="shared" si="2"/>
        <v>0.14599002496357111</v>
      </c>
      <c r="AB60" s="513">
        <f t="shared" si="2"/>
        <v>0.15471027522588099</v>
      </c>
      <c r="AC60" s="513">
        <f t="shared" si="2"/>
        <v>0.15677141575052927</v>
      </c>
      <c r="AD60" s="513">
        <f t="shared" si="2"/>
        <v>0.18140013829017992</v>
      </c>
      <c r="AE60" s="513">
        <f t="shared" si="2"/>
        <v>0.17458219018695734</v>
      </c>
      <c r="AF60" s="513">
        <f t="shared" si="2"/>
        <v>0.17171954579969456</v>
      </c>
      <c r="AG60" s="513">
        <f t="shared" si="2"/>
        <v>0.17331978420371233</v>
      </c>
      <c r="AH60" s="513">
        <f t="shared" si="2"/>
        <v>0.17331991137645789</v>
      </c>
      <c r="AI60" s="513">
        <f t="shared" si="2"/>
        <v>0.17581198985222868</v>
      </c>
      <c r="AJ60" s="513">
        <f t="shared" si="2"/>
        <v>0.1699778491975471</v>
      </c>
    </row>
    <row r="61" spans="1:36" ht="15.75" customHeight="1" x14ac:dyDescent="0.45">
      <c r="A61" s="509" t="s">
        <v>117</v>
      </c>
      <c r="B61" s="1462" t="s">
        <v>1357</v>
      </c>
      <c r="C61" s="513">
        <f>'NG Transmission Storage'!C228+'NG Transmission Storage'!C364</f>
        <v>0.16964798123063266</v>
      </c>
      <c r="D61" s="513">
        <f>'NG Transmission Storage'!D228+'NG Transmission Storage'!D364</f>
        <v>0.17475057552806023</v>
      </c>
      <c r="E61" s="513">
        <f>'NG Transmission Storage'!E228+'NG Transmission Storage'!E364</f>
        <v>0.17475834095072315</v>
      </c>
      <c r="F61" s="513">
        <f>'NG Transmission Storage'!F228+'NG Transmission Storage'!F364</f>
        <v>0.17273840216829248</v>
      </c>
      <c r="G61" s="513">
        <f>'NG Transmission Storage'!G228+'NG Transmission Storage'!G364</f>
        <v>0.17077633526735789</v>
      </c>
      <c r="H61" s="513">
        <f>'NG Transmission Storage'!H228+'NG Transmission Storage'!H364</f>
        <v>0.16870327698259682</v>
      </c>
      <c r="I61" s="513">
        <f>'NG Transmission Storage'!I228+'NG Transmission Storage'!I364</f>
        <v>0.16698747350174553</v>
      </c>
      <c r="J61" s="513">
        <f>'NG Transmission Storage'!J228+'NG Transmission Storage'!J364</f>
        <v>0.16497437962333633</v>
      </c>
      <c r="K61" s="513">
        <f>'NG Transmission Storage'!K228+'NG Transmission Storage'!K364</f>
        <v>0.16304483127547775</v>
      </c>
      <c r="L61" s="513">
        <f>'NG Transmission Storage'!L228+'NG Transmission Storage'!L364</f>
        <v>0.16125578942364072</v>
      </c>
      <c r="M61" s="513">
        <f>'NG Transmission Storage'!M228+'NG Transmission Storage'!M364</f>
        <v>0.16147732367423742</v>
      </c>
      <c r="N61" s="513">
        <f>'NG Transmission Storage'!N228+'NG Transmission Storage'!N364</f>
        <v>0.1600172603961704</v>
      </c>
      <c r="O61" s="513">
        <f>'NG Transmission Storage'!O228+'NG Transmission Storage'!O364</f>
        <v>0.15827047637933872</v>
      </c>
      <c r="P61" s="513">
        <f>'NG Transmission Storage'!P228+'NG Transmission Storage'!P364</f>
        <v>0.15594376905748275</v>
      </c>
      <c r="Q61" s="513">
        <f>'NG Transmission Storage'!Q228+'NG Transmission Storage'!Q364</f>
        <v>0.15467947501733323</v>
      </c>
      <c r="R61" s="513">
        <f>'NG Transmission Storage'!R228+'NG Transmission Storage'!R364</f>
        <v>0.15288319834250139</v>
      </c>
      <c r="S61" s="513">
        <f>'NG Transmission Storage'!S228+'NG Transmission Storage'!S364</f>
        <v>0.15029434069089012</v>
      </c>
      <c r="T61" s="513">
        <f>'NG Transmission Storage'!T228+'NG Transmission Storage'!T364</f>
        <v>0.14897472529429581</v>
      </c>
      <c r="U61" s="513">
        <f>'NG Transmission Storage'!U228+'NG Transmission Storage'!U364</f>
        <v>0.1923904310038258</v>
      </c>
      <c r="V61" s="513">
        <f>'NG Transmission Storage'!V228+'NG Transmission Storage'!V364</f>
        <v>0.19056564071588536</v>
      </c>
      <c r="W61" s="513">
        <f>'NG Transmission Storage'!W228+'NG Transmission Storage'!W364</f>
        <v>0.23359197768798926</v>
      </c>
      <c r="X61" s="513">
        <f>'NG Transmission Storage'!X228+'NG Transmission Storage'!X364</f>
        <v>0.10106251015492639</v>
      </c>
      <c r="Y61" s="513">
        <f>'NG Transmission Storage'!Y228+'NG Transmission Storage'!Y364</f>
        <v>0.10583254315035609</v>
      </c>
      <c r="Z61" s="513">
        <f>'NG Transmission Storage'!Z228+'NG Transmission Storage'!Z364</f>
        <v>0.10590156275947388</v>
      </c>
      <c r="AA61" s="513">
        <f>'NG Transmission Storage'!AA228+'NG Transmission Storage'!AA364</f>
        <v>0.10423701822304517</v>
      </c>
      <c r="AB61" s="513">
        <f>'NG Transmission Storage'!AB228+'NG Transmission Storage'!AB364</f>
        <v>0.13906590788977144</v>
      </c>
      <c r="AC61" s="513">
        <f>'NG Transmission Storage'!AC228+'NG Transmission Storage'!AC364</f>
        <v>0.12265761089878646</v>
      </c>
      <c r="AD61" s="513">
        <f>'NG Transmission Storage'!AD228+'NG Transmission Storage'!AD364</f>
        <v>6.8187077924743517E-2</v>
      </c>
      <c r="AE61" s="513">
        <f>'NG Transmission Storage'!AE228+'NG Transmission Storage'!AE364</f>
        <v>6.612635815030013E-2</v>
      </c>
      <c r="AF61" s="513">
        <f>'NG Transmission Storage'!AF228+'NG Transmission Storage'!AF364</f>
        <v>7.7844868810255041E-2</v>
      </c>
      <c r="AG61" s="513">
        <f>'NG Transmission Storage'!AG228+'NG Transmission Storage'!AG364</f>
        <v>7.2616699909761065E-2</v>
      </c>
      <c r="AH61" s="513">
        <f>'NG Transmission Storage'!AH228+'NG Transmission Storage'!AH364</f>
        <v>8.6801948180921656E-2</v>
      </c>
      <c r="AI61" s="513">
        <f>'NG Transmission Storage'!AI228+'NG Transmission Storage'!AI364</f>
        <v>9.802848313495463E-2</v>
      </c>
      <c r="AJ61" s="513">
        <f>'NG Transmission Storage'!AJ228+'NG Transmission Storage'!AJ364</f>
        <v>9.9047132268368018E-2</v>
      </c>
    </row>
    <row r="62" spans="1:36" x14ac:dyDescent="0.4">
      <c r="A62" s="3" t="s">
        <v>1063</v>
      </c>
    </row>
    <row r="64" spans="1:36" ht="15.75" customHeight="1" thickBot="1" x14ac:dyDescent="0.5">
      <c r="A64" s="512" t="s">
        <v>1387</v>
      </c>
      <c r="B64" s="611"/>
      <c r="C64" s="507"/>
      <c r="D64" s="507"/>
      <c r="E64" s="507"/>
      <c r="F64" s="507"/>
      <c r="G64" s="507"/>
      <c r="H64" s="507"/>
      <c r="I64" s="507"/>
      <c r="J64" s="507"/>
      <c r="K64" s="507"/>
      <c r="L64" s="507"/>
      <c r="M64" s="507"/>
      <c r="N64" s="507"/>
      <c r="O64" s="507"/>
      <c r="P64" s="507"/>
      <c r="Q64" s="507"/>
      <c r="R64" s="507"/>
      <c r="S64" s="507"/>
      <c r="T64" s="507"/>
      <c r="U64" s="507"/>
      <c r="V64" s="507"/>
      <c r="W64" s="507"/>
      <c r="X64" s="507"/>
      <c r="Y64" s="507"/>
      <c r="Z64" s="507"/>
      <c r="AA64" s="507"/>
      <c r="AB64" s="507"/>
      <c r="AC64" s="507"/>
      <c r="AD64" s="507"/>
      <c r="AE64" s="507"/>
      <c r="AF64" s="507"/>
      <c r="AG64" s="507"/>
      <c r="AH64" s="507"/>
      <c r="AI64" s="507"/>
      <c r="AJ64" s="507"/>
    </row>
    <row r="65" spans="1:36" ht="15.75" customHeight="1" thickBot="1" x14ac:dyDescent="0.45">
      <c r="A65" s="510" t="s">
        <v>536</v>
      </c>
      <c r="B65" s="640" t="s">
        <v>136</v>
      </c>
      <c r="C65" s="510" t="s">
        <v>391</v>
      </c>
      <c r="D65" s="511" t="s">
        <v>392</v>
      </c>
      <c r="E65" s="511" t="s">
        <v>393</v>
      </c>
      <c r="F65" s="510" t="s">
        <v>394</v>
      </c>
      <c r="G65" s="510" t="s">
        <v>395</v>
      </c>
      <c r="H65" s="510" t="s">
        <v>396</v>
      </c>
      <c r="I65" s="510" t="s">
        <v>397</v>
      </c>
      <c r="J65" s="510" t="s">
        <v>398</v>
      </c>
      <c r="K65" s="510" t="s">
        <v>399</v>
      </c>
      <c r="L65" s="510" t="s">
        <v>400</v>
      </c>
      <c r="M65" s="510" t="s">
        <v>401</v>
      </c>
      <c r="N65" s="510" t="s">
        <v>402</v>
      </c>
      <c r="O65" s="510" t="s">
        <v>403</v>
      </c>
      <c r="P65" s="510" t="s">
        <v>404</v>
      </c>
      <c r="Q65" s="510" t="s">
        <v>405</v>
      </c>
      <c r="R65" s="510" t="s">
        <v>406</v>
      </c>
      <c r="S65" s="510" t="s">
        <v>407</v>
      </c>
      <c r="T65" s="510" t="s">
        <v>408</v>
      </c>
      <c r="U65" s="510" t="s">
        <v>409</v>
      </c>
      <c r="V65" s="510" t="s">
        <v>410</v>
      </c>
      <c r="W65" s="510" t="s">
        <v>411</v>
      </c>
      <c r="X65" s="510" t="s">
        <v>412</v>
      </c>
      <c r="Y65" s="510" t="s">
        <v>413</v>
      </c>
      <c r="Z65" s="510" t="s">
        <v>414</v>
      </c>
      <c r="AA65" s="510" t="s">
        <v>415</v>
      </c>
      <c r="AB65" s="510" t="s">
        <v>416</v>
      </c>
      <c r="AC65" s="510" t="s">
        <v>417</v>
      </c>
      <c r="AD65" s="510" t="s">
        <v>418</v>
      </c>
      <c r="AE65" s="510" t="s">
        <v>419</v>
      </c>
      <c r="AF65" s="510" t="s">
        <v>420</v>
      </c>
      <c r="AG65" s="510" t="s">
        <v>421</v>
      </c>
      <c r="AH65" s="510" t="s">
        <v>422</v>
      </c>
      <c r="AI65" s="510" t="s">
        <v>423</v>
      </c>
      <c r="AJ65" s="510" t="s">
        <v>424</v>
      </c>
    </row>
    <row r="66" spans="1:36" ht="15.75" customHeight="1" x14ac:dyDescent="0.45">
      <c r="A66" s="507" t="s">
        <v>521</v>
      </c>
      <c r="B66" s="1462" t="s">
        <v>1389</v>
      </c>
      <c r="C66" s="514">
        <f t="shared" ref="C66:AJ66" si="3">C69+C67+C68</f>
        <v>74622.647550824244</v>
      </c>
      <c r="D66" s="514">
        <f t="shared" si="3"/>
        <v>74027.865514563295</v>
      </c>
      <c r="E66" s="514">
        <f t="shared" si="3"/>
        <v>73503.089211913102</v>
      </c>
      <c r="F66" s="514">
        <f t="shared" si="3"/>
        <v>70369.574800471892</v>
      </c>
      <c r="G66" s="514">
        <f t="shared" si="3"/>
        <v>68114.596269091548</v>
      </c>
      <c r="H66" s="514">
        <f t="shared" si="3"/>
        <v>66757.70233747676</v>
      </c>
      <c r="I66" s="514">
        <f t="shared" si="3"/>
        <v>63621.54201503579</v>
      </c>
      <c r="J66" s="514">
        <f t="shared" si="3"/>
        <v>61572.037089107675</v>
      </c>
      <c r="K66" s="514">
        <f t="shared" si="3"/>
        <v>59204.500224839467</v>
      </c>
      <c r="L66" s="514">
        <f t="shared" si="3"/>
        <v>56847.238065112688</v>
      </c>
      <c r="M66" s="514">
        <f t="shared" si="3"/>
        <v>55329.550591827967</v>
      </c>
      <c r="N66" s="514">
        <f t="shared" si="3"/>
        <v>52530.830295127802</v>
      </c>
      <c r="O66" s="514">
        <f t="shared" si="3"/>
        <v>51039.621747421072</v>
      </c>
      <c r="P66" s="514">
        <f t="shared" si="3"/>
        <v>48934.857118741675</v>
      </c>
      <c r="Q66" s="514">
        <f t="shared" si="3"/>
        <v>48326.408019669252</v>
      </c>
      <c r="R66" s="514">
        <f t="shared" si="3"/>
        <v>44615.757957374262</v>
      </c>
      <c r="S66" s="514">
        <f t="shared" si="3"/>
        <v>43042.0472537717</v>
      </c>
      <c r="T66" s="514">
        <f t="shared" si="3"/>
        <v>41312.315580747083</v>
      </c>
      <c r="U66" s="514">
        <f t="shared" si="3"/>
        <v>40653.391949062818</v>
      </c>
      <c r="V66" s="514">
        <f t="shared" si="3"/>
        <v>38640.348963237731</v>
      </c>
      <c r="W66" s="514">
        <f t="shared" si="3"/>
        <v>38728.240552290932</v>
      </c>
      <c r="X66" s="514">
        <f t="shared" si="3"/>
        <v>31959.280682521869</v>
      </c>
      <c r="Y66" s="514">
        <f t="shared" si="3"/>
        <v>31952.485672060822</v>
      </c>
      <c r="Z66" s="514">
        <f t="shared" si="3"/>
        <v>31356.497216664255</v>
      </c>
      <c r="AA66" s="514">
        <f t="shared" si="3"/>
        <v>30354.568034164357</v>
      </c>
      <c r="AB66" s="514">
        <f t="shared" si="3"/>
        <v>31522.574405328167</v>
      </c>
      <c r="AC66" s="514">
        <f t="shared" si="3"/>
        <v>30707.437682966167</v>
      </c>
      <c r="AD66" s="514">
        <f t="shared" si="3"/>
        <v>29374.883521113356</v>
      </c>
      <c r="AE66" s="514">
        <f t="shared" si="3"/>
        <v>28788.107906326117</v>
      </c>
      <c r="AF66" s="514">
        <f t="shared" si="3"/>
        <v>28595.410436962364</v>
      </c>
      <c r="AG66" s="514">
        <f t="shared" si="3"/>
        <v>29644.800191300586</v>
      </c>
      <c r="AH66" s="514">
        <f t="shared" si="3"/>
        <v>28508.424423076271</v>
      </c>
      <c r="AI66" s="514">
        <f t="shared" si="3"/>
        <v>29498.454381345713</v>
      </c>
      <c r="AJ66" s="514">
        <f t="shared" si="3"/>
        <v>28223.759767907934</v>
      </c>
    </row>
    <row r="67" spans="1:36" ht="15.75" customHeight="1" x14ac:dyDescent="0.45">
      <c r="A67" s="509" t="s">
        <v>523</v>
      </c>
      <c r="B67" s="1462" t="s">
        <v>1389</v>
      </c>
      <c r="C67" s="515">
        <f t="shared" ref="C67:AJ67" si="4">C321</f>
        <v>63838.672378210082</v>
      </c>
      <c r="D67" s="515">
        <f t="shared" si="4"/>
        <v>62906.37937685541</v>
      </c>
      <c r="E67" s="515">
        <f t="shared" si="4"/>
        <v>62029.039172401091</v>
      </c>
      <c r="F67" s="515">
        <f t="shared" si="4"/>
        <v>58862.193408886407</v>
      </c>
      <c r="G67" s="515">
        <f t="shared" si="4"/>
        <v>56464.602882373743</v>
      </c>
      <c r="H67" s="515">
        <f t="shared" si="4"/>
        <v>54837.541460688277</v>
      </c>
      <c r="I67" s="515">
        <f t="shared" si="4"/>
        <v>52088.075136427709</v>
      </c>
      <c r="J67" s="515">
        <f t="shared" si="4"/>
        <v>49852.544138466918</v>
      </c>
      <c r="K67" s="515">
        <f t="shared" si="4"/>
        <v>47690.423678633626</v>
      </c>
      <c r="L67" s="515">
        <f t="shared" si="4"/>
        <v>45274.218602243171</v>
      </c>
      <c r="M67" s="515">
        <f t="shared" si="4"/>
        <v>43736.140333637173</v>
      </c>
      <c r="N67" s="515">
        <f t="shared" si="4"/>
        <v>40786.053739406816</v>
      </c>
      <c r="O67" s="515">
        <f t="shared" si="4"/>
        <v>38916.153624515449</v>
      </c>
      <c r="P67" s="515">
        <f t="shared" si="4"/>
        <v>36872.726307916942</v>
      </c>
      <c r="Q67" s="515">
        <f t="shared" si="4"/>
        <v>36464.209423460328</v>
      </c>
      <c r="R67" s="515">
        <f t="shared" si="4"/>
        <v>32865.138308674956</v>
      </c>
      <c r="S67" s="515">
        <f t="shared" si="4"/>
        <v>31074.534533891223</v>
      </c>
      <c r="T67" s="515">
        <f t="shared" si="4"/>
        <v>29191.110583486294</v>
      </c>
      <c r="U67" s="515">
        <f t="shared" si="4"/>
        <v>27460.712541714569</v>
      </c>
      <c r="V67" s="515">
        <f t="shared" si="4"/>
        <v>25593.17838332069</v>
      </c>
      <c r="W67" s="515">
        <f t="shared" si="4"/>
        <v>23801.943758389025</v>
      </c>
      <c r="X67" s="515">
        <f t="shared" si="4"/>
        <v>21606.321129389882</v>
      </c>
      <c r="Y67" s="515">
        <f t="shared" si="4"/>
        <v>21358.621716139951</v>
      </c>
      <c r="Z67" s="515">
        <f t="shared" si="4"/>
        <v>21041.420593105795</v>
      </c>
      <c r="AA67" s="515">
        <f t="shared" si="4"/>
        <v>20358.200007487154</v>
      </c>
      <c r="AB67" s="515">
        <f t="shared" si="4"/>
        <v>20128.196369058685</v>
      </c>
      <c r="AC67" s="515">
        <f t="shared" si="4"/>
        <v>19886.468312441233</v>
      </c>
      <c r="AD67" s="515">
        <f t="shared" si="4"/>
        <v>19403.970898109543</v>
      </c>
      <c r="AE67" s="515">
        <f t="shared" si="4"/>
        <v>19170.997301145871</v>
      </c>
      <c r="AF67" s="515">
        <f t="shared" si="4"/>
        <v>18747.714849010728</v>
      </c>
      <c r="AG67" s="515">
        <f t="shared" si="4"/>
        <v>19817.297515383343</v>
      </c>
      <c r="AH67" s="515">
        <f t="shared" si="4"/>
        <v>18114.18058600599</v>
      </c>
      <c r="AI67" s="515">
        <f t="shared" si="4"/>
        <v>18594.754646391124</v>
      </c>
      <c r="AJ67" s="515">
        <f t="shared" si="4"/>
        <v>17473.555137847663</v>
      </c>
    </row>
    <row r="68" spans="1:36" ht="15.75" customHeight="1" x14ac:dyDescent="0.45">
      <c r="A68" s="509" t="s">
        <v>522</v>
      </c>
      <c r="B68" s="1462" t="s">
        <v>1389</v>
      </c>
      <c r="C68" s="515">
        <f t="shared" ref="C68:AJ68" si="5">C499</f>
        <v>4006.8543220672336</v>
      </c>
      <c r="D68" s="515">
        <f t="shared" si="5"/>
        <v>4140.6027115657444</v>
      </c>
      <c r="E68" s="515">
        <f t="shared" si="5"/>
        <v>4492.8563618559265</v>
      </c>
      <c r="F68" s="515">
        <f t="shared" si="5"/>
        <v>4606.9080432143855</v>
      </c>
      <c r="G68" s="515">
        <f t="shared" si="5"/>
        <v>4827.9235192519445</v>
      </c>
      <c r="H68" s="515">
        <f t="shared" si="5"/>
        <v>5180.9327570891228</v>
      </c>
      <c r="I68" s="515">
        <f t="shared" si="5"/>
        <v>4862.8064648706613</v>
      </c>
      <c r="J68" s="515">
        <f t="shared" si="5"/>
        <v>5129.2743199239876</v>
      </c>
      <c r="K68" s="515">
        <f t="shared" si="5"/>
        <v>5000.9647466681126</v>
      </c>
      <c r="L68" s="515">
        <f t="shared" si="5"/>
        <v>5131.3996710659912</v>
      </c>
      <c r="M68" s="515">
        <f t="shared" si="5"/>
        <v>5142.9662711010078</v>
      </c>
      <c r="N68" s="515">
        <f t="shared" si="5"/>
        <v>5352.6859843840211</v>
      </c>
      <c r="O68" s="515">
        <f t="shared" si="5"/>
        <v>5801.177923827021</v>
      </c>
      <c r="P68" s="515">
        <f t="shared" si="5"/>
        <v>5832.8255103967367</v>
      </c>
      <c r="Q68" s="515">
        <f t="shared" si="5"/>
        <v>5683.4164207666145</v>
      </c>
      <c r="R68" s="515">
        <f t="shared" si="5"/>
        <v>5643.6103389859272</v>
      </c>
      <c r="S68" s="515">
        <f t="shared" si="5"/>
        <v>5963.971637103281</v>
      </c>
      <c r="T68" s="515">
        <f t="shared" si="5"/>
        <v>6170.3794419738506</v>
      </c>
      <c r="U68" s="515">
        <f t="shared" si="5"/>
        <v>5848.7754681055503</v>
      </c>
      <c r="V68" s="515">
        <f t="shared" si="5"/>
        <v>5776.1795174544586</v>
      </c>
      <c r="W68" s="515">
        <f t="shared" si="5"/>
        <v>6277.7721055580305</v>
      </c>
      <c r="X68" s="515">
        <f t="shared" si="5"/>
        <v>6315.7617240848094</v>
      </c>
      <c r="Y68" s="515">
        <f t="shared" si="5"/>
        <v>6366.130682762725</v>
      </c>
      <c r="Z68" s="515">
        <f t="shared" si="5"/>
        <v>6084.546615642902</v>
      </c>
      <c r="AA68" s="515">
        <f t="shared" si="5"/>
        <v>5831.9612016766987</v>
      </c>
      <c r="AB68" s="515">
        <f t="shared" si="5"/>
        <v>6179.8859617815469</v>
      </c>
      <c r="AC68" s="515">
        <f t="shared" si="5"/>
        <v>6262.2974953582261</v>
      </c>
      <c r="AD68" s="515">
        <f t="shared" si="5"/>
        <v>7247.1155784351122</v>
      </c>
      <c r="AE68" s="515">
        <f t="shared" si="5"/>
        <v>6975.6140845663458</v>
      </c>
      <c r="AF68" s="515">
        <f t="shared" si="5"/>
        <v>6861.9431311242042</v>
      </c>
      <c r="AG68" s="515">
        <f t="shared" si="5"/>
        <v>6926.419890619326</v>
      </c>
      <c r="AH68" s="515">
        <f t="shared" si="5"/>
        <v>6926.0621485848142</v>
      </c>
      <c r="AI68" s="515">
        <f t="shared" si="5"/>
        <v>7025.5729670423161</v>
      </c>
      <c r="AJ68" s="515">
        <f t="shared" si="5"/>
        <v>6792.7164037935963</v>
      </c>
    </row>
    <row r="69" spans="1:36" ht="15.75" customHeight="1" x14ac:dyDescent="0.45">
      <c r="A69" s="104" t="s">
        <v>117</v>
      </c>
      <c r="B69" s="1462" t="s">
        <v>1389</v>
      </c>
      <c r="C69" s="514">
        <f>'NG Transmission Storage'!C227</f>
        <v>6777.1208505469367</v>
      </c>
      <c r="D69" s="514">
        <f>'NG Transmission Storage'!D227</f>
        <v>6980.883426142138</v>
      </c>
      <c r="E69" s="514">
        <f>'NG Transmission Storage'!E227</f>
        <v>6981.1936776560797</v>
      </c>
      <c r="F69" s="514">
        <f>'NG Transmission Storage'!F227</f>
        <v>6900.473348371097</v>
      </c>
      <c r="G69" s="514">
        <f>'NG Transmission Storage'!G227</f>
        <v>6822.0698674658634</v>
      </c>
      <c r="H69" s="514">
        <f>'NG Transmission Storage'!H227</f>
        <v>6739.2281196993581</v>
      </c>
      <c r="I69" s="514">
        <f>'NG Transmission Storage'!I227</f>
        <v>6670.6604137374134</v>
      </c>
      <c r="J69" s="514">
        <f>'NG Transmission Storage'!J227</f>
        <v>6590.2186307167694</v>
      </c>
      <c r="K69" s="514">
        <f>'NG Transmission Storage'!K227</f>
        <v>6513.1117995377317</v>
      </c>
      <c r="L69" s="514">
        <f>'NG Transmission Storage'!L227</f>
        <v>6441.619791803525</v>
      </c>
      <c r="M69" s="514">
        <f>'NG Transmission Storage'!M227</f>
        <v>6450.4439870897822</v>
      </c>
      <c r="N69" s="514">
        <f>'NG Transmission Storage'!N227</f>
        <v>6392.0905713369639</v>
      </c>
      <c r="O69" s="514">
        <f>'NG Transmission Storage'!O227</f>
        <v>6322.2901990786049</v>
      </c>
      <c r="P69" s="514">
        <f>'NG Transmission Storage'!P227</f>
        <v>6229.3053004279927</v>
      </c>
      <c r="Q69" s="514">
        <f>'NG Transmission Storage'!Q227</f>
        <v>6178.7821754423039</v>
      </c>
      <c r="R69" s="514">
        <f>'NG Transmission Storage'!R227</f>
        <v>6107.0093097133758</v>
      </c>
      <c r="S69" s="514">
        <f>'NG Transmission Storage'!S227</f>
        <v>6003.5410827771939</v>
      </c>
      <c r="T69" s="514">
        <f>'NG Transmission Storage'!T227</f>
        <v>5950.8255552869396</v>
      </c>
      <c r="U69" s="514">
        <f>'NG Transmission Storage'!U227</f>
        <v>7343.903939242693</v>
      </c>
      <c r="V69" s="514">
        <f>'NG Transmission Storage'!V227</f>
        <v>7270.9910624625809</v>
      </c>
      <c r="W69" s="514">
        <f>'NG Transmission Storage'!W227</f>
        <v>8648.5246883438722</v>
      </c>
      <c r="X69" s="514">
        <f>'NG Transmission Storage'!X227</f>
        <v>4037.1978290471761</v>
      </c>
      <c r="Y69" s="514">
        <f>'NG Transmission Storage'!Y227</f>
        <v>4227.7332731581464</v>
      </c>
      <c r="Z69" s="514">
        <f>'NG Transmission Storage'!Z227</f>
        <v>4230.530007915555</v>
      </c>
      <c r="AA69" s="514">
        <f>'NG Transmission Storage'!AA227</f>
        <v>4164.4068250005039</v>
      </c>
      <c r="AB69" s="514">
        <f>'NG Transmission Storage'!AB227</f>
        <v>5214.4920744879337</v>
      </c>
      <c r="AC69" s="514">
        <f>'NG Transmission Storage'!AC227</f>
        <v>4558.6718751667049</v>
      </c>
      <c r="AD69" s="514">
        <f>'NG Transmission Storage'!AD227</f>
        <v>2723.7970445686983</v>
      </c>
      <c r="AE69" s="514">
        <f>'NG Transmission Storage'!AE227</f>
        <v>2641.4965206138991</v>
      </c>
      <c r="AF69" s="514">
        <f>'NG Transmission Storage'!AF227</f>
        <v>2985.752456827433</v>
      </c>
      <c r="AG69" s="514">
        <f>'NG Transmission Storage'!AG227</f>
        <v>2901.0827852979178</v>
      </c>
      <c r="AH69" s="514">
        <f>'NG Transmission Storage'!AH227</f>
        <v>3468.1816884854684</v>
      </c>
      <c r="AI69" s="514">
        <f>'NG Transmission Storage'!AI227</f>
        <v>3878.1267679122734</v>
      </c>
      <c r="AJ69" s="514">
        <f>'NG Transmission Storage'!AJ227</f>
        <v>3957.4882262666715</v>
      </c>
    </row>
    <row r="70" spans="1:36" x14ac:dyDescent="0.4">
      <c r="A70" s="3" t="s">
        <v>1063</v>
      </c>
    </row>
    <row r="72" spans="1:36" ht="15.75" customHeight="1" thickBot="1" x14ac:dyDescent="0.5">
      <c r="A72" s="512" t="s">
        <v>1391</v>
      </c>
      <c r="B72" s="611"/>
      <c r="C72" s="507"/>
      <c r="D72" s="507"/>
      <c r="E72" s="507"/>
      <c r="F72" s="507"/>
      <c r="G72" s="507"/>
      <c r="H72" s="507"/>
      <c r="I72" s="507"/>
      <c r="J72" s="507"/>
      <c r="K72" s="507"/>
      <c r="L72" s="507"/>
      <c r="M72" s="507"/>
      <c r="N72" s="507"/>
      <c r="O72" s="507"/>
      <c r="P72" s="507"/>
      <c r="Q72" s="507"/>
      <c r="R72" s="507"/>
      <c r="S72" s="507"/>
      <c r="T72" s="507"/>
      <c r="U72" s="507"/>
      <c r="V72" s="507"/>
      <c r="W72" s="1050">
        <f>W67*25/1000000</f>
        <v>0.59504859395972554</v>
      </c>
      <c r="X72" s="507"/>
      <c r="Y72" s="507"/>
      <c r="Z72" s="507"/>
      <c r="AA72" s="507"/>
      <c r="AB72" s="507"/>
      <c r="AC72" s="507"/>
      <c r="AD72" s="507"/>
      <c r="AE72" s="507"/>
      <c r="AF72" s="507"/>
      <c r="AG72" s="507"/>
      <c r="AH72" s="507"/>
      <c r="AI72" s="507"/>
      <c r="AJ72" s="507"/>
    </row>
    <row r="73" spans="1:36" ht="15.75" customHeight="1" thickBot="1" x14ac:dyDescent="0.45">
      <c r="A73" s="510" t="s">
        <v>536</v>
      </c>
      <c r="B73" s="640" t="s">
        <v>136</v>
      </c>
      <c r="C73" s="510" t="s">
        <v>391</v>
      </c>
      <c r="D73" s="511" t="s">
        <v>392</v>
      </c>
      <c r="E73" s="511" t="s">
        <v>393</v>
      </c>
      <c r="F73" s="510" t="s">
        <v>394</v>
      </c>
      <c r="G73" s="510" t="s">
        <v>395</v>
      </c>
      <c r="H73" s="510" t="s">
        <v>396</v>
      </c>
      <c r="I73" s="510" t="s">
        <v>397</v>
      </c>
      <c r="J73" s="510" t="s">
        <v>398</v>
      </c>
      <c r="K73" s="510" t="s">
        <v>399</v>
      </c>
      <c r="L73" s="510" t="s">
        <v>400</v>
      </c>
      <c r="M73" s="510" t="s">
        <v>401</v>
      </c>
      <c r="N73" s="510" t="s">
        <v>402</v>
      </c>
      <c r="O73" s="510" t="s">
        <v>403</v>
      </c>
      <c r="P73" s="510" t="s">
        <v>404</v>
      </c>
      <c r="Q73" s="510" t="s">
        <v>405</v>
      </c>
      <c r="R73" s="510" t="s">
        <v>406</v>
      </c>
      <c r="S73" s="510" t="s">
        <v>407</v>
      </c>
      <c r="T73" s="510" t="s">
        <v>408</v>
      </c>
      <c r="U73" s="510" t="s">
        <v>409</v>
      </c>
      <c r="V73" s="510" t="s">
        <v>410</v>
      </c>
      <c r="W73" s="510" t="s">
        <v>411</v>
      </c>
      <c r="X73" s="510" t="s">
        <v>412</v>
      </c>
      <c r="Y73" s="510" t="s">
        <v>413</v>
      </c>
      <c r="Z73" s="510" t="s">
        <v>414</v>
      </c>
      <c r="AA73" s="510" t="s">
        <v>415</v>
      </c>
      <c r="AB73" s="510" t="s">
        <v>416</v>
      </c>
      <c r="AC73" s="510" t="s">
        <v>417</v>
      </c>
      <c r="AD73" s="510" t="s">
        <v>418</v>
      </c>
      <c r="AE73" s="510" t="s">
        <v>419</v>
      </c>
      <c r="AF73" s="510" t="s">
        <v>420</v>
      </c>
      <c r="AG73" s="510" t="s">
        <v>421</v>
      </c>
      <c r="AH73" s="510" t="s">
        <v>422</v>
      </c>
      <c r="AI73" s="510" t="s">
        <v>423</v>
      </c>
      <c r="AJ73" s="510" t="s">
        <v>424</v>
      </c>
    </row>
    <row r="74" spans="1:36" ht="15.75" customHeight="1" x14ac:dyDescent="0.45">
      <c r="A74" s="507" t="s">
        <v>521</v>
      </c>
      <c r="B74" s="1462" t="s">
        <v>1390</v>
      </c>
      <c r="C74" s="514">
        <f>C77+C76+C75</f>
        <v>2198.937094996199</v>
      </c>
      <c r="D74" s="514">
        <f>D77+D76+D75</f>
        <v>2190.7880336667272</v>
      </c>
      <c r="E74" s="514">
        <f t="shared" ref="E74:AJ74" si="6">E77+E76+E75</f>
        <v>2197.1253387307297</v>
      </c>
      <c r="F74" s="514">
        <f t="shared" si="6"/>
        <v>2105.0910241555916</v>
      </c>
      <c r="G74" s="514">
        <f t="shared" si="6"/>
        <v>2050.4543671590586</v>
      </c>
      <c r="H74" s="514">
        <f t="shared" si="6"/>
        <v>2027.7071701114003</v>
      </c>
      <c r="I74" s="514">
        <f t="shared" si="6"/>
        <v>1916.2992538237595</v>
      </c>
      <c r="J74" s="514">
        <f t="shared" si="6"/>
        <v>1867.6728613579826</v>
      </c>
      <c r="K74" s="514">
        <f t="shared" si="6"/>
        <v>1782.4846778924134</v>
      </c>
      <c r="L74" s="514">
        <f t="shared" si="6"/>
        <v>1716.3866729855345</v>
      </c>
      <c r="M74" s="514">
        <f t="shared" si="6"/>
        <v>1665.3817162026987</v>
      </c>
      <c r="N74" s="514">
        <f t="shared" si="6"/>
        <v>1592.128658340743</v>
      </c>
      <c r="O74" s="514">
        <f t="shared" si="6"/>
        <v>1573.1869594899049</v>
      </c>
      <c r="P74" s="514">
        <f t="shared" si="6"/>
        <v>1512.0674183537208</v>
      </c>
      <c r="Q74" s="514">
        <f t="shared" si="6"/>
        <v>1485.2503214146384</v>
      </c>
      <c r="R74" s="514">
        <f t="shared" si="6"/>
        <v>1375.0623601824507</v>
      </c>
      <c r="S74" s="514">
        <f t="shared" si="6"/>
        <v>1334.2756083368033</v>
      </c>
      <c r="T74" s="514">
        <f t="shared" si="6"/>
        <v>1294.2160662057463</v>
      </c>
      <c r="U74" s="514">
        <f t="shared" si="6"/>
        <v>9800.7914843779108</v>
      </c>
      <c r="V74" s="514">
        <f t="shared" si="6"/>
        <v>9733.3859813484178</v>
      </c>
      <c r="W74" s="514">
        <f t="shared" si="6"/>
        <v>18311.798202137841</v>
      </c>
      <c r="X74" s="514">
        <f t="shared" si="6"/>
        <v>1005.8895220869931</v>
      </c>
      <c r="Y74" s="514">
        <f t="shared" si="6"/>
        <v>992.34648902208892</v>
      </c>
      <c r="Z74" s="514">
        <f t="shared" si="6"/>
        <v>958.24117865688459</v>
      </c>
      <c r="AA74" s="514">
        <f t="shared" si="6"/>
        <v>904.73378770940235</v>
      </c>
      <c r="AB74" s="514">
        <f t="shared" si="6"/>
        <v>9496.8500387098447</v>
      </c>
      <c r="AC74" s="514">
        <f t="shared" si="6"/>
        <v>9477.6134843976797</v>
      </c>
      <c r="AD74" s="514">
        <f t="shared" si="6"/>
        <v>872.9997361691112</v>
      </c>
      <c r="AE74" s="514">
        <f t="shared" si="6"/>
        <v>832.6224589082168</v>
      </c>
      <c r="AF74" s="514">
        <f t="shared" si="6"/>
        <v>3910.6899062003195</v>
      </c>
      <c r="AG74" s="514">
        <f t="shared" si="6"/>
        <v>819.58025903353393</v>
      </c>
      <c r="AH74" s="514">
        <f t="shared" si="6"/>
        <v>786.32511168089388</v>
      </c>
      <c r="AI74" s="514">
        <f t="shared" si="6"/>
        <v>1782.5093940015004</v>
      </c>
      <c r="AJ74" s="514">
        <f t="shared" si="6"/>
        <v>769.12657479919585</v>
      </c>
    </row>
    <row r="75" spans="1:36" ht="15.75" customHeight="1" x14ac:dyDescent="0.45">
      <c r="A75" s="509" t="s">
        <v>523</v>
      </c>
      <c r="B75" s="1462" t="s">
        <v>1390</v>
      </c>
      <c r="C75" s="515">
        <f t="shared" ref="C75:AJ75" si="7">C458</f>
        <v>1867.6010378235314</v>
      </c>
      <c r="D75" s="515">
        <f t="shared" si="7"/>
        <v>1840.0159310172733</v>
      </c>
      <c r="E75" s="515">
        <f t="shared" si="7"/>
        <v>1813.7097983717165</v>
      </c>
      <c r="F75" s="515">
        <f t="shared" si="7"/>
        <v>1720.9472985651184</v>
      </c>
      <c r="G75" s="515">
        <f t="shared" si="7"/>
        <v>1650.5826302836474</v>
      </c>
      <c r="H75" s="515">
        <f t="shared" si="7"/>
        <v>1602.1840389409365</v>
      </c>
      <c r="I75" s="515">
        <f t="shared" si="7"/>
        <v>1521.2567209425283</v>
      </c>
      <c r="J75" s="515">
        <f t="shared" si="7"/>
        <v>1456.0314262962477</v>
      </c>
      <c r="K75" s="515">
        <f t="shared" si="7"/>
        <v>1391.0997944042497</v>
      </c>
      <c r="L75" s="515">
        <f t="shared" si="7"/>
        <v>1319.8791553751989</v>
      </c>
      <c r="M75" s="515">
        <f t="shared" si="7"/>
        <v>1276.6728129629869</v>
      </c>
      <c r="N75" s="515">
        <f t="shared" si="7"/>
        <v>1189.2739955910793</v>
      </c>
      <c r="O75" s="515">
        <f t="shared" si="7"/>
        <v>1132.6020624063135</v>
      </c>
      <c r="P75" s="515">
        <f t="shared" si="7"/>
        <v>1075.0734051896782</v>
      </c>
      <c r="Q75" s="515">
        <f t="shared" si="7"/>
        <v>1062.6320825619589</v>
      </c>
      <c r="R75" s="515">
        <f t="shared" si="7"/>
        <v>955.18619565288589</v>
      </c>
      <c r="S75" s="515">
        <f t="shared" si="7"/>
        <v>903.76191993875466</v>
      </c>
      <c r="T75" s="515">
        <f t="shared" si="7"/>
        <v>847.14120943327657</v>
      </c>
      <c r="U75" s="515">
        <f t="shared" si="7"/>
        <v>796.59586165784913</v>
      </c>
      <c r="V75" s="515">
        <f t="shared" si="7"/>
        <v>741.87221959302508</v>
      </c>
      <c r="W75" s="515">
        <f t="shared" si="7"/>
        <v>689.40109518401414</v>
      </c>
      <c r="X75" s="515">
        <f t="shared" si="7"/>
        <v>626.17803415960066</v>
      </c>
      <c r="Y75" s="515">
        <f t="shared" si="7"/>
        <v>616.53656645302794</v>
      </c>
      <c r="Z75" s="515">
        <f t="shared" si="7"/>
        <v>607.28351990725662</v>
      </c>
      <c r="AA75" s="515">
        <f t="shared" si="7"/>
        <v>586.8912680231939</v>
      </c>
      <c r="AB75" s="515">
        <f t="shared" si="7"/>
        <v>580.11782979441966</v>
      </c>
      <c r="AC75" s="515">
        <f t="shared" si="7"/>
        <v>572.82109820523419</v>
      </c>
      <c r="AD75" s="515">
        <f t="shared" si="7"/>
        <v>558.5990963409497</v>
      </c>
      <c r="AE75" s="515">
        <f t="shared" si="7"/>
        <v>551.83925115687998</v>
      </c>
      <c r="AF75" s="515">
        <f t="shared" si="7"/>
        <v>538.66499504165154</v>
      </c>
      <c r="AG75" s="515">
        <f t="shared" si="7"/>
        <v>570.66304349123413</v>
      </c>
      <c r="AH75" s="515">
        <f t="shared" si="7"/>
        <v>520.56148105841487</v>
      </c>
      <c r="AI75" s="515">
        <f t="shared" si="7"/>
        <v>534.52978068295886</v>
      </c>
      <c r="AJ75" s="515">
        <f t="shared" si="7"/>
        <v>499.26086039077086</v>
      </c>
    </row>
    <row r="76" spans="1:36" ht="15.75" customHeight="1" x14ac:dyDescent="0.45">
      <c r="A76" s="509" t="s">
        <v>522</v>
      </c>
      <c r="B76" s="1462" t="s">
        <v>1390</v>
      </c>
      <c r="C76" s="36">
        <f t="shared" ref="C76:AJ76" si="8">C530</f>
        <v>111.37609021342101</v>
      </c>
      <c r="D76" s="36">
        <f t="shared" si="8"/>
        <v>122.28222814269036</v>
      </c>
      <c r="E76" s="36">
        <f t="shared" si="8"/>
        <v>154.9165310378672</v>
      </c>
      <c r="F76" s="36">
        <f t="shared" si="8"/>
        <v>157.57526657541942</v>
      </c>
      <c r="G76" s="36">
        <f t="shared" si="8"/>
        <v>175.28315616411584</v>
      </c>
      <c r="H76" s="36">
        <f t="shared" si="8"/>
        <v>202.94914105758059</v>
      </c>
      <c r="I76" s="36">
        <f t="shared" si="8"/>
        <v>174.07937457104816</v>
      </c>
      <c r="J76" s="36">
        <f t="shared" si="8"/>
        <v>192.72757964461823</v>
      </c>
      <c r="K76" s="36">
        <f t="shared" si="8"/>
        <v>174.34859645371998</v>
      </c>
      <c r="L76" s="36">
        <f t="shared" si="8"/>
        <v>181.21288905776234</v>
      </c>
      <c r="M76" s="36">
        <f t="shared" si="8"/>
        <v>172.48490624683905</v>
      </c>
      <c r="N76" s="36">
        <f t="shared" si="8"/>
        <v>187.85855000335948</v>
      </c>
      <c r="O76" s="36">
        <f t="shared" si="8"/>
        <v>227.36349471001176</v>
      </c>
      <c r="P76" s="36">
        <f t="shared" si="8"/>
        <v>225.85746638110632</v>
      </c>
      <c r="Q76" s="36">
        <f t="shared" si="8"/>
        <v>212.69760757705342</v>
      </c>
      <c r="R76" s="36">
        <f t="shared" si="8"/>
        <v>211.91056486257645</v>
      </c>
      <c r="S76" s="36">
        <f t="shared" si="8"/>
        <v>224.70006693778748</v>
      </c>
      <c r="T76" s="36">
        <f t="shared" si="8"/>
        <v>242.98844465014335</v>
      </c>
      <c r="U76" s="36">
        <f t="shared" si="8"/>
        <v>211.36309996160531</v>
      </c>
      <c r="V76" s="36">
        <f t="shared" si="8"/>
        <v>200.64960743457053</v>
      </c>
      <c r="W76" s="36">
        <f t="shared" si="8"/>
        <v>243.53662756139786</v>
      </c>
      <c r="X76" s="36">
        <f t="shared" si="8"/>
        <v>247.14705918040673</v>
      </c>
      <c r="Y76" s="36">
        <f t="shared" si="8"/>
        <v>236.59860116663498</v>
      </c>
      <c r="Z76" s="36">
        <f t="shared" si="8"/>
        <v>212.64509716463243</v>
      </c>
      <c r="AA76" s="36">
        <f t="shared" si="8"/>
        <v>190.99492165364001</v>
      </c>
      <c r="AB76" s="36">
        <f t="shared" si="8"/>
        <v>213.12618134231627</v>
      </c>
      <c r="AC76" s="36">
        <f t="shared" si="8"/>
        <v>213.97836657360287</v>
      </c>
      <c r="AD76" s="36">
        <f t="shared" si="8"/>
        <v>222.24882930209745</v>
      </c>
      <c r="AE76" s="36">
        <f t="shared" si="8"/>
        <v>191.83807279869697</v>
      </c>
      <c r="AF76" s="36">
        <f t="shared" si="8"/>
        <v>170.96752158944946</v>
      </c>
      <c r="AG76" s="36">
        <f t="shared" si="8"/>
        <v>159.28693822918504</v>
      </c>
      <c r="AH76" s="36">
        <f t="shared" si="8"/>
        <v>168.35766183753731</v>
      </c>
      <c r="AI76" s="36">
        <f t="shared" si="8"/>
        <v>172.66567617076183</v>
      </c>
      <c r="AJ76" s="36">
        <f t="shared" si="8"/>
        <v>159.93910270720161</v>
      </c>
    </row>
    <row r="77" spans="1:36" ht="15.75" customHeight="1" x14ac:dyDescent="0.45">
      <c r="A77" s="104" t="s">
        <v>117</v>
      </c>
      <c r="B77" s="1462" t="s">
        <v>1390</v>
      </c>
      <c r="C77" s="514">
        <f>'NG Transmission Storage'!C363</f>
        <v>219.95996695924646</v>
      </c>
      <c r="D77" s="514">
        <f>'NG Transmission Storage'!D363</f>
        <v>228.48987450676344</v>
      </c>
      <c r="E77" s="514">
        <f>'NG Transmission Storage'!E363</f>
        <v>228.49900932114608</v>
      </c>
      <c r="F77" s="514">
        <f>'NG Transmission Storage'!F363</f>
        <v>226.56845901505395</v>
      </c>
      <c r="G77" s="514">
        <f>'NG Transmission Storage'!G363</f>
        <v>224.58858071129552</v>
      </c>
      <c r="H77" s="514">
        <f>'NG Transmission Storage'!H363</f>
        <v>222.57399011288319</v>
      </c>
      <c r="I77" s="514">
        <f>'NG Transmission Storage'!I363</f>
        <v>220.96315831018316</v>
      </c>
      <c r="J77" s="514">
        <f>'NG Transmission Storage'!J363</f>
        <v>218.91385541711679</v>
      </c>
      <c r="K77" s="514">
        <f>'NG Transmission Storage'!K363</f>
        <v>217.03628703444389</v>
      </c>
      <c r="L77" s="514">
        <f>'NG Transmission Storage'!L363</f>
        <v>215.29462855257307</v>
      </c>
      <c r="M77" s="514">
        <f>'NG Transmission Storage'!M363</f>
        <v>216.22399699287274</v>
      </c>
      <c r="N77" s="514">
        <f>'NG Transmission Storage'!N363</f>
        <v>214.99611274630419</v>
      </c>
      <c r="O77" s="514">
        <f>'NG Transmission Storage'!O363</f>
        <v>213.22140237357971</v>
      </c>
      <c r="P77" s="514">
        <f>'NG Transmission Storage'!P363</f>
        <v>211.13654678293614</v>
      </c>
      <c r="Q77" s="514">
        <f>'NG Transmission Storage'!Q363</f>
        <v>209.92063127562602</v>
      </c>
      <c r="R77" s="514">
        <f>'NG Transmission Storage'!R363</f>
        <v>207.9655996669884</v>
      </c>
      <c r="S77" s="514">
        <f>'NG Transmission Storage'!S363</f>
        <v>205.81362146026123</v>
      </c>
      <c r="T77" s="514">
        <f>'NG Transmission Storage'!T363</f>
        <v>204.08641212232646</v>
      </c>
      <c r="U77" s="514">
        <f>'NG Transmission Storage'!U363</f>
        <v>8792.8325227584573</v>
      </c>
      <c r="V77" s="514">
        <f>'NG Transmission Storage'!V363</f>
        <v>8790.8641543208214</v>
      </c>
      <c r="W77" s="514">
        <f>'NG Transmission Storage'!W363</f>
        <v>17378.860479392428</v>
      </c>
      <c r="X77" s="514">
        <f>'NG Transmission Storage'!X363</f>
        <v>132.56442874698578</v>
      </c>
      <c r="Y77" s="514">
        <f>'NG Transmission Storage'!Y363</f>
        <v>139.21132140242599</v>
      </c>
      <c r="Z77" s="514">
        <f>'NG Transmission Storage'!Z363</f>
        <v>138.31256158499554</v>
      </c>
      <c r="AA77" s="514">
        <f>'NG Transmission Storage'!AA363</f>
        <v>126.8475980325685</v>
      </c>
      <c r="AB77" s="514">
        <f>'NG Transmission Storage'!AB363</f>
        <v>8703.6060275731088</v>
      </c>
      <c r="AC77" s="514">
        <f>'NG Transmission Storage'!AC363</f>
        <v>8690.8140196188433</v>
      </c>
      <c r="AD77" s="514">
        <f>'NG Transmission Storage'!AD363</f>
        <v>92.151810526064082</v>
      </c>
      <c r="AE77" s="514">
        <f>'NG Transmission Storage'!AE363</f>
        <v>88.945134952639876</v>
      </c>
      <c r="AF77" s="514">
        <f>'NG Transmission Storage'!AF363</f>
        <v>3201.0573895692182</v>
      </c>
      <c r="AG77" s="514">
        <f>'NG Transmission Storage'!AG363</f>
        <v>89.630277313114789</v>
      </c>
      <c r="AH77" s="514">
        <f>'NG Transmission Storage'!AH363</f>
        <v>97.405968784941678</v>
      </c>
      <c r="AI77" s="514">
        <f>'NG Transmission Storage'!AI363</f>
        <v>1075.3139371477796</v>
      </c>
      <c r="AJ77" s="514">
        <f>'NG Transmission Storage'!AJ363</f>
        <v>109.92661170122332</v>
      </c>
    </row>
    <row r="78" spans="1:36" x14ac:dyDescent="0.4">
      <c r="A78" s="3" t="s">
        <v>1063</v>
      </c>
    </row>
    <row r="80" spans="1:36" x14ac:dyDescent="0.4">
      <c r="A80" s="1109"/>
      <c r="B80" s="501"/>
      <c r="C80" s="501"/>
      <c r="E80" s="501"/>
      <c r="F80" s="501"/>
      <c r="G80" s="501"/>
      <c r="H80" s="501"/>
      <c r="I80" s="501"/>
      <c r="J80" s="501"/>
      <c r="K80" s="501"/>
      <c r="L80" s="501"/>
      <c r="M80" s="501"/>
      <c r="N80" s="501"/>
      <c r="O80" s="501"/>
      <c r="P80" s="501"/>
      <c r="Q80" s="501"/>
      <c r="R80" s="501"/>
      <c r="S80" s="501"/>
      <c r="T80" s="501"/>
      <c r="U80" s="501"/>
      <c r="V80" s="501"/>
      <c r="W80" s="501"/>
      <c r="X80" s="501"/>
      <c r="Y80" s="501"/>
      <c r="Z80" s="501"/>
      <c r="AA80" s="501"/>
    </row>
    <row r="81" spans="1:27" x14ac:dyDescent="0.4">
      <c r="A81" s="502" t="s">
        <v>1076</v>
      </c>
      <c r="B81" s="501"/>
      <c r="C81" s="501"/>
      <c r="E81" s="501"/>
      <c r="F81" s="501"/>
      <c r="G81" s="501"/>
      <c r="H81" s="501"/>
      <c r="I81" s="501"/>
      <c r="J81" s="501"/>
      <c r="K81" s="501"/>
      <c r="L81" s="501"/>
      <c r="M81" s="501"/>
      <c r="N81" s="501"/>
      <c r="O81" s="501"/>
      <c r="P81" s="501"/>
      <c r="Q81" s="501"/>
      <c r="R81" s="501"/>
      <c r="S81" s="501"/>
      <c r="T81" s="501"/>
      <c r="U81" s="501"/>
      <c r="V81" s="501"/>
      <c r="W81" s="501"/>
      <c r="X81" s="501"/>
      <c r="Y81" s="501"/>
      <c r="Z81" s="501"/>
      <c r="AA81" s="501"/>
    </row>
    <row r="82" spans="1:27" x14ac:dyDescent="0.4">
      <c r="A82" s="1175" t="s">
        <v>912</v>
      </c>
      <c r="B82" s="1174" t="s">
        <v>676</v>
      </c>
      <c r="C82" s="1174" t="s">
        <v>673</v>
      </c>
      <c r="D82" s="1174" t="s">
        <v>888</v>
      </c>
      <c r="E82" s="501"/>
      <c r="F82" s="501"/>
      <c r="G82" s="501"/>
      <c r="H82" s="501"/>
      <c r="I82" s="501"/>
      <c r="J82" s="501"/>
      <c r="K82" s="501"/>
      <c r="L82" s="501"/>
      <c r="M82" s="501"/>
      <c r="N82" s="501"/>
      <c r="O82" s="501"/>
      <c r="P82" s="501"/>
      <c r="Q82" s="501"/>
      <c r="R82" s="501"/>
      <c r="S82" s="501"/>
      <c r="T82" s="501"/>
      <c r="U82" s="501"/>
      <c r="V82" s="501"/>
      <c r="W82" s="501"/>
      <c r="X82" s="501"/>
      <c r="Y82" s="501"/>
      <c r="Z82" s="501"/>
      <c r="AA82" s="501"/>
    </row>
    <row r="83" spans="1:27" x14ac:dyDescent="0.4">
      <c r="A83" s="1004" t="s">
        <v>693</v>
      </c>
      <c r="B83" s="1006" t="s">
        <v>692</v>
      </c>
      <c r="C83" s="1342" t="s">
        <v>1167</v>
      </c>
      <c r="D83" s="1061">
        <v>44916</v>
      </c>
      <c r="E83" s="501"/>
      <c r="F83" s="501"/>
      <c r="G83" s="501"/>
      <c r="H83" s="501"/>
      <c r="I83" s="501"/>
      <c r="J83" s="501"/>
      <c r="K83" s="501"/>
      <c r="L83" s="501"/>
      <c r="M83" s="501"/>
      <c r="N83" s="501"/>
      <c r="O83" s="501"/>
      <c r="P83" s="501"/>
      <c r="Q83" s="501"/>
      <c r="R83" s="501"/>
      <c r="S83" s="501"/>
      <c r="T83" s="501"/>
      <c r="U83" s="501"/>
      <c r="V83" s="501"/>
      <c r="W83" s="501"/>
      <c r="X83" s="501"/>
      <c r="Y83" s="501"/>
      <c r="Z83" s="501"/>
      <c r="AA83" s="501"/>
    </row>
    <row r="84" spans="1:27" x14ac:dyDescent="0.4">
      <c r="A84" s="1003" t="s">
        <v>691</v>
      </c>
      <c r="B84" s="1006" t="s">
        <v>692</v>
      </c>
      <c r="C84" s="1395" t="s">
        <v>1278</v>
      </c>
      <c r="D84" s="1007">
        <v>45854</v>
      </c>
      <c r="E84" s="501"/>
      <c r="F84" s="501"/>
      <c r="G84" s="501"/>
      <c r="H84" s="501"/>
      <c r="I84" s="501"/>
      <c r="J84" s="501"/>
      <c r="K84" s="501"/>
      <c r="L84" s="501"/>
      <c r="M84" s="501"/>
      <c r="N84" s="501"/>
      <c r="O84" s="501"/>
      <c r="P84" s="501"/>
      <c r="Q84" s="501"/>
      <c r="R84" s="501"/>
      <c r="S84" s="501"/>
      <c r="T84" s="501"/>
      <c r="U84" s="501"/>
      <c r="V84" s="501"/>
      <c r="W84" s="501"/>
      <c r="X84" s="501"/>
      <c r="Y84" s="501"/>
      <c r="Z84" s="501"/>
      <c r="AA84" s="501"/>
    </row>
    <row r="85" spans="1:27" x14ac:dyDescent="0.4">
      <c r="A85" s="28" t="s">
        <v>1063</v>
      </c>
      <c r="B85" s="86"/>
      <c r="C85" s="86"/>
      <c r="D85" s="86"/>
      <c r="E85" s="501"/>
      <c r="F85" s="501"/>
      <c r="G85" s="501"/>
      <c r="H85" s="501"/>
      <c r="I85" s="501"/>
      <c r="J85" s="501"/>
      <c r="K85" s="501"/>
      <c r="L85" s="501"/>
      <c r="M85" s="501"/>
      <c r="N85" s="501"/>
      <c r="O85" s="501"/>
      <c r="P85" s="501"/>
      <c r="Q85" s="501"/>
      <c r="R85" s="501"/>
      <c r="S85" s="501"/>
      <c r="T85" s="501"/>
      <c r="U85" s="501"/>
      <c r="V85" s="501"/>
      <c r="W85" s="501"/>
      <c r="X85" s="501"/>
      <c r="Y85" s="501"/>
      <c r="Z85" s="501"/>
      <c r="AA85" s="501"/>
    </row>
    <row r="86" spans="1:27" x14ac:dyDescent="0.4">
      <c r="A86" s="28"/>
      <c r="B86" s="86"/>
      <c r="C86" s="86"/>
      <c r="D86" s="86"/>
      <c r="E86" s="501"/>
      <c r="F86" s="501"/>
      <c r="G86" s="501"/>
      <c r="H86" s="501"/>
      <c r="I86" s="501"/>
      <c r="J86" s="501"/>
      <c r="K86" s="501"/>
      <c r="L86" s="501"/>
      <c r="M86" s="501"/>
      <c r="N86" s="501"/>
      <c r="O86" s="501"/>
      <c r="P86" s="501"/>
      <c r="Q86" s="501"/>
      <c r="R86" s="501"/>
      <c r="S86" s="501"/>
      <c r="T86" s="501"/>
      <c r="U86" s="501"/>
      <c r="V86" s="501"/>
      <c r="W86" s="501"/>
      <c r="X86" s="501"/>
      <c r="Y86" s="501"/>
      <c r="Z86" s="501"/>
      <c r="AA86" s="501"/>
    </row>
    <row r="87" spans="1:27" ht="15.75" customHeight="1" x14ac:dyDescent="0.4">
      <c r="A87" s="502" t="s">
        <v>1068</v>
      </c>
      <c r="B87" s="503"/>
      <c r="C87" s="504"/>
      <c r="D87" s="504"/>
      <c r="E87" s="504"/>
      <c r="F87" s="504"/>
      <c r="G87" s="504"/>
      <c r="H87" s="504"/>
      <c r="I87" s="505"/>
      <c r="J87" s="504"/>
      <c r="K87" s="506"/>
      <c r="L87" s="504"/>
      <c r="M87" s="504"/>
      <c r="N87" s="501"/>
      <c r="O87" s="501"/>
      <c r="P87" s="507"/>
      <c r="Q87" s="507"/>
      <c r="R87" s="507"/>
      <c r="S87" s="507"/>
      <c r="T87" s="507"/>
      <c r="U87" s="507"/>
      <c r="V87" s="507"/>
      <c r="W87" s="507"/>
      <c r="X87" s="507"/>
      <c r="Y87" s="507"/>
      <c r="Z87" s="507"/>
      <c r="AA87" s="501"/>
    </row>
    <row r="88" spans="1:27" ht="15.75" customHeight="1" x14ac:dyDescent="0.4">
      <c r="A88" s="512" t="s">
        <v>785</v>
      </c>
      <c r="B88" s="503"/>
      <c r="C88" s="504"/>
      <c r="D88" s="504"/>
      <c r="E88" s="504"/>
      <c r="F88" s="504"/>
      <c r="G88" s="504"/>
      <c r="H88" s="504"/>
      <c r="I88" s="505"/>
      <c r="J88" s="504"/>
      <c r="K88" s="506"/>
      <c r="L88" s="504"/>
      <c r="M88" s="504"/>
      <c r="N88" s="501"/>
      <c r="O88" s="501"/>
      <c r="P88" s="507"/>
      <c r="Q88" s="507"/>
      <c r="R88" s="507"/>
      <c r="S88" s="507"/>
      <c r="T88" s="507"/>
      <c r="U88" s="507"/>
      <c r="V88" s="507"/>
      <c r="W88" s="507"/>
      <c r="X88" s="507"/>
      <c r="Y88" s="507"/>
      <c r="Z88" s="507"/>
      <c r="AA88" s="501"/>
    </row>
    <row r="89" spans="1:27" ht="15.75" customHeight="1" x14ac:dyDescent="0.4">
      <c r="A89" s="1011" t="s">
        <v>1408</v>
      </c>
      <c r="B89" s="503"/>
      <c r="C89" s="504"/>
      <c r="D89" s="504"/>
      <c r="E89" s="504"/>
      <c r="F89" s="504"/>
      <c r="G89" s="504"/>
      <c r="H89" s="504"/>
      <c r="I89" s="505"/>
      <c r="J89" s="504"/>
      <c r="K89" s="506"/>
      <c r="L89" s="504"/>
      <c r="M89" s="504"/>
      <c r="N89" s="501"/>
      <c r="O89" s="501"/>
      <c r="P89" s="507"/>
      <c r="Q89" s="507"/>
      <c r="R89" s="507"/>
      <c r="S89" s="507"/>
      <c r="T89" s="507"/>
      <c r="U89" s="507"/>
      <c r="V89" s="507"/>
      <c r="W89" s="507"/>
      <c r="X89" s="507"/>
      <c r="Y89" s="507"/>
      <c r="Z89" s="507"/>
      <c r="AA89" s="501"/>
    </row>
    <row r="90" spans="1:27" ht="15.75" customHeight="1" x14ac:dyDescent="0.4">
      <c r="A90" s="507" t="s">
        <v>786</v>
      </c>
      <c r="B90" s="503"/>
      <c r="C90" s="504"/>
      <c r="D90" s="504"/>
      <c r="E90" s="504"/>
      <c r="F90" s="504"/>
      <c r="G90" s="504"/>
      <c r="H90" s="504"/>
      <c r="I90" s="505"/>
      <c r="J90" s="504"/>
      <c r="K90" s="506"/>
      <c r="L90" s="504"/>
      <c r="M90" s="504"/>
      <c r="N90" s="501"/>
      <c r="O90" s="501"/>
      <c r="P90" s="507"/>
      <c r="Q90" s="507"/>
      <c r="R90" s="507"/>
      <c r="S90" s="507"/>
      <c r="T90" s="507"/>
      <c r="U90" s="507"/>
      <c r="V90" s="507"/>
      <c r="W90" s="507"/>
      <c r="X90" s="507"/>
      <c r="Y90" s="507"/>
      <c r="Z90" s="507"/>
      <c r="AA90" s="501"/>
    </row>
    <row r="91" spans="1:27" ht="15.75" customHeight="1" x14ac:dyDescent="0.45">
      <c r="A91" s="1399" t="s">
        <v>1433</v>
      </c>
      <c r="B91" s="503"/>
      <c r="C91" s="504"/>
      <c r="D91" s="504"/>
      <c r="E91" s="504"/>
      <c r="F91" s="504"/>
      <c r="G91" s="504"/>
      <c r="H91" s="504"/>
      <c r="I91" s="505"/>
      <c r="J91" s="504"/>
      <c r="K91" s="506"/>
      <c r="L91" s="504"/>
      <c r="M91" s="504"/>
      <c r="N91" s="501"/>
      <c r="O91" s="501"/>
      <c r="P91" s="507"/>
      <c r="Q91" s="507"/>
      <c r="R91" s="507"/>
      <c r="S91" s="507"/>
      <c r="T91" s="507"/>
      <c r="U91" s="507"/>
      <c r="V91" s="507"/>
      <c r="W91" s="507"/>
      <c r="X91" s="507"/>
      <c r="Y91" s="507"/>
      <c r="Z91" s="507"/>
      <c r="AA91" s="501"/>
    </row>
    <row r="92" spans="1:27" ht="15.75" customHeight="1" x14ac:dyDescent="0.45">
      <c r="A92" s="1399" t="s">
        <v>1434</v>
      </c>
      <c r="B92" s="503"/>
      <c r="C92" s="504"/>
      <c r="D92" s="504"/>
      <c r="E92" s="504"/>
      <c r="F92" s="504"/>
      <c r="G92" s="504"/>
      <c r="H92" s="504"/>
      <c r="I92" s="505"/>
      <c r="J92" s="504"/>
      <c r="K92" s="506"/>
      <c r="L92" s="504"/>
      <c r="M92" s="504"/>
      <c r="N92" s="501"/>
      <c r="O92" s="501"/>
      <c r="P92" s="507"/>
      <c r="Q92" s="507"/>
      <c r="R92" s="507"/>
      <c r="S92" s="507"/>
      <c r="T92" s="507"/>
      <c r="U92" s="507"/>
      <c r="V92" s="507"/>
      <c r="W92" s="507"/>
      <c r="X92" s="507"/>
      <c r="Y92" s="507"/>
      <c r="Z92" s="507"/>
      <c r="AA92" s="501"/>
    </row>
    <row r="93" spans="1:27" ht="15.75" customHeight="1" x14ac:dyDescent="0.45">
      <c r="A93" s="1399" t="s">
        <v>1435</v>
      </c>
      <c r="B93" s="503"/>
      <c r="C93" s="504"/>
      <c r="D93" s="504"/>
      <c r="E93" s="504"/>
      <c r="F93" s="504"/>
      <c r="G93" s="504"/>
      <c r="H93" s="504"/>
      <c r="I93" s="505"/>
      <c r="J93" s="504"/>
      <c r="K93" s="506"/>
      <c r="L93" s="504"/>
      <c r="M93" s="504"/>
      <c r="N93" s="501"/>
      <c r="O93" s="501"/>
      <c r="P93" s="507"/>
      <c r="Q93" s="507"/>
      <c r="R93" s="507"/>
      <c r="S93" s="507"/>
      <c r="T93" s="507"/>
      <c r="U93" s="507"/>
      <c r="V93" s="507"/>
      <c r="W93" s="507"/>
      <c r="X93" s="507"/>
      <c r="Y93" s="507"/>
      <c r="Z93" s="507"/>
      <c r="AA93" s="501"/>
    </row>
    <row r="94" spans="1:27" ht="15.75" customHeight="1" x14ac:dyDescent="0.45">
      <c r="A94" s="1399" t="s">
        <v>1436</v>
      </c>
      <c r="B94" s="503"/>
      <c r="C94" s="504"/>
      <c r="D94" s="504"/>
      <c r="E94" s="504"/>
      <c r="F94" s="504"/>
      <c r="G94" s="504"/>
      <c r="H94" s="504"/>
      <c r="I94" s="505"/>
      <c r="J94" s="504"/>
      <c r="K94" s="506"/>
      <c r="L94" s="504"/>
      <c r="M94" s="504"/>
      <c r="N94" s="501"/>
      <c r="O94" s="501"/>
      <c r="P94" s="507"/>
      <c r="Q94" s="507"/>
      <c r="R94" s="507"/>
      <c r="S94" s="507"/>
      <c r="T94" s="507"/>
      <c r="U94" s="507"/>
      <c r="V94" s="507"/>
      <c r="W94" s="507"/>
      <c r="X94" s="507"/>
      <c r="Y94" s="507"/>
      <c r="Z94" s="507"/>
      <c r="AA94" s="501"/>
    </row>
    <row r="95" spans="1:27" ht="15.75" customHeight="1" x14ac:dyDescent="0.45">
      <c r="A95" s="1399" t="s">
        <v>1437</v>
      </c>
      <c r="B95" s="503"/>
      <c r="C95" s="504"/>
      <c r="D95" s="504"/>
      <c r="E95" s="504"/>
      <c r="F95" s="504"/>
      <c r="G95" s="504"/>
      <c r="H95" s="504"/>
      <c r="I95" s="505"/>
      <c r="J95" s="504"/>
      <c r="K95" s="506"/>
      <c r="L95" s="504"/>
      <c r="M95" s="504"/>
      <c r="N95" s="501"/>
      <c r="O95" s="501"/>
      <c r="P95" s="507"/>
      <c r="Q95" s="507"/>
      <c r="R95" s="507"/>
      <c r="S95" s="507"/>
      <c r="T95" s="507"/>
      <c r="U95" s="507"/>
      <c r="V95" s="507"/>
      <c r="W95" s="507"/>
      <c r="X95" s="507"/>
      <c r="Y95" s="507"/>
      <c r="Z95" s="507"/>
      <c r="AA95" s="501"/>
    </row>
    <row r="96" spans="1:27" ht="15.75" customHeight="1" x14ac:dyDescent="0.45">
      <c r="A96" s="1399" t="s">
        <v>1438</v>
      </c>
      <c r="B96" s="503"/>
      <c r="C96" s="504"/>
      <c r="D96" s="504"/>
      <c r="E96" s="504"/>
      <c r="F96" s="504"/>
      <c r="G96" s="504"/>
      <c r="H96" s="504"/>
      <c r="I96" s="505"/>
      <c r="J96" s="504"/>
      <c r="K96" s="506"/>
      <c r="L96" s="504"/>
      <c r="M96" s="504"/>
      <c r="N96" s="501"/>
      <c r="O96" s="501"/>
      <c r="P96" s="507"/>
      <c r="Q96" s="507"/>
      <c r="R96" s="507"/>
      <c r="S96" s="507"/>
      <c r="T96" s="507"/>
      <c r="U96" s="507"/>
      <c r="V96" s="507"/>
      <c r="W96" s="507"/>
      <c r="X96" s="507"/>
      <c r="Y96" s="507"/>
      <c r="Z96" s="507"/>
      <c r="AA96" s="501"/>
    </row>
    <row r="97" spans="1:38" ht="15.75" customHeight="1" x14ac:dyDescent="0.4">
      <c r="A97" s="512" t="s">
        <v>789</v>
      </c>
      <c r="B97" s="503"/>
      <c r="C97" s="504"/>
      <c r="D97" s="504"/>
      <c r="E97" s="504"/>
      <c r="F97" s="504"/>
      <c r="G97" s="504"/>
      <c r="H97" s="504"/>
      <c r="I97" s="505"/>
      <c r="J97" s="504"/>
      <c r="K97" s="506"/>
      <c r="L97" s="504"/>
      <c r="M97" s="504"/>
      <c r="N97" s="501"/>
      <c r="O97" s="501"/>
      <c r="P97" s="507"/>
      <c r="Q97" s="507"/>
      <c r="R97" s="507"/>
      <c r="S97" s="507"/>
      <c r="T97" s="507"/>
      <c r="U97" s="507"/>
      <c r="V97" s="507"/>
      <c r="W97" s="507"/>
      <c r="X97" s="507"/>
      <c r="Y97" s="507"/>
      <c r="Z97" s="507"/>
      <c r="AA97" s="501"/>
    </row>
    <row r="98" spans="1:38" ht="15.75" customHeight="1" x14ac:dyDescent="0.4">
      <c r="A98" s="1011" t="s">
        <v>1091</v>
      </c>
      <c r="B98" s="503"/>
      <c r="C98" s="504"/>
      <c r="D98" s="504"/>
      <c r="E98" s="504"/>
      <c r="F98" s="504"/>
      <c r="G98" s="504"/>
      <c r="H98" s="504"/>
      <c r="I98" s="505"/>
      <c r="J98" s="504"/>
      <c r="K98" s="506"/>
      <c r="L98" s="504"/>
      <c r="M98" s="504"/>
      <c r="N98" s="501"/>
      <c r="O98" s="501"/>
      <c r="P98" s="507"/>
      <c r="Q98" s="507"/>
      <c r="R98" s="507"/>
      <c r="S98" s="507"/>
      <c r="T98" s="507"/>
      <c r="U98" s="507"/>
      <c r="V98" s="507"/>
      <c r="W98" s="507"/>
      <c r="X98" s="507"/>
      <c r="Y98" s="507"/>
      <c r="Z98" s="507"/>
      <c r="AA98" s="501"/>
    </row>
    <row r="99" spans="1:38" ht="15.75" customHeight="1" x14ac:dyDescent="0.4">
      <c r="A99" s="507" t="s">
        <v>788</v>
      </c>
      <c r="B99" s="503"/>
      <c r="C99" s="504"/>
      <c r="D99" s="504"/>
      <c r="E99" s="504"/>
      <c r="F99" s="504"/>
      <c r="G99" s="504"/>
      <c r="H99" s="504"/>
      <c r="I99" s="505"/>
      <c r="J99" s="504"/>
      <c r="K99" s="506"/>
      <c r="L99" s="504"/>
      <c r="M99" s="504"/>
      <c r="N99" s="501"/>
      <c r="O99" s="501"/>
      <c r="P99" s="507"/>
      <c r="Q99" s="507"/>
      <c r="R99" s="507"/>
      <c r="S99" s="507"/>
      <c r="T99" s="507"/>
      <c r="U99" s="507"/>
      <c r="V99" s="507"/>
      <c r="W99" s="507"/>
      <c r="X99" s="507"/>
      <c r="Y99" s="507"/>
      <c r="Z99" s="507"/>
      <c r="AA99" s="501"/>
    </row>
    <row r="100" spans="1:38" ht="15.75" customHeight="1" x14ac:dyDescent="0.45">
      <c r="A100" s="1399" t="s">
        <v>1439</v>
      </c>
      <c r="B100" s="503"/>
      <c r="C100" s="504"/>
      <c r="D100" s="504"/>
      <c r="E100" s="504"/>
      <c r="F100" s="504"/>
      <c r="G100" s="504"/>
      <c r="H100" s="504"/>
      <c r="I100" s="505"/>
      <c r="J100" s="504"/>
      <c r="K100" s="506"/>
      <c r="L100" s="504"/>
      <c r="M100" s="504"/>
      <c r="N100" s="501"/>
      <c r="O100" s="501"/>
      <c r="P100" s="507"/>
      <c r="Q100" s="507"/>
      <c r="R100" s="507"/>
      <c r="S100" s="507"/>
      <c r="T100" s="507"/>
      <c r="U100" s="507"/>
      <c r="V100" s="507"/>
      <c r="W100" s="507"/>
      <c r="X100" s="507"/>
      <c r="Y100" s="507"/>
      <c r="Z100" s="507"/>
      <c r="AA100" s="501"/>
    </row>
    <row r="101" spans="1:38" ht="15.75" customHeight="1" x14ac:dyDescent="0.45">
      <c r="A101" s="1399" t="s">
        <v>1440</v>
      </c>
      <c r="B101" s="503"/>
      <c r="C101" s="504"/>
      <c r="D101" s="504"/>
      <c r="E101" s="504"/>
      <c r="F101" s="504"/>
      <c r="G101" s="504"/>
      <c r="H101" s="504"/>
      <c r="I101" s="505"/>
      <c r="J101" s="504"/>
      <c r="K101" s="506"/>
      <c r="L101" s="504"/>
      <c r="M101" s="504"/>
      <c r="N101" s="501"/>
      <c r="O101" s="501"/>
      <c r="P101" s="507"/>
      <c r="Q101" s="507"/>
      <c r="R101" s="507"/>
      <c r="S101" s="507"/>
      <c r="T101" s="507"/>
      <c r="U101" s="507"/>
      <c r="V101" s="507"/>
      <c r="W101" s="507"/>
      <c r="X101" s="507"/>
      <c r="Y101" s="507"/>
      <c r="Z101" s="507"/>
      <c r="AA101" s="501"/>
    </row>
    <row r="102" spans="1:38" ht="15.75" customHeight="1" x14ac:dyDescent="0.45">
      <c r="A102" s="1399" t="s">
        <v>1441</v>
      </c>
      <c r="B102" s="503"/>
      <c r="C102" s="504"/>
      <c r="D102" s="504"/>
      <c r="E102" s="504"/>
      <c r="F102" s="504"/>
      <c r="G102" s="504"/>
      <c r="H102" s="504"/>
      <c r="I102" s="505"/>
      <c r="J102" s="504"/>
      <c r="K102" s="506"/>
      <c r="L102" s="504"/>
      <c r="M102" s="504"/>
      <c r="N102" s="501"/>
      <c r="O102" s="501"/>
      <c r="P102" s="507"/>
      <c r="Q102" s="507"/>
      <c r="R102" s="507"/>
      <c r="S102" s="507"/>
      <c r="T102" s="507"/>
      <c r="U102" s="507"/>
      <c r="V102" s="507"/>
      <c r="W102" s="507"/>
      <c r="X102" s="507"/>
      <c r="Y102" s="507"/>
      <c r="Z102" s="507"/>
      <c r="AA102" s="501"/>
    </row>
    <row r="103" spans="1:38" ht="15.75" customHeight="1" x14ac:dyDescent="0.45">
      <c r="A103" s="1399" t="s">
        <v>1442</v>
      </c>
      <c r="B103" s="503"/>
      <c r="C103" s="504"/>
      <c r="D103" s="504"/>
      <c r="E103" s="504"/>
      <c r="F103" s="504"/>
      <c r="G103" s="504"/>
      <c r="H103" s="504"/>
      <c r="I103" s="505"/>
      <c r="J103" s="504"/>
      <c r="K103" s="506"/>
      <c r="L103" s="504"/>
      <c r="M103" s="504"/>
      <c r="N103" s="501"/>
      <c r="O103" s="501"/>
      <c r="P103" s="507"/>
      <c r="Q103" s="507"/>
      <c r="R103" s="507"/>
      <c r="S103" s="507"/>
      <c r="T103" s="507"/>
      <c r="U103" s="507"/>
      <c r="V103" s="507"/>
      <c r="W103" s="507"/>
      <c r="X103" s="507"/>
      <c r="Y103" s="507"/>
      <c r="Z103" s="507"/>
      <c r="AA103" s="501"/>
    </row>
    <row r="104" spans="1:38" ht="15.75" customHeight="1" x14ac:dyDescent="0.4">
      <c r="A104" s="1182" t="s">
        <v>787</v>
      </c>
      <c r="B104" s="503"/>
      <c r="C104" s="504"/>
      <c r="D104" s="504"/>
      <c r="E104" s="504"/>
      <c r="F104" s="504"/>
      <c r="G104" s="504"/>
      <c r="H104" s="504"/>
      <c r="I104" s="505"/>
      <c r="J104" s="504"/>
      <c r="K104" s="506"/>
      <c r="L104" s="504"/>
      <c r="M104" s="504"/>
      <c r="N104" s="501"/>
      <c r="O104" s="501"/>
      <c r="P104" s="507"/>
      <c r="Q104" s="507"/>
      <c r="R104" s="507"/>
      <c r="S104" s="507"/>
      <c r="T104" s="507"/>
      <c r="U104" s="507"/>
      <c r="V104" s="507"/>
      <c r="W104" s="507"/>
      <c r="X104" s="507"/>
      <c r="Y104" s="507"/>
      <c r="Z104" s="507"/>
      <c r="AA104" s="501"/>
    </row>
    <row r="105" spans="1:38" ht="15.75" customHeight="1" x14ac:dyDescent="0.4">
      <c r="A105" s="1182"/>
      <c r="B105" s="503"/>
      <c r="C105" s="504"/>
      <c r="D105" s="504"/>
      <c r="E105" s="504"/>
      <c r="F105" s="504"/>
      <c r="G105" s="504"/>
      <c r="H105" s="504"/>
      <c r="I105" s="505"/>
      <c r="J105" s="504"/>
      <c r="K105" s="506"/>
      <c r="L105" s="504"/>
      <c r="M105" s="504"/>
      <c r="N105" s="501"/>
      <c r="O105" s="501"/>
      <c r="P105" s="507"/>
      <c r="Q105" s="507"/>
      <c r="R105" s="507"/>
      <c r="S105" s="507"/>
      <c r="T105" s="507"/>
      <c r="U105" s="507"/>
      <c r="V105" s="507"/>
      <c r="W105" s="507"/>
      <c r="X105" s="507"/>
      <c r="Y105" s="507"/>
      <c r="Z105" s="507"/>
      <c r="AA105" s="501"/>
    </row>
    <row r="106" spans="1:38" ht="25" customHeight="1" x14ac:dyDescent="0.5">
      <c r="A106" s="52" t="s">
        <v>1409</v>
      </c>
      <c r="C106" s="29"/>
      <c r="W106" s="41"/>
      <c r="AJ106" s="28"/>
    </row>
    <row r="107" spans="1:38" x14ac:dyDescent="0.4">
      <c r="A107" s="512" t="s">
        <v>786</v>
      </c>
      <c r="C107" s="334"/>
      <c r="D107" s="334"/>
      <c r="E107" s="334"/>
      <c r="K107" s="14"/>
    </row>
    <row r="108" spans="1:38" x14ac:dyDescent="0.4">
      <c r="A108" s="165" t="s">
        <v>529</v>
      </c>
      <c r="C108" s="334"/>
      <c r="D108" s="334"/>
      <c r="E108" s="334"/>
      <c r="K108" s="14"/>
    </row>
    <row r="109" spans="1:38" s="28" customFormat="1" x14ac:dyDescent="0.4">
      <c r="A109" s="108" t="s">
        <v>790</v>
      </c>
      <c r="B109" s="165" t="s">
        <v>136</v>
      </c>
      <c r="C109" s="165" t="s">
        <v>391</v>
      </c>
      <c r="D109" s="165" t="s">
        <v>392</v>
      </c>
      <c r="E109" s="165" t="s">
        <v>393</v>
      </c>
      <c r="F109" s="165" t="s">
        <v>394</v>
      </c>
      <c r="G109" s="165" t="s">
        <v>395</v>
      </c>
      <c r="H109" s="165" t="s">
        <v>396</v>
      </c>
      <c r="I109" s="165" t="s">
        <v>397</v>
      </c>
      <c r="J109" s="165" t="s">
        <v>398</v>
      </c>
      <c r="K109" s="165" t="s">
        <v>399</v>
      </c>
      <c r="L109" s="165" t="s">
        <v>400</v>
      </c>
      <c r="M109" s="165" t="s">
        <v>401</v>
      </c>
      <c r="N109" s="165" t="s">
        <v>402</v>
      </c>
      <c r="O109" s="165" t="s">
        <v>403</v>
      </c>
      <c r="P109" s="165" t="s">
        <v>404</v>
      </c>
      <c r="Q109" s="165" t="s">
        <v>405</v>
      </c>
      <c r="R109" s="165" t="s">
        <v>406</v>
      </c>
      <c r="S109" s="165" t="s">
        <v>407</v>
      </c>
      <c r="T109" s="165" t="s">
        <v>408</v>
      </c>
      <c r="U109" s="165" t="s">
        <v>409</v>
      </c>
      <c r="V109" s="165" t="s">
        <v>410</v>
      </c>
      <c r="W109" s="165" t="s">
        <v>411</v>
      </c>
      <c r="X109" s="165" t="s">
        <v>412</v>
      </c>
      <c r="Y109" s="165" t="s">
        <v>413</v>
      </c>
      <c r="Z109" s="165" t="s">
        <v>414</v>
      </c>
      <c r="AA109" s="165" t="s">
        <v>415</v>
      </c>
      <c r="AB109" s="165" t="s">
        <v>416</v>
      </c>
      <c r="AC109" s="165" t="s">
        <v>417</v>
      </c>
      <c r="AD109" s="165" t="s">
        <v>418</v>
      </c>
      <c r="AE109" s="165" t="s">
        <v>419</v>
      </c>
      <c r="AF109" s="165" t="s">
        <v>420</v>
      </c>
      <c r="AG109" s="165" t="s">
        <v>421</v>
      </c>
      <c r="AH109" s="165" t="s">
        <v>422</v>
      </c>
      <c r="AI109" s="165" t="s">
        <v>423</v>
      </c>
      <c r="AJ109" s="165" t="s">
        <v>424</v>
      </c>
      <c r="AK109" s="3"/>
      <c r="AL109" s="3"/>
    </row>
    <row r="110" spans="1:38" x14ac:dyDescent="0.4">
      <c r="A110" s="518" t="s">
        <v>118</v>
      </c>
      <c r="B110" s="3" t="s">
        <v>170</v>
      </c>
      <c r="C110" s="9">
        <v>2784</v>
      </c>
      <c r="D110" s="9">
        <v>2737</v>
      </c>
      <c r="E110" s="9">
        <v>2648</v>
      </c>
      <c r="F110" s="9">
        <v>2588</v>
      </c>
      <c r="G110" s="9">
        <v>2529</v>
      </c>
      <c r="H110" s="9">
        <v>2481</v>
      </c>
      <c r="I110" s="9">
        <v>2436</v>
      </c>
      <c r="J110" s="9">
        <v>2393.5</v>
      </c>
      <c r="K110" s="9">
        <v>2349</v>
      </c>
      <c r="L110" s="9">
        <v>2329</v>
      </c>
      <c r="M110" s="9">
        <v>2603.5</v>
      </c>
      <c r="N110" s="9">
        <v>2398</v>
      </c>
      <c r="O110" s="9">
        <v>2421</v>
      </c>
      <c r="P110" s="9">
        <v>2329</v>
      </c>
      <c r="Q110" s="9">
        <v>2271.9870000000001</v>
      </c>
      <c r="R110" s="9">
        <v>2174.9859999999999</v>
      </c>
      <c r="S110" s="9">
        <v>2125.0189999999998</v>
      </c>
      <c r="T110" s="9">
        <v>2054.0549999999998</v>
      </c>
      <c r="U110" s="9">
        <v>1988.9559999999999</v>
      </c>
      <c r="V110" s="9">
        <v>1913.8189999999997</v>
      </c>
      <c r="W110" s="9">
        <v>1839.1949999999997</v>
      </c>
      <c r="X110" s="9">
        <v>1746.3110000000001</v>
      </c>
      <c r="Y110" s="9">
        <v>1622.2090000000001</v>
      </c>
      <c r="Z110" s="9">
        <v>1538.5670000000002</v>
      </c>
      <c r="AA110" s="9">
        <v>1487.05</v>
      </c>
      <c r="AB110" s="9">
        <v>1417.8520000000003</v>
      </c>
      <c r="AC110" s="9">
        <v>1317.1020000000001</v>
      </c>
      <c r="AD110" s="9">
        <v>1206.0239999999999</v>
      </c>
      <c r="AE110" s="9">
        <v>1145.8670000000002</v>
      </c>
      <c r="AF110" s="9">
        <v>1077.4349999999999</v>
      </c>
      <c r="AG110" s="9">
        <v>1011.423</v>
      </c>
      <c r="AH110" s="188">
        <v>934.69400000000007</v>
      </c>
      <c r="AI110" s="188">
        <v>931.7120000000001</v>
      </c>
      <c r="AJ110" s="188">
        <v>848.0619999999999</v>
      </c>
    </row>
    <row r="111" spans="1:38" x14ac:dyDescent="0.4">
      <c r="A111" s="519" t="s">
        <v>119</v>
      </c>
      <c r="B111" s="3" t="s">
        <v>170</v>
      </c>
      <c r="C111" s="9">
        <v>2888</v>
      </c>
      <c r="D111" s="9">
        <v>2806</v>
      </c>
      <c r="E111" s="9">
        <v>2754</v>
      </c>
      <c r="F111" s="9">
        <v>2669</v>
      </c>
      <c r="G111" s="9">
        <v>2580</v>
      </c>
      <c r="H111" s="9">
        <v>2512</v>
      </c>
      <c r="I111" s="9">
        <v>2351</v>
      </c>
      <c r="J111" s="9">
        <v>2312.5</v>
      </c>
      <c r="K111" s="9">
        <v>2252.5</v>
      </c>
      <c r="L111" s="9">
        <v>2173</v>
      </c>
      <c r="M111" s="9">
        <v>2118</v>
      </c>
      <c r="N111" s="9">
        <v>1637</v>
      </c>
      <c r="O111" s="9">
        <v>1425</v>
      </c>
      <c r="P111" s="9">
        <v>1256.3333333333333</v>
      </c>
      <c r="Q111" s="9">
        <v>1233.9366666666667</v>
      </c>
      <c r="R111" s="9">
        <v>1015.2810000000001</v>
      </c>
      <c r="S111" s="9">
        <v>1510.3520000000001</v>
      </c>
      <c r="T111" s="9">
        <v>1410.135</v>
      </c>
      <c r="U111" s="9">
        <v>1376.232</v>
      </c>
      <c r="V111" s="9">
        <v>1318.5780000000002</v>
      </c>
      <c r="W111" s="9">
        <v>1241.2710000000002</v>
      </c>
      <c r="X111" s="9">
        <v>1160.97</v>
      </c>
      <c r="Y111" s="9">
        <v>1162.8399999999999</v>
      </c>
      <c r="Z111" s="9">
        <v>1149.636</v>
      </c>
      <c r="AA111" s="9">
        <v>1116.9070000000002</v>
      </c>
      <c r="AB111" s="9">
        <v>1113.386</v>
      </c>
      <c r="AC111" s="9">
        <v>1091.992</v>
      </c>
      <c r="AD111" s="9">
        <v>1045.3530000000001</v>
      </c>
      <c r="AE111" s="9">
        <v>1011.107</v>
      </c>
      <c r="AF111" s="9">
        <v>978.54300000000012</v>
      </c>
      <c r="AG111" s="9">
        <v>959.04899999999998</v>
      </c>
      <c r="AH111" s="188">
        <v>911.46399999999994</v>
      </c>
      <c r="AI111" s="188">
        <v>897.91599999999994</v>
      </c>
      <c r="AJ111" s="188">
        <v>866.52799999999991</v>
      </c>
    </row>
    <row r="112" spans="1:38" x14ac:dyDescent="0.4">
      <c r="A112" s="519" t="s">
        <v>120</v>
      </c>
      <c r="B112" s="3" t="s">
        <v>170</v>
      </c>
      <c r="C112" s="9">
        <v>53</v>
      </c>
      <c r="D112" s="9">
        <v>52</v>
      </c>
      <c r="E112" s="9">
        <v>52</v>
      </c>
      <c r="F112" s="9">
        <v>52</v>
      </c>
      <c r="G112" s="9">
        <v>50</v>
      </c>
      <c r="H112" s="9">
        <v>50</v>
      </c>
      <c r="I112" s="9">
        <v>50</v>
      </c>
      <c r="J112" s="9">
        <v>50</v>
      </c>
      <c r="K112" s="9">
        <v>50</v>
      </c>
      <c r="L112" s="9">
        <v>48</v>
      </c>
      <c r="M112" s="9">
        <v>48</v>
      </c>
      <c r="N112" s="9">
        <v>225</v>
      </c>
      <c r="O112" s="9">
        <v>255</v>
      </c>
      <c r="P112" s="9">
        <v>235</v>
      </c>
      <c r="Q112" s="9">
        <v>240.79999999999998</v>
      </c>
      <c r="R112" s="9">
        <v>242.47</v>
      </c>
      <c r="S112" s="9">
        <v>198.40800000000002</v>
      </c>
      <c r="T112" s="9">
        <v>198.09100000000001</v>
      </c>
      <c r="U112" s="9">
        <v>191.47200000000001</v>
      </c>
      <c r="V112" s="9">
        <v>188.91399999999999</v>
      </c>
      <c r="W112" s="9">
        <v>165.92699999999999</v>
      </c>
      <c r="X112" s="9">
        <v>155.69699999999997</v>
      </c>
      <c r="Y112" s="9">
        <v>157.58000000000001</v>
      </c>
      <c r="Z112" s="9">
        <v>159.25200000000001</v>
      </c>
      <c r="AA112" s="9">
        <v>151.28700000000001</v>
      </c>
      <c r="AB112" s="9">
        <v>148.55199999999999</v>
      </c>
      <c r="AC112" s="9">
        <v>144.97399999999999</v>
      </c>
      <c r="AD112" s="9">
        <v>143.11500000000001</v>
      </c>
      <c r="AE112" s="9">
        <v>142.08099999999999</v>
      </c>
      <c r="AF112" s="9">
        <v>140.32300000000001</v>
      </c>
      <c r="AG112" s="9">
        <v>138.964</v>
      </c>
      <c r="AH112" s="188">
        <v>133.476</v>
      </c>
      <c r="AI112" s="188">
        <v>0</v>
      </c>
      <c r="AJ112" s="188">
        <v>0</v>
      </c>
    </row>
    <row r="113" spans="1:36" x14ac:dyDescent="0.4">
      <c r="A113" s="519" t="s">
        <v>121</v>
      </c>
      <c r="B113" s="3" t="s">
        <v>170</v>
      </c>
      <c r="C113" s="9">
        <v>4345</v>
      </c>
      <c r="D113" s="9">
        <v>4335</v>
      </c>
      <c r="E113" s="9">
        <v>4531.5</v>
      </c>
      <c r="F113" s="9">
        <v>4641</v>
      </c>
      <c r="G113" s="9">
        <v>4737</v>
      </c>
      <c r="H113" s="9">
        <v>4816</v>
      </c>
      <c r="I113" s="9">
        <v>4984</v>
      </c>
      <c r="J113" s="9">
        <v>5031.5</v>
      </c>
      <c r="K113" s="9">
        <v>5104.5</v>
      </c>
      <c r="L113" s="9">
        <v>5174</v>
      </c>
      <c r="M113" s="9">
        <v>4911</v>
      </c>
      <c r="N113" s="9">
        <v>5391</v>
      </c>
      <c r="O113" s="9">
        <v>5495</v>
      </c>
      <c r="P113" s="9">
        <v>5717.9666666666672</v>
      </c>
      <c r="Q113" s="9">
        <v>5764.333333333333</v>
      </c>
      <c r="R113" s="9">
        <v>5982.8640000000005</v>
      </c>
      <c r="S113" s="9">
        <v>5429.8910000000005</v>
      </c>
      <c r="T113" s="9">
        <v>5530.1380000000008</v>
      </c>
      <c r="U113" s="9">
        <v>5569.3809999999994</v>
      </c>
      <c r="V113" s="9">
        <v>5635.1399999999985</v>
      </c>
      <c r="W113" s="9">
        <v>5743.9079999999994</v>
      </c>
      <c r="X113" s="9">
        <v>5791.3860000000004</v>
      </c>
      <c r="Y113" s="9">
        <v>5767.6239999999998</v>
      </c>
      <c r="Z113" s="9">
        <v>5745.0240000000003</v>
      </c>
      <c r="AA113" s="9">
        <v>5845.0329999999994</v>
      </c>
      <c r="AB113" s="9">
        <v>5790.0969999999979</v>
      </c>
      <c r="AC113" s="9">
        <v>5781.018</v>
      </c>
      <c r="AD113" s="9">
        <v>5755.134</v>
      </c>
      <c r="AE113" s="9">
        <v>5746.6629999999986</v>
      </c>
      <c r="AF113" s="8">
        <v>5731.9160000000002</v>
      </c>
      <c r="AG113" s="8">
        <v>5714.6039999999994</v>
      </c>
      <c r="AH113" s="188">
        <v>5696.9069999999992</v>
      </c>
      <c r="AI113" s="188">
        <v>5754.6399999999994</v>
      </c>
      <c r="AJ113" s="188">
        <v>5747.33</v>
      </c>
    </row>
    <row r="114" spans="1:36" x14ac:dyDescent="0.4">
      <c r="A114" s="519" t="s">
        <v>122</v>
      </c>
      <c r="B114" s="3" t="s">
        <v>170</v>
      </c>
      <c r="C114" s="9">
        <v>2392</v>
      </c>
      <c r="D114" s="9">
        <v>2654</v>
      </c>
      <c r="E114" s="9">
        <v>2946</v>
      </c>
      <c r="F114" s="9">
        <v>3291</v>
      </c>
      <c r="G114" s="9">
        <v>3558</v>
      </c>
      <c r="H114" s="9">
        <v>3886</v>
      </c>
      <c r="I114" s="9">
        <v>4173</v>
      </c>
      <c r="J114" s="9">
        <v>4485</v>
      </c>
      <c r="K114" s="9">
        <v>4790.5</v>
      </c>
      <c r="L114" s="9">
        <v>5084</v>
      </c>
      <c r="M114" s="9">
        <v>5458</v>
      </c>
      <c r="N114" s="9">
        <v>5874</v>
      </c>
      <c r="O114" s="9">
        <v>6138</v>
      </c>
      <c r="P114" s="9">
        <v>6421.7333333333336</v>
      </c>
      <c r="Q114" s="9">
        <v>6803.3786666666674</v>
      </c>
      <c r="R114" s="9">
        <v>7241.8329999999996</v>
      </c>
      <c r="S114" s="9">
        <v>7282.4510000000009</v>
      </c>
      <c r="T114" s="9">
        <v>7523.9110000000001</v>
      </c>
      <c r="U114" s="9">
        <v>7752.192</v>
      </c>
      <c r="V114" s="9">
        <v>7943.8769999999995</v>
      </c>
      <c r="W114" s="9">
        <v>8150.4049999999997</v>
      </c>
      <c r="X114" s="9">
        <v>8434.4189999999981</v>
      </c>
      <c r="Y114" s="9">
        <v>8780.8809999999994</v>
      </c>
      <c r="Z114" s="9">
        <v>9097.1120000000028</v>
      </c>
      <c r="AA114" s="9">
        <v>9490.3840000000018</v>
      </c>
      <c r="AB114" s="9">
        <v>9788.7090000000007</v>
      </c>
      <c r="AC114" s="9">
        <v>10099.989000000001</v>
      </c>
      <c r="AD114" s="9">
        <v>10467.602999999999</v>
      </c>
      <c r="AE114" s="9">
        <v>10741.089</v>
      </c>
      <c r="AF114" s="9">
        <v>11016.081</v>
      </c>
      <c r="AG114" s="9">
        <v>11259.867</v>
      </c>
      <c r="AH114" s="188">
        <v>11541.005999999999</v>
      </c>
      <c r="AI114" s="188">
        <v>11843.298999999999</v>
      </c>
      <c r="AJ114" s="188">
        <v>12128.515000000001</v>
      </c>
    </row>
    <row r="115" spans="1:36" x14ac:dyDescent="0.4">
      <c r="A115" s="519" t="s">
        <v>123</v>
      </c>
      <c r="B115" s="3" t="s">
        <v>170</v>
      </c>
      <c r="C115" s="9">
        <v>5155</v>
      </c>
      <c r="D115" s="9">
        <v>5099</v>
      </c>
      <c r="E115" s="9">
        <v>5017</v>
      </c>
      <c r="F115" s="9">
        <v>4820</v>
      </c>
      <c r="G115" s="9">
        <v>4903</v>
      </c>
      <c r="H115" s="9">
        <v>4867</v>
      </c>
      <c r="I115" s="9">
        <v>4798</v>
      </c>
      <c r="J115" s="9">
        <v>4755</v>
      </c>
      <c r="K115" s="9">
        <v>4715.5</v>
      </c>
      <c r="L115" s="9">
        <v>4685</v>
      </c>
      <c r="M115" s="9">
        <v>4574.5</v>
      </c>
      <c r="N115" s="9">
        <v>4501</v>
      </c>
      <c r="O115" s="9">
        <v>4440</v>
      </c>
      <c r="P115" s="9">
        <v>4405</v>
      </c>
      <c r="Q115" s="9">
        <v>4351.7439999999997</v>
      </c>
      <c r="R115" s="9">
        <v>4292.402</v>
      </c>
      <c r="S115" s="9">
        <v>4228.4610000000002</v>
      </c>
      <c r="T115" s="9">
        <v>4184.7259999999997</v>
      </c>
      <c r="U115" s="9">
        <v>4140.4629999999997</v>
      </c>
      <c r="V115" s="9">
        <v>4066.4039999999995</v>
      </c>
      <c r="W115" s="9">
        <v>3990.1370000000006</v>
      </c>
      <c r="X115" s="9">
        <v>3901.2620000000006</v>
      </c>
      <c r="Y115" s="9">
        <v>3791.5729999999999</v>
      </c>
      <c r="Z115" s="9">
        <v>3691.1470000000008</v>
      </c>
      <c r="AA115" s="9">
        <v>3433.2250000000004</v>
      </c>
      <c r="AB115" s="9">
        <v>3315.1860000000001</v>
      </c>
      <c r="AC115" s="9">
        <v>3193.5120000000002</v>
      </c>
      <c r="AD115" s="9">
        <v>3049.1059999999998</v>
      </c>
      <c r="AE115" s="9">
        <v>2925.4759999999997</v>
      </c>
      <c r="AF115" s="9">
        <v>2808.6909999999998</v>
      </c>
      <c r="AG115" s="9">
        <v>2712.5239999999999</v>
      </c>
      <c r="AH115" s="188">
        <v>2560.4329999999995</v>
      </c>
      <c r="AI115" s="188">
        <v>2413.442</v>
      </c>
      <c r="AJ115" s="188">
        <v>2265.7069999999999</v>
      </c>
    </row>
    <row r="116" spans="1:36" x14ac:dyDescent="0.4">
      <c r="A116" s="519" t="s">
        <v>124</v>
      </c>
      <c r="B116" s="3" t="s">
        <v>170</v>
      </c>
      <c r="C116" s="9">
        <v>13</v>
      </c>
      <c r="D116" s="9">
        <v>13</v>
      </c>
      <c r="E116" s="9">
        <v>13</v>
      </c>
      <c r="F116" s="9">
        <v>13</v>
      </c>
      <c r="G116" s="9">
        <v>13</v>
      </c>
      <c r="H116" s="9">
        <v>13</v>
      </c>
      <c r="I116" s="9">
        <v>13</v>
      </c>
      <c r="J116" s="9">
        <v>13</v>
      </c>
      <c r="K116" s="9">
        <v>13</v>
      </c>
      <c r="L116" s="9">
        <v>13</v>
      </c>
      <c r="M116" s="9">
        <v>13</v>
      </c>
      <c r="N116" s="9">
        <v>3</v>
      </c>
      <c r="O116" s="9">
        <v>3</v>
      </c>
      <c r="P116" s="9">
        <v>3</v>
      </c>
      <c r="Q116" s="9">
        <v>3</v>
      </c>
      <c r="R116" s="9">
        <v>3</v>
      </c>
      <c r="S116" s="9">
        <v>2</v>
      </c>
      <c r="T116" s="9">
        <v>1.9</v>
      </c>
      <c r="U116" s="9">
        <v>1.92</v>
      </c>
      <c r="V116" s="9">
        <v>1.92</v>
      </c>
      <c r="W116" s="9">
        <v>1.9</v>
      </c>
      <c r="X116" s="9">
        <v>1.89</v>
      </c>
      <c r="Y116" s="9">
        <v>1.89</v>
      </c>
      <c r="Z116" s="9">
        <v>1.1000000000000001</v>
      </c>
      <c r="AA116" s="9">
        <v>1.54</v>
      </c>
      <c r="AB116" s="9">
        <v>1.8</v>
      </c>
      <c r="AC116" s="9">
        <v>1.8</v>
      </c>
      <c r="AD116" s="9">
        <v>1.37</v>
      </c>
      <c r="AE116" s="9">
        <v>1.36</v>
      </c>
      <c r="AF116" s="9">
        <v>1.47</v>
      </c>
      <c r="AG116" s="9">
        <v>1.1000000000000001</v>
      </c>
      <c r="AH116" s="188">
        <v>1.07</v>
      </c>
      <c r="AI116" s="188">
        <v>0.74</v>
      </c>
      <c r="AJ116" s="188">
        <v>0.49</v>
      </c>
    </row>
    <row r="117" spans="1:36" x14ac:dyDescent="0.4">
      <c r="A117" s="519" t="s">
        <v>125</v>
      </c>
      <c r="B117" s="3" t="s">
        <v>170</v>
      </c>
      <c r="C117" s="9">
        <v>0</v>
      </c>
      <c r="D117" s="9">
        <v>0</v>
      </c>
      <c r="E117" s="9">
        <v>0</v>
      </c>
      <c r="F117" s="9">
        <v>0</v>
      </c>
      <c r="G117" s="9">
        <v>0</v>
      </c>
      <c r="H117" s="9">
        <v>0</v>
      </c>
      <c r="I117" s="9">
        <v>0</v>
      </c>
      <c r="J117" s="9">
        <v>0</v>
      </c>
      <c r="K117" s="9">
        <v>0</v>
      </c>
      <c r="L117" s="9">
        <v>0</v>
      </c>
      <c r="M117" s="9">
        <v>0</v>
      </c>
      <c r="N117" s="9">
        <v>0</v>
      </c>
      <c r="O117" s="9">
        <v>2</v>
      </c>
      <c r="P117" s="9">
        <v>0</v>
      </c>
      <c r="Q117" s="9">
        <v>0</v>
      </c>
      <c r="R117" s="9">
        <v>0</v>
      </c>
      <c r="S117" s="9">
        <v>5.8999999999999997E-2</v>
      </c>
      <c r="T117" s="9">
        <v>5.8999999999999997E-2</v>
      </c>
      <c r="U117" s="9">
        <v>4.2999999999999997E-2</v>
      </c>
      <c r="V117" s="9">
        <v>4.2999999999999997E-2</v>
      </c>
      <c r="W117" s="9">
        <v>6.5000000000000002E-2</v>
      </c>
      <c r="X117" s="9">
        <v>6.5000000000000002E-2</v>
      </c>
      <c r="Y117" s="9">
        <v>6.5000000000000002E-2</v>
      </c>
      <c r="Z117" s="9">
        <v>3.9E-2</v>
      </c>
      <c r="AA117" s="9">
        <v>0.06</v>
      </c>
      <c r="AB117" s="9">
        <v>0.06</v>
      </c>
      <c r="AC117" s="9">
        <v>0.06</v>
      </c>
      <c r="AD117" s="9">
        <v>0.06</v>
      </c>
      <c r="AE117" s="9">
        <v>2.8000000000000001E-2</v>
      </c>
      <c r="AF117" s="9">
        <v>1.7000000000000001E-2</v>
      </c>
      <c r="AG117" s="9">
        <v>1.7000000000000001E-2</v>
      </c>
      <c r="AH117" s="188">
        <v>1.7000000000000001E-2</v>
      </c>
      <c r="AI117" s="188">
        <v>1.7000000000000001E-2</v>
      </c>
      <c r="AJ117" s="188">
        <v>1.7000000000000001E-2</v>
      </c>
    </row>
    <row r="118" spans="1:36" x14ac:dyDescent="0.4">
      <c r="A118" s="519" t="s">
        <v>63</v>
      </c>
      <c r="B118" s="3" t="s">
        <v>170</v>
      </c>
      <c r="C118" s="9">
        <v>0</v>
      </c>
      <c r="D118" s="9">
        <v>0</v>
      </c>
      <c r="E118" s="9">
        <v>0</v>
      </c>
      <c r="F118" s="9">
        <v>0</v>
      </c>
      <c r="G118" s="9">
        <v>0</v>
      </c>
      <c r="H118" s="9">
        <v>0</v>
      </c>
      <c r="I118" s="9">
        <v>0</v>
      </c>
      <c r="J118" s="9">
        <v>4</v>
      </c>
      <c r="K118" s="9">
        <v>3</v>
      </c>
      <c r="L118" s="9">
        <v>0</v>
      </c>
      <c r="M118" s="9">
        <v>0</v>
      </c>
      <c r="N118" s="9">
        <v>9</v>
      </c>
      <c r="O118" s="9">
        <v>55</v>
      </c>
      <c r="P118" s="9">
        <v>9.1333300000000008</v>
      </c>
      <c r="Q118" s="9">
        <v>17.187670000000001</v>
      </c>
      <c r="R118" s="9">
        <v>1.532</v>
      </c>
      <c r="S118" s="9">
        <v>0.128</v>
      </c>
      <c r="T118" s="9">
        <v>0</v>
      </c>
      <c r="U118" s="9">
        <v>2.2000000000000002</v>
      </c>
      <c r="V118" s="9">
        <v>0</v>
      </c>
      <c r="W118" s="9">
        <v>0</v>
      </c>
      <c r="X118" s="9">
        <v>0</v>
      </c>
      <c r="Y118" s="9">
        <v>0</v>
      </c>
      <c r="Z118" s="9">
        <v>0.64</v>
      </c>
      <c r="AA118" s="9">
        <v>0.8</v>
      </c>
      <c r="AB118" s="9">
        <v>0.8</v>
      </c>
      <c r="AC118" s="9">
        <v>0.8</v>
      </c>
      <c r="AD118" s="9">
        <v>0.80100000000000005</v>
      </c>
      <c r="AE118" s="9">
        <v>0.80100000000000005</v>
      </c>
      <c r="AF118" s="9">
        <v>0.70099999999999996</v>
      </c>
      <c r="AG118" s="9">
        <v>0.70099999999999996</v>
      </c>
      <c r="AH118" s="188">
        <v>0.7</v>
      </c>
      <c r="AI118" s="188">
        <v>0.7</v>
      </c>
      <c r="AJ118" s="188">
        <v>0.7</v>
      </c>
    </row>
    <row r="119" spans="1:36" x14ac:dyDescent="0.4">
      <c r="A119" s="520" t="s">
        <v>115</v>
      </c>
      <c r="B119" s="521" t="s">
        <v>170</v>
      </c>
      <c r="C119" s="522">
        <f>SUM(C110:C118)</f>
        <v>17630</v>
      </c>
      <c r="D119" s="522">
        <f t="shared" ref="D119:Z119" si="9">SUM(D110:D118)</f>
        <v>17696</v>
      </c>
      <c r="E119" s="522">
        <f t="shared" si="9"/>
        <v>17961.5</v>
      </c>
      <c r="F119" s="522">
        <f t="shared" si="9"/>
        <v>18074</v>
      </c>
      <c r="G119" s="522">
        <f t="shared" si="9"/>
        <v>18370</v>
      </c>
      <c r="H119" s="522">
        <f t="shared" si="9"/>
        <v>18625</v>
      </c>
      <c r="I119" s="522">
        <f t="shared" si="9"/>
        <v>18805</v>
      </c>
      <c r="J119" s="522">
        <f t="shared" si="9"/>
        <v>19044.5</v>
      </c>
      <c r="K119" s="522">
        <f t="shared" si="9"/>
        <v>19278</v>
      </c>
      <c r="L119" s="9">
        <f t="shared" si="9"/>
        <v>19506</v>
      </c>
      <c r="M119" s="522">
        <f t="shared" si="9"/>
        <v>19726</v>
      </c>
      <c r="N119" s="522">
        <f t="shared" si="9"/>
        <v>20038</v>
      </c>
      <c r="O119" s="522">
        <f t="shared" si="9"/>
        <v>20234</v>
      </c>
      <c r="P119" s="522">
        <f t="shared" si="9"/>
        <v>20377.166663333333</v>
      </c>
      <c r="Q119" s="522">
        <f t="shared" si="9"/>
        <v>20686.367336666666</v>
      </c>
      <c r="R119" s="522">
        <f t="shared" si="9"/>
        <v>20954.368000000002</v>
      </c>
      <c r="S119" s="522">
        <f t="shared" si="9"/>
        <v>20776.769</v>
      </c>
      <c r="T119" s="522">
        <f t="shared" si="9"/>
        <v>20903.015000000003</v>
      </c>
      <c r="U119" s="522">
        <f t="shared" si="9"/>
        <v>21022.859</v>
      </c>
      <c r="V119" s="522">
        <f t="shared" si="9"/>
        <v>21068.694999999996</v>
      </c>
      <c r="W119" s="522">
        <f t="shared" si="9"/>
        <v>21132.808000000001</v>
      </c>
      <c r="X119" s="522">
        <f t="shared" si="9"/>
        <v>21191.999999999996</v>
      </c>
      <c r="Y119" s="522">
        <f t="shared" si="9"/>
        <v>21284.661999999997</v>
      </c>
      <c r="Z119" s="522">
        <f t="shared" si="9"/>
        <v>21382.517000000003</v>
      </c>
      <c r="AA119" s="522">
        <f t="shared" ref="AA119:AJ119" si="10">SUM(AA110:AA118)</f>
        <v>21526.286</v>
      </c>
      <c r="AB119" s="522">
        <f t="shared" si="10"/>
        <v>21576.441999999999</v>
      </c>
      <c r="AC119" s="522">
        <f t="shared" si="10"/>
        <v>21631.246999999999</v>
      </c>
      <c r="AD119" s="522">
        <f t="shared" si="10"/>
        <v>21668.565999999999</v>
      </c>
      <c r="AE119" s="522">
        <f t="shared" si="10"/>
        <v>21714.471999999998</v>
      </c>
      <c r="AF119" s="522">
        <f t="shared" si="10"/>
        <v>21755.177000000003</v>
      </c>
      <c r="AG119" s="522">
        <f t="shared" si="10"/>
        <v>21798.249</v>
      </c>
      <c r="AH119" s="523">
        <f t="shared" si="10"/>
        <v>21779.767</v>
      </c>
      <c r="AI119" s="523">
        <f t="shared" si="10"/>
        <v>21842.466</v>
      </c>
      <c r="AJ119" s="523">
        <f t="shared" si="10"/>
        <v>21857.349000000002</v>
      </c>
    </row>
    <row r="120" spans="1:36" x14ac:dyDescent="0.4">
      <c r="A120" s="1188" t="s">
        <v>1063</v>
      </c>
      <c r="B120" s="1191"/>
      <c r="C120" s="1191"/>
      <c r="D120" s="1191"/>
      <c r="E120" s="1191"/>
      <c r="F120" s="1191"/>
      <c r="G120" s="1191"/>
      <c r="H120" s="1191"/>
      <c r="I120" s="1191"/>
      <c r="J120" s="1191"/>
      <c r="K120" s="1191"/>
      <c r="L120" s="1191"/>
      <c r="M120" s="1191"/>
      <c r="N120" s="1191"/>
      <c r="O120" s="1191"/>
      <c r="P120" s="1191"/>
      <c r="Q120" s="1191"/>
      <c r="R120" s="1191"/>
      <c r="S120" s="1191"/>
      <c r="T120" s="1191"/>
      <c r="U120" s="1191"/>
      <c r="V120" s="1191"/>
      <c r="W120" s="1191"/>
      <c r="X120" s="1191"/>
      <c r="Y120" s="1191"/>
      <c r="Z120" s="1191"/>
      <c r="AA120" s="1191"/>
      <c r="AB120" s="1191"/>
      <c r="AC120" s="1191"/>
      <c r="AD120" s="1191"/>
      <c r="AE120" s="1191"/>
      <c r="AF120" s="1191"/>
      <c r="AG120" s="1191"/>
      <c r="AH120" s="1191"/>
      <c r="AI120" s="1191"/>
      <c r="AJ120" s="1191"/>
    </row>
    <row r="121" spans="1:36" x14ac:dyDescent="0.4">
      <c r="A121" s="581"/>
      <c r="B121" s="89"/>
      <c r="C121" s="89"/>
      <c r="D121" s="89"/>
      <c r="E121" s="89"/>
      <c r="F121" s="89"/>
      <c r="G121" s="89"/>
      <c r="H121" s="89"/>
      <c r="I121" s="89"/>
      <c r="J121" s="89"/>
      <c r="K121" s="89"/>
      <c r="L121" s="89"/>
      <c r="M121" s="89"/>
      <c r="N121" s="89"/>
      <c r="O121" s="89"/>
      <c r="P121" s="89"/>
      <c r="Q121" s="89"/>
      <c r="R121" s="89"/>
      <c r="S121" s="89"/>
      <c r="T121" s="89"/>
      <c r="U121" s="89"/>
      <c r="V121" s="89"/>
      <c r="W121" s="89"/>
      <c r="X121" s="89"/>
      <c r="Y121" s="89"/>
      <c r="Z121" s="89"/>
      <c r="AA121" s="89"/>
      <c r="AB121" s="89"/>
      <c r="AC121" s="89"/>
      <c r="AD121" s="89"/>
      <c r="AE121" s="89"/>
      <c r="AF121" s="89"/>
      <c r="AG121" s="89"/>
      <c r="AH121" s="89"/>
      <c r="AI121" s="89"/>
      <c r="AJ121" s="89"/>
    </row>
    <row r="122" spans="1:36" x14ac:dyDescent="0.4">
      <c r="A122" s="1403" t="s">
        <v>1302</v>
      </c>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188"/>
      <c r="AI122" s="188"/>
      <c r="AJ122" s="188"/>
    </row>
    <row r="123" spans="1:36" x14ac:dyDescent="0.4">
      <c r="A123" s="1403" t="s">
        <v>1303</v>
      </c>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188"/>
      <c r="AI123" s="188"/>
      <c r="AJ123" s="188"/>
    </row>
    <row r="124" spans="1:36" x14ac:dyDescent="0.4">
      <c r="L124" s="524"/>
    </row>
    <row r="125" spans="1:36" x14ac:dyDescent="0.4">
      <c r="A125" s="42" t="s">
        <v>528</v>
      </c>
    </row>
    <row r="126" spans="1:36" x14ac:dyDescent="0.4">
      <c r="A126" s="108" t="s">
        <v>790</v>
      </c>
      <c r="B126" s="517" t="s">
        <v>136</v>
      </c>
      <c r="C126" s="517" t="s">
        <v>391</v>
      </c>
      <c r="D126" s="517" t="s">
        <v>392</v>
      </c>
      <c r="E126" s="517" t="s">
        <v>393</v>
      </c>
      <c r="F126" s="517" t="s">
        <v>394</v>
      </c>
      <c r="G126" s="517" t="s">
        <v>395</v>
      </c>
      <c r="H126" s="517" t="s">
        <v>396</v>
      </c>
      <c r="I126" s="517" t="s">
        <v>397</v>
      </c>
      <c r="J126" s="517" t="s">
        <v>398</v>
      </c>
      <c r="K126" s="517" t="s">
        <v>399</v>
      </c>
      <c r="L126" s="517" t="s">
        <v>400</v>
      </c>
      <c r="M126" s="517" t="s">
        <v>401</v>
      </c>
      <c r="N126" s="517" t="s">
        <v>402</v>
      </c>
      <c r="O126" s="517" t="s">
        <v>403</v>
      </c>
      <c r="P126" s="517" t="s">
        <v>404</v>
      </c>
      <c r="Q126" s="517" t="s">
        <v>405</v>
      </c>
      <c r="R126" s="517" t="s">
        <v>406</v>
      </c>
      <c r="S126" s="517" t="s">
        <v>407</v>
      </c>
      <c r="T126" s="517" t="s">
        <v>408</v>
      </c>
      <c r="U126" s="517" t="s">
        <v>409</v>
      </c>
      <c r="V126" s="517" t="s">
        <v>410</v>
      </c>
      <c r="W126" s="517" t="s">
        <v>411</v>
      </c>
      <c r="X126" s="517" t="s">
        <v>412</v>
      </c>
      <c r="Y126" s="517" t="s">
        <v>413</v>
      </c>
      <c r="Z126" s="517" t="s">
        <v>414</v>
      </c>
      <c r="AA126" s="517" t="s">
        <v>415</v>
      </c>
      <c r="AB126" s="517" t="s">
        <v>416</v>
      </c>
      <c r="AC126" s="517" t="s">
        <v>417</v>
      </c>
      <c r="AD126" s="517" t="s">
        <v>418</v>
      </c>
      <c r="AE126" s="517" t="s">
        <v>419</v>
      </c>
      <c r="AF126" s="517" t="s">
        <v>420</v>
      </c>
      <c r="AG126" s="517" t="s">
        <v>421</v>
      </c>
      <c r="AH126" s="517" t="s">
        <v>422</v>
      </c>
      <c r="AI126" s="517" t="s">
        <v>423</v>
      </c>
      <c r="AJ126" s="517" t="s">
        <v>424</v>
      </c>
    </row>
    <row r="127" spans="1:36" x14ac:dyDescent="0.4">
      <c r="A127" s="518" t="s">
        <v>118</v>
      </c>
      <c r="B127" s="3" t="s">
        <v>1297</v>
      </c>
      <c r="C127" s="9">
        <v>475349</v>
      </c>
      <c r="D127" s="9">
        <v>467092</v>
      </c>
      <c r="E127" s="9">
        <v>453146</v>
      </c>
      <c r="F127" s="9">
        <v>443269</v>
      </c>
      <c r="G127" s="9">
        <v>427591</v>
      </c>
      <c r="H127" s="9">
        <v>428012</v>
      </c>
      <c r="I127" s="9">
        <v>415460</v>
      </c>
      <c r="J127" s="9">
        <v>409520</v>
      </c>
      <c r="K127" s="9">
        <v>403511</v>
      </c>
      <c r="L127" s="9">
        <v>398751</v>
      </c>
      <c r="M127" s="9">
        <v>316403</v>
      </c>
      <c r="N127" s="9">
        <v>309921</v>
      </c>
      <c r="O127" s="9">
        <v>306301</v>
      </c>
      <c r="P127" s="9">
        <v>299705</v>
      </c>
      <c r="Q127" s="9">
        <v>220649</v>
      </c>
      <c r="R127" s="9">
        <v>217206</v>
      </c>
      <c r="S127" s="9">
        <v>225174</v>
      </c>
      <c r="T127" s="9">
        <v>220927</v>
      </c>
      <c r="U127" s="9">
        <v>215059</v>
      </c>
      <c r="V127" s="9">
        <v>207260</v>
      </c>
      <c r="W127" s="9">
        <v>200732</v>
      </c>
      <c r="X127" s="9">
        <v>200899</v>
      </c>
      <c r="Y127" s="9">
        <v>192355</v>
      </c>
      <c r="Z127" s="9">
        <v>188544</v>
      </c>
      <c r="AA127" s="9">
        <v>180608</v>
      </c>
      <c r="AB127" s="9">
        <v>172605</v>
      </c>
      <c r="AC127" s="9">
        <v>164402</v>
      </c>
      <c r="AD127" s="9">
        <v>155001</v>
      </c>
      <c r="AE127" s="9">
        <v>147064</v>
      </c>
      <c r="AF127" s="9">
        <v>140583</v>
      </c>
      <c r="AG127" s="9">
        <v>137149</v>
      </c>
      <c r="AH127" s="9">
        <v>130173</v>
      </c>
      <c r="AI127" s="9">
        <v>122595</v>
      </c>
      <c r="AJ127" s="9">
        <v>115995</v>
      </c>
    </row>
    <row r="128" spans="1:36" x14ac:dyDescent="0.4">
      <c r="A128" s="519" t="s">
        <v>119</v>
      </c>
      <c r="B128" s="3" t="s">
        <v>1297</v>
      </c>
      <c r="C128" s="9">
        <v>99773</v>
      </c>
      <c r="D128" s="9">
        <v>99898</v>
      </c>
      <c r="E128" s="9">
        <v>96050</v>
      </c>
      <c r="F128" s="9">
        <v>94795</v>
      </c>
      <c r="G128" s="9">
        <v>92515</v>
      </c>
      <c r="H128" s="9">
        <v>91539</v>
      </c>
      <c r="I128" s="9">
        <v>90313</v>
      </c>
      <c r="J128" s="9">
        <v>87179.5</v>
      </c>
      <c r="K128" s="9">
        <v>85152</v>
      </c>
      <c r="L128" s="9">
        <v>80506</v>
      </c>
      <c r="M128" s="9">
        <v>77326</v>
      </c>
      <c r="N128" s="9">
        <v>77050</v>
      </c>
      <c r="O128" s="9">
        <v>74877</v>
      </c>
      <c r="P128" s="9">
        <v>73794</v>
      </c>
      <c r="Q128" s="9">
        <v>72602</v>
      </c>
      <c r="R128" s="9">
        <v>74057</v>
      </c>
      <c r="S128" s="9">
        <v>72459</v>
      </c>
      <c r="T128" s="9">
        <v>71295</v>
      </c>
      <c r="U128" s="9">
        <v>70001</v>
      </c>
      <c r="V128" s="9">
        <v>66838</v>
      </c>
      <c r="W128" s="9">
        <v>66115</v>
      </c>
      <c r="X128" s="9">
        <v>58460</v>
      </c>
      <c r="Y128" s="9">
        <v>56086</v>
      </c>
      <c r="Z128" s="9">
        <v>55966</v>
      </c>
      <c r="AA128" s="9">
        <v>54117</v>
      </c>
      <c r="AB128" s="9">
        <v>51749</v>
      </c>
      <c r="AC128" s="9">
        <v>48989</v>
      </c>
      <c r="AD128" s="9">
        <v>44009</v>
      </c>
      <c r="AE128" s="9">
        <v>42471</v>
      </c>
      <c r="AF128" s="9">
        <v>40239</v>
      </c>
      <c r="AG128" s="9">
        <v>39603</v>
      </c>
      <c r="AH128" s="9">
        <v>37145</v>
      </c>
      <c r="AI128" s="9">
        <v>34778</v>
      </c>
      <c r="AJ128" s="9">
        <v>32540</v>
      </c>
    </row>
    <row r="129" spans="1:36" x14ac:dyDescent="0.4">
      <c r="A129" s="519" t="s">
        <v>120</v>
      </c>
      <c r="B129" s="3" t="s">
        <v>1297</v>
      </c>
      <c r="C129" s="9">
        <v>467</v>
      </c>
      <c r="D129" s="9">
        <v>463</v>
      </c>
      <c r="E129" s="9">
        <v>463</v>
      </c>
      <c r="F129" s="9">
        <v>457</v>
      </c>
      <c r="G129" s="9">
        <v>449</v>
      </c>
      <c r="H129" s="9">
        <v>449</v>
      </c>
      <c r="I129" s="9">
        <v>449</v>
      </c>
      <c r="J129" s="9">
        <v>449</v>
      </c>
      <c r="K129" s="9">
        <v>449</v>
      </c>
      <c r="L129" s="9">
        <v>449</v>
      </c>
      <c r="M129" s="9">
        <v>449</v>
      </c>
      <c r="N129" s="9">
        <v>449</v>
      </c>
      <c r="O129" s="9">
        <v>449</v>
      </c>
      <c r="P129" s="9">
        <v>449</v>
      </c>
      <c r="Q129" s="9">
        <v>0</v>
      </c>
      <c r="R129" s="9">
        <v>0</v>
      </c>
      <c r="S129" s="9">
        <v>0</v>
      </c>
      <c r="T129" s="9">
        <v>0</v>
      </c>
      <c r="U129" s="9">
        <v>0</v>
      </c>
      <c r="V129" s="9">
        <v>0</v>
      </c>
      <c r="W129" s="9">
        <v>45</v>
      </c>
      <c r="X129" s="9">
        <v>332</v>
      </c>
      <c r="Y129" s="9">
        <v>333</v>
      </c>
      <c r="Z129" s="9">
        <v>68</v>
      </c>
      <c r="AA129" s="9">
        <v>61</v>
      </c>
      <c r="AB129" s="9">
        <v>16</v>
      </c>
      <c r="AC129" s="9">
        <v>11</v>
      </c>
      <c r="AD129" s="9">
        <v>11</v>
      </c>
      <c r="AE129" s="9">
        <v>11</v>
      </c>
      <c r="AF129" s="9">
        <v>9</v>
      </c>
      <c r="AG129" s="9">
        <v>0</v>
      </c>
      <c r="AH129" s="9">
        <v>0</v>
      </c>
      <c r="AI129" s="9">
        <v>0</v>
      </c>
      <c r="AJ129" s="9">
        <v>0</v>
      </c>
    </row>
    <row r="130" spans="1:36" x14ac:dyDescent="0.4">
      <c r="A130" s="519" t="s">
        <v>121</v>
      </c>
      <c r="B130" s="3" t="s">
        <v>1297</v>
      </c>
      <c r="C130" s="9">
        <v>150054</v>
      </c>
      <c r="D130" s="9">
        <v>152153</v>
      </c>
      <c r="E130" s="9">
        <v>154005</v>
      </c>
      <c r="F130" s="9">
        <v>153943</v>
      </c>
      <c r="G130" s="9">
        <v>158080</v>
      </c>
      <c r="H130" s="9">
        <v>157721</v>
      </c>
      <c r="I130" s="9">
        <v>151173</v>
      </c>
      <c r="J130" s="9">
        <v>151111.5</v>
      </c>
      <c r="K130" s="9">
        <v>151112.5</v>
      </c>
      <c r="L130" s="9">
        <v>153785</v>
      </c>
      <c r="M130" s="9">
        <v>220002</v>
      </c>
      <c r="N130" s="9">
        <v>220002</v>
      </c>
      <c r="O130" s="9">
        <v>219167</v>
      </c>
      <c r="P130" s="9">
        <v>218028</v>
      </c>
      <c r="Q130" s="9">
        <v>162241</v>
      </c>
      <c r="R130" s="9">
        <v>171863</v>
      </c>
      <c r="S130" s="9">
        <v>178153</v>
      </c>
      <c r="T130" s="9">
        <v>177883</v>
      </c>
      <c r="U130" s="9">
        <v>176657</v>
      </c>
      <c r="V130" s="9">
        <v>175219</v>
      </c>
      <c r="W130" s="9">
        <v>167169</v>
      </c>
      <c r="X130" s="9">
        <v>164179</v>
      </c>
      <c r="Y130" s="9">
        <v>161970</v>
      </c>
      <c r="Z130" s="9">
        <v>158060</v>
      </c>
      <c r="AA130" s="9">
        <v>155703</v>
      </c>
      <c r="AB130" s="9">
        <v>153922</v>
      </c>
      <c r="AC130" s="9">
        <v>151873</v>
      </c>
      <c r="AD130" s="9">
        <v>149751</v>
      </c>
      <c r="AE130" s="9">
        <v>146738</v>
      </c>
      <c r="AF130" s="9">
        <v>144496</v>
      </c>
      <c r="AG130" s="9">
        <v>143181</v>
      </c>
      <c r="AH130" s="9">
        <v>140604</v>
      </c>
      <c r="AI130" s="9">
        <v>138640</v>
      </c>
      <c r="AJ130" s="9">
        <v>136722</v>
      </c>
    </row>
    <row r="131" spans="1:36" x14ac:dyDescent="0.4">
      <c r="A131" s="519" t="s">
        <v>122</v>
      </c>
      <c r="B131" s="3" t="s">
        <v>1297</v>
      </c>
      <c r="C131" s="9">
        <v>236420</v>
      </c>
      <c r="D131" s="9">
        <v>251027</v>
      </c>
      <c r="E131" s="9">
        <v>276126</v>
      </c>
      <c r="F131" s="9">
        <v>300166</v>
      </c>
      <c r="G131" s="9">
        <v>328250</v>
      </c>
      <c r="H131" s="9">
        <v>346910</v>
      </c>
      <c r="I131" s="9">
        <v>375837</v>
      </c>
      <c r="J131" s="9">
        <v>401255.5</v>
      </c>
      <c r="K131" s="9">
        <v>429103</v>
      </c>
      <c r="L131" s="9">
        <v>449591</v>
      </c>
      <c r="M131" s="9">
        <v>477157</v>
      </c>
      <c r="N131" s="9">
        <v>498936</v>
      </c>
      <c r="O131" s="9">
        <v>522779</v>
      </c>
      <c r="P131" s="9">
        <v>544690.66666666663</v>
      </c>
      <c r="Q131" s="9">
        <v>540562.33333333337</v>
      </c>
      <c r="R131" s="9">
        <v>574564.5</v>
      </c>
      <c r="S131" s="9">
        <v>607804</v>
      </c>
      <c r="T131" s="9">
        <v>627558</v>
      </c>
      <c r="U131" s="9">
        <v>647922</v>
      </c>
      <c r="V131" s="9">
        <v>669488</v>
      </c>
      <c r="W131" s="9">
        <v>692751</v>
      </c>
      <c r="X131" s="9">
        <v>711267</v>
      </c>
      <c r="Y131" s="9">
        <v>741775</v>
      </c>
      <c r="Z131" s="9">
        <v>771079</v>
      </c>
      <c r="AA131" s="9">
        <v>796643</v>
      </c>
      <c r="AB131" s="9">
        <v>821281</v>
      </c>
      <c r="AC131" s="9">
        <v>843550</v>
      </c>
      <c r="AD131" s="9">
        <v>874717</v>
      </c>
      <c r="AE131" s="9">
        <v>896013</v>
      </c>
      <c r="AF131" s="9">
        <v>920789</v>
      </c>
      <c r="AG131" s="9">
        <v>934887</v>
      </c>
      <c r="AH131" s="9">
        <v>955878</v>
      </c>
      <c r="AI131" s="9">
        <v>974004</v>
      </c>
      <c r="AJ131" s="9">
        <v>990794</v>
      </c>
    </row>
    <row r="132" spans="1:36" x14ac:dyDescent="0.4">
      <c r="A132" s="519" t="s">
        <v>123</v>
      </c>
      <c r="B132" s="3" t="s">
        <v>1297</v>
      </c>
      <c r="C132" s="9">
        <v>7414</v>
      </c>
      <c r="D132" s="9">
        <v>7297</v>
      </c>
      <c r="E132" s="9">
        <v>7239</v>
      </c>
      <c r="F132" s="9">
        <v>6593</v>
      </c>
      <c r="G132" s="9">
        <v>6504</v>
      </c>
      <c r="H132" s="9">
        <v>6348</v>
      </c>
      <c r="I132" s="9">
        <v>6164</v>
      </c>
      <c r="J132" s="9">
        <v>6161.5</v>
      </c>
      <c r="K132" s="9">
        <v>6163</v>
      </c>
      <c r="L132" s="9">
        <v>6161</v>
      </c>
      <c r="M132" s="9">
        <v>4235</v>
      </c>
      <c r="N132" s="9">
        <v>4214</v>
      </c>
      <c r="O132" s="9">
        <v>4155</v>
      </c>
      <c r="P132" s="9">
        <v>4095</v>
      </c>
      <c r="Q132" s="9">
        <v>2098</v>
      </c>
      <c r="R132" s="9">
        <v>2080</v>
      </c>
      <c r="S132" s="9">
        <v>2057</v>
      </c>
      <c r="T132" s="9">
        <v>2015</v>
      </c>
      <c r="U132" s="9">
        <v>1993</v>
      </c>
      <c r="V132" s="9">
        <v>1914</v>
      </c>
      <c r="W132" s="9">
        <v>1827</v>
      </c>
      <c r="X132" s="9">
        <v>1742</v>
      </c>
      <c r="Y132" s="9">
        <v>1638</v>
      </c>
      <c r="Z132" s="9">
        <v>1583</v>
      </c>
      <c r="AA132" s="9">
        <v>1539</v>
      </c>
      <c r="AB132" s="9">
        <v>1492</v>
      </c>
      <c r="AC132" s="9">
        <v>1444</v>
      </c>
      <c r="AD132" s="9">
        <v>1397</v>
      </c>
      <c r="AE132" s="9">
        <v>1373</v>
      </c>
      <c r="AF132" s="9">
        <v>1344</v>
      </c>
      <c r="AG132" s="9">
        <v>1325</v>
      </c>
      <c r="AH132" s="9">
        <v>1277</v>
      </c>
      <c r="AI132" s="9">
        <v>1258</v>
      </c>
      <c r="AJ132" s="9">
        <v>1214</v>
      </c>
    </row>
    <row r="133" spans="1:36" x14ac:dyDescent="0.4">
      <c r="A133" s="519" t="s">
        <v>124</v>
      </c>
      <c r="B133" s="3" t="s">
        <v>1297</v>
      </c>
      <c r="C133" s="9">
        <v>1323</v>
      </c>
      <c r="D133" s="9">
        <v>0</v>
      </c>
      <c r="E133" s="9">
        <v>0</v>
      </c>
      <c r="F133" s="9">
        <v>0</v>
      </c>
      <c r="G133" s="9">
        <v>0</v>
      </c>
      <c r="H133" s="9">
        <v>0</v>
      </c>
      <c r="I133" s="9">
        <v>0</v>
      </c>
      <c r="J133" s="9">
        <v>0</v>
      </c>
      <c r="K133" s="9">
        <v>0</v>
      </c>
      <c r="L133" s="9">
        <v>0</v>
      </c>
      <c r="M133" s="9">
        <v>0</v>
      </c>
      <c r="N133" s="9">
        <v>0</v>
      </c>
      <c r="O133" s="9">
        <v>0</v>
      </c>
      <c r="P133" s="9">
        <v>0</v>
      </c>
      <c r="Q133" s="9">
        <v>0</v>
      </c>
      <c r="R133" s="9">
        <v>0</v>
      </c>
      <c r="S133" s="9">
        <v>0</v>
      </c>
      <c r="T133" s="9">
        <v>0</v>
      </c>
      <c r="U133" s="9">
        <v>0</v>
      </c>
      <c r="V133" s="9">
        <v>0</v>
      </c>
      <c r="W133" s="9">
        <v>0</v>
      </c>
      <c r="X133" s="9">
        <v>0</v>
      </c>
      <c r="Y133" s="9">
        <v>0</v>
      </c>
      <c r="Z133" s="9">
        <v>0</v>
      </c>
      <c r="AA133" s="9">
        <v>0</v>
      </c>
      <c r="AB133" s="9">
        <v>0</v>
      </c>
      <c r="AC133" s="9">
        <v>0</v>
      </c>
      <c r="AD133" s="9">
        <v>0</v>
      </c>
      <c r="AE133" s="9">
        <v>0</v>
      </c>
      <c r="AF133" s="9">
        <v>0</v>
      </c>
      <c r="AG133" s="9">
        <v>0</v>
      </c>
      <c r="AH133" s="9">
        <v>0</v>
      </c>
      <c r="AI133" s="9">
        <v>0</v>
      </c>
      <c r="AJ133" s="9">
        <v>0</v>
      </c>
    </row>
    <row r="134" spans="1:36" x14ac:dyDescent="0.4">
      <c r="A134" s="519" t="s">
        <v>125</v>
      </c>
      <c r="B134" s="3" t="s">
        <v>1297</v>
      </c>
      <c r="C134" s="9">
        <v>14098</v>
      </c>
      <c r="D134" s="9">
        <v>15205</v>
      </c>
      <c r="E134" s="9">
        <v>19894</v>
      </c>
      <c r="F134" s="9">
        <v>14792</v>
      </c>
      <c r="G134" s="9">
        <v>14660</v>
      </c>
      <c r="H134" s="9">
        <v>14481</v>
      </c>
      <c r="I134" s="9">
        <v>14382</v>
      </c>
      <c r="J134" s="9">
        <v>14281</v>
      </c>
      <c r="K134" s="9">
        <v>14180.5</v>
      </c>
      <c r="L134" s="9">
        <v>14120</v>
      </c>
      <c r="M134" s="9">
        <v>16082</v>
      </c>
      <c r="N134" s="9">
        <v>16024</v>
      </c>
      <c r="O134" s="9">
        <v>15909</v>
      </c>
      <c r="P134" s="9">
        <v>15775</v>
      </c>
      <c r="Q134" s="9">
        <v>12448</v>
      </c>
      <c r="R134" s="9">
        <v>12280</v>
      </c>
      <c r="S134" s="9">
        <v>12286</v>
      </c>
      <c r="T134" s="9">
        <v>12199</v>
      </c>
      <c r="U134" s="9">
        <v>12109</v>
      </c>
      <c r="V134" s="9">
        <v>11878</v>
      </c>
      <c r="W134" s="9">
        <v>11675</v>
      </c>
      <c r="X134" s="9">
        <v>11426</v>
      </c>
      <c r="Y134" s="9">
        <v>11191</v>
      </c>
      <c r="Z134" s="9">
        <v>10903</v>
      </c>
      <c r="AA134" s="9">
        <v>10735</v>
      </c>
      <c r="AB134" s="9">
        <v>10537</v>
      </c>
      <c r="AC134" s="9">
        <v>10337</v>
      </c>
      <c r="AD134" s="9">
        <v>9968</v>
      </c>
      <c r="AE134" s="9">
        <v>9751</v>
      </c>
      <c r="AF134" s="9">
        <v>9411</v>
      </c>
      <c r="AG134" s="9">
        <v>9285</v>
      </c>
      <c r="AH134" s="9">
        <v>9064</v>
      </c>
      <c r="AI134" s="9">
        <v>8878</v>
      </c>
      <c r="AJ134" s="9">
        <v>8550</v>
      </c>
    </row>
    <row r="135" spans="1:36" x14ac:dyDescent="0.4">
      <c r="A135" s="519" t="s">
        <v>63</v>
      </c>
      <c r="B135" s="3" t="s">
        <v>1297</v>
      </c>
      <c r="C135" s="9">
        <v>0</v>
      </c>
      <c r="D135" s="9">
        <v>0</v>
      </c>
      <c r="E135" s="9">
        <v>0</v>
      </c>
      <c r="F135" s="9">
        <v>0</v>
      </c>
      <c r="G135" s="9">
        <v>0</v>
      </c>
      <c r="H135" s="9">
        <v>0</v>
      </c>
      <c r="I135" s="9">
        <v>0</v>
      </c>
      <c r="J135" s="9">
        <v>0</v>
      </c>
      <c r="K135" s="9">
        <v>0</v>
      </c>
      <c r="L135" s="9">
        <v>0</v>
      </c>
      <c r="M135" s="9">
        <v>79449</v>
      </c>
      <c r="N135" s="9">
        <v>77088</v>
      </c>
      <c r="O135" s="9">
        <v>90048</v>
      </c>
      <c r="P135" s="9">
        <v>89911</v>
      </c>
      <c r="Q135" s="9">
        <v>244773</v>
      </c>
      <c r="R135" s="9">
        <v>172327</v>
      </c>
      <c r="S135" s="9">
        <v>124524</v>
      </c>
      <c r="T135" s="9">
        <v>118486</v>
      </c>
      <c r="U135" s="9">
        <v>116845</v>
      </c>
      <c r="V135" s="9">
        <v>112735</v>
      </c>
      <c r="W135" s="9">
        <v>105536</v>
      </c>
      <c r="X135" s="9">
        <v>103713</v>
      </c>
      <c r="Y135" s="9">
        <v>100348</v>
      </c>
      <c r="Z135" s="9">
        <v>95366</v>
      </c>
      <c r="AA135" s="9">
        <v>95690</v>
      </c>
      <c r="AB135" s="9">
        <v>97872</v>
      </c>
      <c r="AC135" s="9">
        <v>102975</v>
      </c>
      <c r="AD135" s="9">
        <v>101824</v>
      </c>
      <c r="AE135" s="9">
        <v>105361</v>
      </c>
      <c r="AF135" s="9">
        <v>96072</v>
      </c>
      <c r="AG135" s="9">
        <v>96000</v>
      </c>
      <c r="AH135" s="9">
        <v>93946</v>
      </c>
      <c r="AI135" s="9">
        <v>92617</v>
      </c>
      <c r="AJ135" s="9">
        <v>91919</v>
      </c>
    </row>
    <row r="136" spans="1:36" x14ac:dyDescent="0.4">
      <c r="A136" s="519" t="s">
        <v>115</v>
      </c>
      <c r="B136" s="3" t="s">
        <v>1297</v>
      </c>
      <c r="C136" s="9">
        <f>SUM(C127:C135)</f>
        <v>984898</v>
      </c>
      <c r="D136" s="9">
        <f>SUM(D127:D135)</f>
        <v>993135</v>
      </c>
      <c r="E136" s="9">
        <f t="shared" ref="E136:AJ136" si="11">SUM(E127:E135)</f>
        <v>1006923</v>
      </c>
      <c r="F136" s="9">
        <f t="shared" si="11"/>
        <v>1014015</v>
      </c>
      <c r="G136" s="9">
        <f t="shared" si="11"/>
        <v>1028049</v>
      </c>
      <c r="H136" s="9">
        <f t="shared" si="11"/>
        <v>1045460</v>
      </c>
      <c r="I136" s="9">
        <f t="shared" si="11"/>
        <v>1053778</v>
      </c>
      <c r="J136" s="9">
        <f t="shared" si="11"/>
        <v>1069958</v>
      </c>
      <c r="K136" s="9">
        <f t="shared" si="11"/>
        <v>1089671</v>
      </c>
      <c r="L136" s="9">
        <f t="shared" si="11"/>
        <v>1103363</v>
      </c>
      <c r="M136" s="9">
        <f t="shared" si="11"/>
        <v>1191103</v>
      </c>
      <c r="N136" s="9">
        <f t="shared" si="11"/>
        <v>1203684</v>
      </c>
      <c r="O136" s="9">
        <f t="shared" si="11"/>
        <v>1233685</v>
      </c>
      <c r="P136" s="9">
        <f t="shared" si="11"/>
        <v>1246447.6666666665</v>
      </c>
      <c r="Q136" s="9">
        <f t="shared" si="11"/>
        <v>1255373.3333333335</v>
      </c>
      <c r="R136" s="9">
        <f t="shared" si="11"/>
        <v>1224377.5</v>
      </c>
      <c r="S136" s="9">
        <f t="shared" si="11"/>
        <v>1222457</v>
      </c>
      <c r="T136" s="9">
        <f t="shared" si="11"/>
        <v>1230363</v>
      </c>
      <c r="U136" s="9">
        <f t="shared" si="11"/>
        <v>1240586</v>
      </c>
      <c r="V136" s="9">
        <f t="shared" si="11"/>
        <v>1245332</v>
      </c>
      <c r="W136" s="9">
        <f t="shared" si="11"/>
        <v>1245850</v>
      </c>
      <c r="X136" s="9">
        <f t="shared" si="11"/>
        <v>1252018</v>
      </c>
      <c r="Y136" s="9">
        <f t="shared" si="11"/>
        <v>1265696</v>
      </c>
      <c r="Z136" s="9">
        <f t="shared" si="11"/>
        <v>1281569</v>
      </c>
      <c r="AA136" s="9">
        <f t="shared" si="11"/>
        <v>1295096</v>
      </c>
      <c r="AB136" s="9">
        <f t="shared" si="11"/>
        <v>1309474</v>
      </c>
      <c r="AC136" s="9">
        <f t="shared" si="11"/>
        <v>1323581</v>
      </c>
      <c r="AD136" s="9">
        <f t="shared" si="11"/>
        <v>1336678</v>
      </c>
      <c r="AE136" s="9">
        <f t="shared" si="11"/>
        <v>1348782</v>
      </c>
      <c r="AF136" s="9">
        <f t="shared" si="11"/>
        <v>1352943</v>
      </c>
      <c r="AG136" s="9">
        <f t="shared" si="11"/>
        <v>1361430</v>
      </c>
      <c r="AH136" s="9">
        <f t="shared" si="11"/>
        <v>1368087</v>
      </c>
      <c r="AI136" s="9">
        <f t="shared" si="11"/>
        <v>1372770</v>
      </c>
      <c r="AJ136" s="9">
        <f t="shared" si="11"/>
        <v>1377734</v>
      </c>
    </row>
    <row r="137" spans="1:36" x14ac:dyDescent="0.4">
      <c r="A137" s="1188" t="s">
        <v>1063</v>
      </c>
      <c r="B137" s="1191"/>
      <c r="C137" s="1191"/>
      <c r="D137" s="1191"/>
      <c r="E137" s="1191"/>
      <c r="F137" s="1191"/>
      <c r="G137" s="1191"/>
      <c r="H137" s="1191"/>
      <c r="I137" s="1191"/>
      <c r="J137" s="1191"/>
      <c r="K137" s="1191"/>
      <c r="L137" s="1191"/>
      <c r="M137" s="1191"/>
      <c r="N137" s="1191"/>
      <c r="O137" s="1191"/>
      <c r="P137" s="1191"/>
      <c r="Q137" s="1191"/>
      <c r="R137" s="1191"/>
      <c r="S137" s="1191"/>
      <c r="T137" s="1191"/>
      <c r="U137" s="1191"/>
      <c r="V137" s="1191"/>
      <c r="W137" s="1191"/>
      <c r="X137" s="1191"/>
      <c r="Y137" s="1191"/>
      <c r="Z137" s="1191"/>
      <c r="AA137" s="1191"/>
      <c r="AB137" s="1191"/>
      <c r="AC137" s="1191"/>
      <c r="AD137" s="1191"/>
      <c r="AE137" s="1191"/>
      <c r="AF137" s="1191"/>
      <c r="AG137" s="1191"/>
      <c r="AH137" s="1191"/>
      <c r="AI137" s="1191"/>
      <c r="AJ137" s="1191"/>
    </row>
    <row r="138" spans="1:36" x14ac:dyDescent="0.4">
      <c r="A138" s="581"/>
      <c r="B138" s="89"/>
      <c r="C138" s="89"/>
      <c r="D138" s="89"/>
      <c r="E138" s="89"/>
      <c r="F138" s="89"/>
      <c r="G138" s="89"/>
      <c r="H138" s="89"/>
      <c r="I138" s="89"/>
      <c r="J138" s="89"/>
      <c r="K138" s="89"/>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row>
    <row r="139" spans="1:36" x14ac:dyDescent="0.4">
      <c r="A139" s="3" t="s">
        <v>527</v>
      </c>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row>
    <row r="140" spans="1:36" x14ac:dyDescent="0.4">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row>
    <row r="141" spans="1:36" x14ac:dyDescent="0.4">
      <c r="A141" s="42" t="s">
        <v>530</v>
      </c>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row>
    <row r="142" spans="1:36" x14ac:dyDescent="0.4">
      <c r="A142" s="42" t="s">
        <v>791</v>
      </c>
      <c r="B142" s="42" t="s">
        <v>136</v>
      </c>
      <c r="C142" s="42" t="s">
        <v>391</v>
      </c>
      <c r="D142" s="42" t="s">
        <v>392</v>
      </c>
      <c r="E142" s="42" t="s">
        <v>393</v>
      </c>
      <c r="F142" s="42" t="s">
        <v>394</v>
      </c>
      <c r="G142" s="42" t="s">
        <v>395</v>
      </c>
      <c r="H142" s="42" t="s">
        <v>396</v>
      </c>
      <c r="I142" s="42" t="s">
        <v>397</v>
      </c>
      <c r="J142" s="42" t="s">
        <v>398</v>
      </c>
      <c r="K142" s="42" t="s">
        <v>399</v>
      </c>
      <c r="L142" s="42" t="s">
        <v>400</v>
      </c>
      <c r="M142" s="42" t="s">
        <v>401</v>
      </c>
      <c r="N142" s="42" t="s">
        <v>402</v>
      </c>
      <c r="O142" s="42" t="s">
        <v>403</v>
      </c>
      <c r="P142" s="42" t="s">
        <v>404</v>
      </c>
      <c r="Q142" s="42" t="s">
        <v>405</v>
      </c>
      <c r="R142" s="42" t="s">
        <v>406</v>
      </c>
      <c r="S142" s="42" t="s">
        <v>407</v>
      </c>
      <c r="T142" s="42" t="s">
        <v>408</v>
      </c>
      <c r="U142" s="42" t="s">
        <v>409</v>
      </c>
      <c r="V142" s="42" t="s">
        <v>410</v>
      </c>
      <c r="W142" s="42" t="s">
        <v>411</v>
      </c>
      <c r="X142" s="42" t="s">
        <v>412</v>
      </c>
      <c r="Y142" s="42" t="s">
        <v>413</v>
      </c>
      <c r="Z142" s="42" t="s">
        <v>414</v>
      </c>
      <c r="AA142" s="42" t="s">
        <v>415</v>
      </c>
      <c r="AB142" s="42" t="s">
        <v>416</v>
      </c>
      <c r="AC142" s="42" t="s">
        <v>417</v>
      </c>
      <c r="AD142" s="42" t="s">
        <v>418</v>
      </c>
      <c r="AE142" s="42" t="s">
        <v>419</v>
      </c>
      <c r="AF142" s="42" t="s">
        <v>420</v>
      </c>
      <c r="AG142" s="42" t="s">
        <v>421</v>
      </c>
      <c r="AH142" s="42" t="s">
        <v>422</v>
      </c>
      <c r="AI142" s="42" t="s">
        <v>423</v>
      </c>
      <c r="AJ142" s="42" t="s">
        <v>424</v>
      </c>
    </row>
    <row r="143" spans="1:36" x14ac:dyDescent="0.4">
      <c r="A143" s="3" t="s">
        <v>532</v>
      </c>
      <c r="B143" s="3" t="s">
        <v>170</v>
      </c>
      <c r="C143" s="525">
        <v>12524.575278870005</v>
      </c>
      <c r="D143" s="525">
        <v>12665.656245839999</v>
      </c>
      <c r="E143" s="525">
        <v>13160.063954369998</v>
      </c>
      <c r="F143" s="525">
        <v>13233.642916320001</v>
      </c>
      <c r="G143" s="525">
        <v>13439.578405499999</v>
      </c>
      <c r="H143" s="525">
        <v>13676.953771020002</v>
      </c>
      <c r="I143" s="525">
        <v>13838.086025460001</v>
      </c>
      <c r="J143" s="525">
        <v>14087.717480745001</v>
      </c>
      <c r="K143" s="525">
        <v>14422.496123264998</v>
      </c>
      <c r="L143" s="525">
        <v>14653.073808210002</v>
      </c>
      <c r="M143" s="525">
        <v>12363.213294360001</v>
      </c>
      <c r="N143" s="525">
        <v>12566.536527270004</v>
      </c>
      <c r="O143" s="525">
        <v>13460.061880949997</v>
      </c>
      <c r="P143" s="525">
        <v>12096.435699510004</v>
      </c>
      <c r="Q143" s="525">
        <v>12870.658168580001</v>
      </c>
      <c r="R143" s="525">
        <v>15486.943016399999</v>
      </c>
      <c r="S143" s="525">
        <v>14182.072052219999</v>
      </c>
      <c r="T143" s="525">
        <v>15868.640948130002</v>
      </c>
      <c r="U143" s="525">
        <v>14623.088825849998</v>
      </c>
      <c r="V143" s="525">
        <v>14323.49202729</v>
      </c>
      <c r="W143" s="298" t="s">
        <v>32</v>
      </c>
      <c r="X143" s="298" t="s">
        <v>32</v>
      </c>
      <c r="Y143" s="298" t="s">
        <v>32</v>
      </c>
      <c r="Z143" s="298" t="s">
        <v>32</v>
      </c>
      <c r="AA143" s="298" t="s">
        <v>32</v>
      </c>
      <c r="AB143" s="298" t="s">
        <v>32</v>
      </c>
      <c r="AC143" s="298" t="s">
        <v>32</v>
      </c>
      <c r="AD143" s="298" t="s">
        <v>32</v>
      </c>
      <c r="AE143" s="298" t="s">
        <v>32</v>
      </c>
      <c r="AF143" s="298" t="s">
        <v>32</v>
      </c>
      <c r="AG143" s="298" t="s">
        <v>32</v>
      </c>
      <c r="AH143" s="298" t="s">
        <v>32</v>
      </c>
      <c r="AI143" s="298" t="s">
        <v>32</v>
      </c>
      <c r="AJ143" s="298" t="s">
        <v>32</v>
      </c>
    </row>
    <row r="144" spans="1:36" x14ac:dyDescent="0.4">
      <c r="A144" s="3" t="s">
        <v>531</v>
      </c>
      <c r="B144" s="3" t="s">
        <v>170</v>
      </c>
      <c r="C144" s="1051">
        <f t="shared" ref="C144:V144" si="12">C119+C143</f>
        <v>30154.575278870005</v>
      </c>
      <c r="D144" s="1051">
        <f t="shared" si="12"/>
        <v>30361.65624584</v>
      </c>
      <c r="E144" s="1051">
        <f t="shared" si="12"/>
        <v>31121.563954369998</v>
      </c>
      <c r="F144" s="1051">
        <f t="shared" si="12"/>
        <v>31307.642916320001</v>
      </c>
      <c r="G144" s="1051">
        <f t="shared" si="12"/>
        <v>31809.578405499997</v>
      </c>
      <c r="H144" s="1051">
        <f t="shared" si="12"/>
        <v>32301.953771020002</v>
      </c>
      <c r="I144" s="1051">
        <f t="shared" si="12"/>
        <v>32643.086025460001</v>
      </c>
      <c r="J144" s="1051">
        <f t="shared" si="12"/>
        <v>33132.217480744999</v>
      </c>
      <c r="K144" s="1051">
        <f t="shared" si="12"/>
        <v>33700.496123264995</v>
      </c>
      <c r="L144" s="1051">
        <f t="shared" si="12"/>
        <v>34159.07380821</v>
      </c>
      <c r="M144" s="1051">
        <f t="shared" si="12"/>
        <v>32089.213294360001</v>
      </c>
      <c r="N144" s="1051">
        <f t="shared" si="12"/>
        <v>32604.536527270004</v>
      </c>
      <c r="O144" s="1051">
        <f t="shared" si="12"/>
        <v>33694.061880950001</v>
      </c>
      <c r="P144" s="1051">
        <f t="shared" si="12"/>
        <v>32473.60236284334</v>
      </c>
      <c r="Q144" s="1051">
        <f t="shared" si="12"/>
        <v>33557.025505246667</v>
      </c>
      <c r="R144" s="1051">
        <f t="shared" si="12"/>
        <v>36441.311016400003</v>
      </c>
      <c r="S144" s="1051">
        <f t="shared" si="12"/>
        <v>34958.841052219999</v>
      </c>
      <c r="T144" s="1051">
        <f t="shared" si="12"/>
        <v>36771.655948130006</v>
      </c>
      <c r="U144" s="1051">
        <f t="shared" si="12"/>
        <v>35645.947825850002</v>
      </c>
      <c r="V144" s="1051">
        <f t="shared" si="12"/>
        <v>35392.187027289998</v>
      </c>
      <c r="W144" s="543">
        <v>35401.088303199998</v>
      </c>
      <c r="X144" s="543">
        <v>35519.832007600002</v>
      </c>
      <c r="Y144" s="543">
        <v>35886.5311363</v>
      </c>
      <c r="Z144" s="543">
        <v>36225.664007599997</v>
      </c>
      <c r="AA144" s="543">
        <v>36582.883446799999</v>
      </c>
      <c r="AB144" s="543">
        <v>36799.687842599997</v>
      </c>
      <c r="AC144" s="543">
        <v>37006.886060500001</v>
      </c>
      <c r="AD144" s="543">
        <v>37233.474543600001</v>
      </c>
      <c r="AE144" s="543">
        <v>37397.770299199998</v>
      </c>
      <c r="AF144" s="543">
        <v>37574.726820000003</v>
      </c>
      <c r="AG144" s="543">
        <v>37091.3598069</v>
      </c>
      <c r="AH144" s="525">
        <v>37164.978393899997</v>
      </c>
      <c r="AI144" s="525">
        <v>37410.699999999997</v>
      </c>
      <c r="AJ144" s="525">
        <v>39887.800000000003</v>
      </c>
    </row>
    <row r="145" spans="1:36" x14ac:dyDescent="0.4">
      <c r="A145" s="1188" t="s">
        <v>1063</v>
      </c>
      <c r="B145" s="1191"/>
      <c r="C145" s="1191"/>
      <c r="D145" s="1191"/>
      <c r="E145" s="1191"/>
      <c r="F145" s="1191"/>
      <c r="G145" s="1191"/>
      <c r="H145" s="1191"/>
      <c r="I145" s="1191"/>
      <c r="J145" s="1191"/>
      <c r="K145" s="1191"/>
      <c r="L145" s="1191"/>
      <c r="M145" s="1191"/>
      <c r="N145" s="1191"/>
      <c r="O145" s="1191"/>
      <c r="P145" s="1191"/>
      <c r="Q145" s="1191"/>
      <c r="R145" s="1191"/>
      <c r="S145" s="1191"/>
      <c r="T145" s="1191"/>
      <c r="U145" s="1191"/>
      <c r="V145" s="1191"/>
      <c r="W145" s="1191"/>
      <c r="X145" s="1191"/>
      <c r="Y145" s="1191"/>
      <c r="Z145" s="1191"/>
      <c r="AA145" s="1191"/>
      <c r="AB145" s="1191"/>
      <c r="AC145" s="1191"/>
      <c r="AD145" s="1191"/>
      <c r="AE145" s="1191"/>
      <c r="AF145" s="1191"/>
      <c r="AG145" s="1191"/>
      <c r="AH145" s="1191"/>
      <c r="AI145" s="1191"/>
      <c r="AJ145" s="1191"/>
    </row>
    <row r="146" spans="1:36" x14ac:dyDescent="0.4">
      <c r="A146" s="581"/>
      <c r="B146" s="89"/>
      <c r="C146" s="89"/>
      <c r="D146" s="89"/>
      <c r="E146" s="89"/>
      <c r="F146" s="89"/>
      <c r="G146" s="89"/>
      <c r="H146" s="89"/>
      <c r="I146" s="89"/>
      <c r="J146" s="89"/>
      <c r="K146" s="89"/>
      <c r="L146" s="89"/>
      <c r="M146" s="89"/>
      <c r="N146" s="89"/>
      <c r="O146" s="89"/>
      <c r="P146" s="89"/>
      <c r="Q146" s="89"/>
      <c r="R146" s="89"/>
      <c r="S146" s="89"/>
      <c r="T146" s="89"/>
      <c r="U146" s="89"/>
      <c r="V146" s="89"/>
      <c r="W146" s="89"/>
      <c r="X146" s="89"/>
      <c r="Y146" s="89"/>
      <c r="Z146" s="89"/>
      <c r="AA146" s="89"/>
      <c r="AB146" s="89"/>
      <c r="AC146" s="89"/>
      <c r="AD146" s="89"/>
      <c r="AE146" s="89"/>
      <c r="AF146" s="89"/>
      <c r="AG146" s="89"/>
      <c r="AH146" s="89"/>
      <c r="AI146" s="89"/>
      <c r="AJ146" s="89"/>
    </row>
    <row r="147" spans="1:36" x14ac:dyDescent="0.4">
      <c r="A147" s="1403" t="s">
        <v>1400</v>
      </c>
      <c r="C147" s="525"/>
      <c r="D147" s="525"/>
      <c r="E147" s="525"/>
      <c r="F147" s="525"/>
      <c r="G147" s="525"/>
      <c r="H147" s="525"/>
      <c r="I147" s="525"/>
      <c r="J147" s="525"/>
      <c r="K147" s="525"/>
      <c r="L147" s="525"/>
      <c r="M147" s="525"/>
      <c r="N147" s="525"/>
      <c r="O147" s="525"/>
      <c r="P147" s="525"/>
      <c r="Q147" s="525"/>
      <c r="R147" s="525"/>
      <c r="S147" s="525"/>
      <c r="T147" s="525"/>
      <c r="U147" s="525"/>
      <c r="V147" s="525"/>
      <c r="W147" s="525"/>
      <c r="X147" s="525"/>
      <c r="Y147" s="525"/>
      <c r="Z147" s="525"/>
      <c r="AA147" s="525"/>
      <c r="AB147" s="525"/>
      <c r="AC147" s="525"/>
      <c r="AD147" s="525"/>
      <c r="AE147" s="525"/>
      <c r="AF147" s="525"/>
      <c r="AG147" s="525"/>
      <c r="AH147" s="525"/>
      <c r="AI147" s="525"/>
      <c r="AJ147" s="525"/>
    </row>
    <row r="148" spans="1:36" x14ac:dyDescent="0.4">
      <c r="A148" s="3" t="s">
        <v>526</v>
      </c>
      <c r="C148" s="525"/>
      <c r="D148" s="525"/>
      <c r="E148" s="525"/>
      <c r="F148" s="525"/>
      <c r="G148" s="525"/>
      <c r="H148" s="525"/>
      <c r="I148" s="525"/>
      <c r="J148" s="525"/>
      <c r="K148" s="525"/>
      <c r="L148" s="525"/>
      <c r="M148" s="525"/>
      <c r="N148" s="525"/>
      <c r="O148" s="525"/>
      <c r="P148" s="525"/>
      <c r="Q148" s="525"/>
      <c r="R148" s="525"/>
      <c r="S148" s="525"/>
      <c r="T148" s="525"/>
      <c r="U148" s="525"/>
      <c r="V148" s="525"/>
      <c r="W148" s="525"/>
      <c r="X148" s="525"/>
      <c r="Y148" s="525"/>
      <c r="Z148" s="525"/>
      <c r="AA148" s="525"/>
      <c r="AB148" s="525"/>
      <c r="AC148" s="525"/>
      <c r="AD148" s="525"/>
      <c r="AE148" s="525"/>
      <c r="AF148" s="525"/>
      <c r="AG148" s="525"/>
      <c r="AH148" s="525"/>
      <c r="AI148" s="525"/>
      <c r="AJ148" s="525"/>
    </row>
    <row r="150" spans="1:36" x14ac:dyDescent="0.4">
      <c r="A150" s="659" t="s">
        <v>1010</v>
      </c>
    </row>
    <row r="151" spans="1:36" x14ac:dyDescent="0.4">
      <c r="A151" s="42" t="s">
        <v>792</v>
      </c>
      <c r="B151" s="517" t="s">
        <v>136</v>
      </c>
      <c r="C151" s="517" t="s">
        <v>391</v>
      </c>
      <c r="D151" s="517" t="s">
        <v>392</v>
      </c>
      <c r="E151" s="517" t="s">
        <v>393</v>
      </c>
      <c r="F151" s="517" t="s">
        <v>394</v>
      </c>
      <c r="G151" s="517" t="s">
        <v>395</v>
      </c>
      <c r="H151" s="517" t="s">
        <v>396</v>
      </c>
      <c r="I151" s="517" t="s">
        <v>397</v>
      </c>
      <c r="J151" s="517" t="s">
        <v>398</v>
      </c>
      <c r="K151" s="517" t="s">
        <v>399</v>
      </c>
      <c r="L151" s="517" t="s">
        <v>400</v>
      </c>
      <c r="M151" s="517" t="s">
        <v>401</v>
      </c>
      <c r="N151" s="517" t="s">
        <v>402</v>
      </c>
      <c r="O151" s="517" t="s">
        <v>403</v>
      </c>
      <c r="P151" s="517" t="s">
        <v>404</v>
      </c>
      <c r="Q151" s="517" t="s">
        <v>405</v>
      </c>
      <c r="R151" s="517" t="s">
        <v>406</v>
      </c>
      <c r="S151" s="517" t="s">
        <v>407</v>
      </c>
      <c r="T151" s="517" t="s">
        <v>408</v>
      </c>
      <c r="U151" s="517" t="s">
        <v>409</v>
      </c>
      <c r="V151" s="517" t="s">
        <v>410</v>
      </c>
      <c r="W151" s="517" t="s">
        <v>411</v>
      </c>
      <c r="X151" s="517" t="s">
        <v>412</v>
      </c>
      <c r="Y151" s="517" t="s">
        <v>413</v>
      </c>
      <c r="Z151" s="517" t="s">
        <v>414</v>
      </c>
      <c r="AA151" s="517" t="s">
        <v>415</v>
      </c>
      <c r="AB151" s="517" t="s">
        <v>416</v>
      </c>
      <c r="AC151" s="517" t="s">
        <v>417</v>
      </c>
      <c r="AD151" s="517" t="s">
        <v>418</v>
      </c>
      <c r="AE151" s="517" t="s">
        <v>419</v>
      </c>
      <c r="AF151" s="517" t="s">
        <v>420</v>
      </c>
      <c r="AG151" s="517" t="s">
        <v>421</v>
      </c>
      <c r="AH151" s="517" t="s">
        <v>422</v>
      </c>
      <c r="AI151" s="517" t="s">
        <v>423</v>
      </c>
      <c r="AJ151" s="517" t="s">
        <v>424</v>
      </c>
    </row>
    <row r="152" spans="1:36" x14ac:dyDescent="0.4">
      <c r="A152" s="518" t="s">
        <v>126</v>
      </c>
      <c r="B152" s="524" t="s">
        <v>1298</v>
      </c>
      <c r="C152" s="526">
        <v>54</v>
      </c>
      <c r="D152" s="612" t="s">
        <v>32</v>
      </c>
      <c r="E152" s="612" t="s">
        <v>32</v>
      </c>
      <c r="F152" s="612" t="s">
        <v>32</v>
      </c>
      <c r="G152" s="612" t="s">
        <v>32</v>
      </c>
      <c r="H152" s="612" t="s">
        <v>32</v>
      </c>
      <c r="I152" s="612" t="s">
        <v>32</v>
      </c>
      <c r="J152" s="612" t="s">
        <v>32</v>
      </c>
      <c r="K152" s="612" t="s">
        <v>32</v>
      </c>
      <c r="L152" s="612" t="s">
        <v>32</v>
      </c>
      <c r="M152" s="612" t="s">
        <v>32</v>
      </c>
      <c r="N152" s="612" t="s">
        <v>32</v>
      </c>
      <c r="O152" s="612" t="s">
        <v>32</v>
      </c>
      <c r="P152" s="612" t="s">
        <v>32</v>
      </c>
      <c r="Q152" s="612" t="s">
        <v>32</v>
      </c>
      <c r="R152" s="612" t="s">
        <v>32</v>
      </c>
      <c r="S152" s="612" t="s">
        <v>32</v>
      </c>
      <c r="T152" s="612" t="s">
        <v>32</v>
      </c>
      <c r="U152" s="612" t="s">
        <v>32</v>
      </c>
      <c r="V152" s="612" t="s">
        <v>32</v>
      </c>
      <c r="W152" s="612" t="s">
        <v>32</v>
      </c>
      <c r="X152" s="612" t="s">
        <v>32</v>
      </c>
      <c r="Y152" s="612" t="s">
        <v>32</v>
      </c>
      <c r="Z152" s="612" t="s">
        <v>32</v>
      </c>
      <c r="AA152" s="524">
        <v>92</v>
      </c>
      <c r="AB152" s="524">
        <v>86</v>
      </c>
      <c r="AC152" s="199">
        <v>94</v>
      </c>
      <c r="AD152" s="199">
        <v>94</v>
      </c>
      <c r="AE152" s="199">
        <v>94</v>
      </c>
      <c r="AF152" s="199">
        <v>94</v>
      </c>
      <c r="AG152" s="28">
        <v>96</v>
      </c>
      <c r="AH152" s="28">
        <v>95</v>
      </c>
      <c r="AI152" s="28">
        <v>95</v>
      </c>
      <c r="AJ152" s="28">
        <v>93</v>
      </c>
    </row>
    <row r="153" spans="1:36" x14ac:dyDescent="0.4">
      <c r="A153" s="519" t="s">
        <v>127</v>
      </c>
      <c r="B153" s="524" t="s">
        <v>1298</v>
      </c>
      <c r="C153" s="526">
        <v>2</v>
      </c>
      <c r="D153" s="612" t="s">
        <v>32</v>
      </c>
      <c r="E153" s="612" t="s">
        <v>32</v>
      </c>
      <c r="F153" s="612" t="s">
        <v>32</v>
      </c>
      <c r="G153" s="612" t="s">
        <v>32</v>
      </c>
      <c r="H153" s="612" t="s">
        <v>32</v>
      </c>
      <c r="I153" s="612" t="s">
        <v>32</v>
      </c>
      <c r="J153" s="612" t="s">
        <v>32</v>
      </c>
      <c r="K153" s="612" t="s">
        <v>32</v>
      </c>
      <c r="L153" s="612" t="s">
        <v>32</v>
      </c>
      <c r="M153" s="612" t="s">
        <v>32</v>
      </c>
      <c r="N153" s="612" t="s">
        <v>32</v>
      </c>
      <c r="O153" s="612" t="s">
        <v>32</v>
      </c>
      <c r="P153" s="612" t="s">
        <v>32</v>
      </c>
      <c r="Q153" s="612" t="s">
        <v>32</v>
      </c>
      <c r="R153" s="612" t="s">
        <v>32</v>
      </c>
      <c r="S153" s="612" t="s">
        <v>32</v>
      </c>
      <c r="T153" s="612" t="s">
        <v>32</v>
      </c>
      <c r="U153" s="612" t="s">
        <v>32</v>
      </c>
      <c r="V153" s="612" t="s">
        <v>32</v>
      </c>
      <c r="W153" s="612" t="s">
        <v>32</v>
      </c>
      <c r="X153" s="612" t="s">
        <v>32</v>
      </c>
      <c r="Y153" s="612" t="s">
        <v>32</v>
      </c>
      <c r="Z153" s="612" t="s">
        <v>32</v>
      </c>
      <c r="AA153" s="3">
        <v>2</v>
      </c>
      <c r="AB153" s="3">
        <v>7</v>
      </c>
      <c r="AC153" s="28">
        <v>2</v>
      </c>
      <c r="AD153" s="28">
        <v>2</v>
      </c>
      <c r="AE153" s="28">
        <v>2</v>
      </c>
      <c r="AF153" s="28">
        <v>2</v>
      </c>
      <c r="AG153" s="28">
        <v>2</v>
      </c>
      <c r="AH153" s="28">
        <v>2</v>
      </c>
      <c r="AI153" s="28">
        <v>2</v>
      </c>
      <c r="AJ153" s="28">
        <v>2</v>
      </c>
    </row>
    <row r="154" spans="1:36" x14ac:dyDescent="0.4">
      <c r="A154" s="520" t="s">
        <v>128</v>
      </c>
      <c r="B154" s="524" t="s">
        <v>1298</v>
      </c>
      <c r="C154" s="526">
        <v>0</v>
      </c>
      <c r="D154" s="612" t="s">
        <v>32</v>
      </c>
      <c r="E154" s="612" t="s">
        <v>32</v>
      </c>
      <c r="F154" s="612" t="s">
        <v>32</v>
      </c>
      <c r="G154" s="612" t="s">
        <v>32</v>
      </c>
      <c r="H154" s="612" t="s">
        <v>32</v>
      </c>
      <c r="I154" s="612" t="s">
        <v>32</v>
      </c>
      <c r="J154" s="612" t="s">
        <v>32</v>
      </c>
      <c r="K154" s="612" t="s">
        <v>32</v>
      </c>
      <c r="L154" s="612" t="s">
        <v>32</v>
      </c>
      <c r="M154" s="612" t="s">
        <v>32</v>
      </c>
      <c r="N154" s="612" t="s">
        <v>32</v>
      </c>
      <c r="O154" s="612" t="s">
        <v>32</v>
      </c>
      <c r="P154" s="612" t="s">
        <v>32</v>
      </c>
      <c r="Q154" s="612" t="s">
        <v>32</v>
      </c>
      <c r="R154" s="612" t="s">
        <v>32</v>
      </c>
      <c r="S154" s="612" t="s">
        <v>32</v>
      </c>
      <c r="T154" s="612" t="s">
        <v>32</v>
      </c>
      <c r="U154" s="612" t="s">
        <v>32</v>
      </c>
      <c r="V154" s="612" t="s">
        <v>32</v>
      </c>
      <c r="W154" s="612" t="s">
        <v>32</v>
      </c>
      <c r="X154" s="612" t="s">
        <v>32</v>
      </c>
      <c r="Y154" s="612" t="s">
        <v>32</v>
      </c>
      <c r="Z154" s="612" t="s">
        <v>32</v>
      </c>
      <c r="AA154" s="521">
        <v>0</v>
      </c>
      <c r="AB154" s="521">
        <v>0</v>
      </c>
      <c r="AC154" s="527">
        <v>0</v>
      </c>
      <c r="AD154" s="527">
        <v>0</v>
      </c>
      <c r="AE154" s="527">
        <v>0</v>
      </c>
      <c r="AF154" s="527">
        <v>0</v>
      </c>
      <c r="AG154" s="527">
        <v>0</v>
      </c>
      <c r="AH154" s="527">
        <v>0</v>
      </c>
      <c r="AI154" s="527">
        <v>0</v>
      </c>
      <c r="AJ154" s="527">
        <v>0</v>
      </c>
    </row>
    <row r="155" spans="1:36" x14ac:dyDescent="0.4">
      <c r="A155" s="519" t="s">
        <v>129</v>
      </c>
      <c r="B155" s="524" t="s">
        <v>1298</v>
      </c>
      <c r="C155" s="526">
        <v>6</v>
      </c>
      <c r="D155" s="612" t="s">
        <v>32</v>
      </c>
      <c r="E155" s="612" t="s">
        <v>32</v>
      </c>
      <c r="F155" s="612" t="s">
        <v>32</v>
      </c>
      <c r="G155" s="612" t="s">
        <v>32</v>
      </c>
      <c r="H155" s="612" t="s">
        <v>32</v>
      </c>
      <c r="I155" s="612" t="s">
        <v>32</v>
      </c>
      <c r="J155" s="612" t="s">
        <v>32</v>
      </c>
      <c r="K155" s="612" t="s">
        <v>32</v>
      </c>
      <c r="L155" s="612" t="s">
        <v>32</v>
      </c>
      <c r="M155" s="612" t="s">
        <v>32</v>
      </c>
      <c r="N155" s="612" t="s">
        <v>32</v>
      </c>
      <c r="O155" s="612" t="s">
        <v>32</v>
      </c>
      <c r="P155" s="612" t="s">
        <v>32</v>
      </c>
      <c r="Q155" s="612" t="s">
        <v>32</v>
      </c>
      <c r="R155" s="612" t="s">
        <v>32</v>
      </c>
      <c r="S155" s="612" t="s">
        <v>32</v>
      </c>
      <c r="T155" s="612" t="s">
        <v>32</v>
      </c>
      <c r="U155" s="612" t="s">
        <v>32</v>
      </c>
      <c r="V155" s="612" t="s">
        <v>32</v>
      </c>
      <c r="W155" s="612" t="s">
        <v>32</v>
      </c>
      <c r="X155" s="612" t="s">
        <v>32</v>
      </c>
      <c r="Y155" s="612" t="s">
        <v>32</v>
      </c>
      <c r="Z155" s="612" t="s">
        <v>32</v>
      </c>
      <c r="AA155" s="3">
        <v>10</v>
      </c>
      <c r="AB155" s="3">
        <v>18</v>
      </c>
      <c r="AC155" s="28">
        <v>12</v>
      </c>
      <c r="AD155" s="28">
        <v>12</v>
      </c>
      <c r="AE155" s="28">
        <v>10</v>
      </c>
      <c r="AF155" s="28">
        <v>10</v>
      </c>
      <c r="AG155" s="28">
        <v>13</v>
      </c>
      <c r="AH155" s="28">
        <v>10</v>
      </c>
      <c r="AI155" s="28">
        <v>9</v>
      </c>
      <c r="AJ155" s="28">
        <v>16</v>
      </c>
    </row>
    <row r="156" spans="1:36" x14ac:dyDescent="0.4">
      <c r="A156" s="519" t="s">
        <v>130</v>
      </c>
      <c r="B156" s="524" t="s">
        <v>1298</v>
      </c>
      <c r="C156" s="526">
        <v>3</v>
      </c>
      <c r="D156" s="612" t="s">
        <v>32</v>
      </c>
      <c r="E156" s="612" t="s">
        <v>32</v>
      </c>
      <c r="F156" s="612" t="s">
        <v>32</v>
      </c>
      <c r="G156" s="612" t="s">
        <v>32</v>
      </c>
      <c r="H156" s="612" t="s">
        <v>32</v>
      </c>
      <c r="I156" s="612" t="s">
        <v>32</v>
      </c>
      <c r="J156" s="612" t="s">
        <v>32</v>
      </c>
      <c r="K156" s="612" t="s">
        <v>32</v>
      </c>
      <c r="L156" s="612" t="s">
        <v>32</v>
      </c>
      <c r="M156" s="612" t="s">
        <v>32</v>
      </c>
      <c r="N156" s="612" t="s">
        <v>32</v>
      </c>
      <c r="O156" s="612" t="s">
        <v>32</v>
      </c>
      <c r="P156" s="612" t="s">
        <v>32</v>
      </c>
      <c r="Q156" s="612" t="s">
        <v>32</v>
      </c>
      <c r="R156" s="612" t="s">
        <v>32</v>
      </c>
      <c r="S156" s="612" t="s">
        <v>32</v>
      </c>
      <c r="T156" s="612" t="s">
        <v>32</v>
      </c>
      <c r="U156" s="612" t="s">
        <v>32</v>
      </c>
      <c r="V156" s="612" t="s">
        <v>32</v>
      </c>
      <c r="W156" s="612" t="s">
        <v>32</v>
      </c>
      <c r="X156" s="612" t="s">
        <v>32</v>
      </c>
      <c r="Y156" s="612" t="s">
        <v>32</v>
      </c>
      <c r="Z156" s="612" t="s">
        <v>32</v>
      </c>
      <c r="AA156" s="3">
        <v>4</v>
      </c>
      <c r="AB156" s="3">
        <v>4</v>
      </c>
      <c r="AC156" s="28">
        <v>4</v>
      </c>
      <c r="AD156" s="28">
        <v>5</v>
      </c>
      <c r="AE156" s="28">
        <v>4</v>
      </c>
      <c r="AF156" s="28">
        <v>4</v>
      </c>
      <c r="AG156" s="28">
        <v>4</v>
      </c>
      <c r="AH156" s="28">
        <v>4</v>
      </c>
      <c r="AI156" s="28">
        <v>4</v>
      </c>
      <c r="AJ156" s="28">
        <v>4</v>
      </c>
    </row>
    <row r="157" spans="1:36" x14ac:dyDescent="0.4">
      <c r="A157" s="519" t="s">
        <v>131</v>
      </c>
      <c r="B157" s="524" t="s">
        <v>1298</v>
      </c>
      <c r="C157" s="526">
        <v>52</v>
      </c>
      <c r="D157" s="612" t="s">
        <v>32</v>
      </c>
      <c r="E157" s="612" t="s">
        <v>32</v>
      </c>
      <c r="F157" s="612" t="s">
        <v>32</v>
      </c>
      <c r="G157" s="612" t="s">
        <v>32</v>
      </c>
      <c r="H157" s="612" t="s">
        <v>32</v>
      </c>
      <c r="I157" s="612" t="s">
        <v>32</v>
      </c>
      <c r="J157" s="612" t="s">
        <v>32</v>
      </c>
      <c r="K157" s="612" t="s">
        <v>32</v>
      </c>
      <c r="L157" s="612" t="s">
        <v>32</v>
      </c>
      <c r="M157" s="612" t="s">
        <v>32</v>
      </c>
      <c r="N157" s="612" t="s">
        <v>32</v>
      </c>
      <c r="O157" s="612" t="s">
        <v>32</v>
      </c>
      <c r="P157" s="612" t="s">
        <v>32</v>
      </c>
      <c r="Q157" s="612" t="s">
        <v>32</v>
      </c>
      <c r="R157" s="612" t="s">
        <v>32</v>
      </c>
      <c r="S157" s="612" t="s">
        <v>32</v>
      </c>
      <c r="T157" s="612" t="s">
        <v>32</v>
      </c>
      <c r="U157" s="612" t="s">
        <v>32</v>
      </c>
      <c r="V157" s="612" t="s">
        <v>32</v>
      </c>
      <c r="W157" s="612" t="s">
        <v>32</v>
      </c>
      <c r="X157" s="612" t="s">
        <v>32</v>
      </c>
      <c r="Y157" s="612" t="s">
        <v>32</v>
      </c>
      <c r="Z157" s="612" t="s">
        <v>32</v>
      </c>
      <c r="AA157" s="3">
        <v>76</v>
      </c>
      <c r="AB157" s="3">
        <v>72</v>
      </c>
      <c r="AC157" s="28">
        <v>96</v>
      </c>
      <c r="AD157" s="28">
        <v>99</v>
      </c>
      <c r="AE157" s="28">
        <v>103</v>
      </c>
      <c r="AF157" s="28">
        <v>103</v>
      </c>
      <c r="AG157" s="28">
        <v>99</v>
      </c>
      <c r="AH157" s="28">
        <v>111</v>
      </c>
      <c r="AI157" s="28">
        <v>97</v>
      </c>
      <c r="AJ157" s="28">
        <v>101</v>
      </c>
    </row>
    <row r="158" spans="1:36" x14ac:dyDescent="0.4">
      <c r="A158" s="519" t="s">
        <v>132</v>
      </c>
      <c r="B158" s="524" t="s">
        <v>1298</v>
      </c>
      <c r="C158" s="526">
        <v>74</v>
      </c>
      <c r="D158" s="612" t="s">
        <v>32</v>
      </c>
      <c r="E158" s="612" t="s">
        <v>32</v>
      </c>
      <c r="F158" s="612" t="s">
        <v>32</v>
      </c>
      <c r="G158" s="612" t="s">
        <v>32</v>
      </c>
      <c r="H158" s="612" t="s">
        <v>32</v>
      </c>
      <c r="I158" s="612" t="s">
        <v>32</v>
      </c>
      <c r="J158" s="612" t="s">
        <v>32</v>
      </c>
      <c r="K158" s="612" t="s">
        <v>32</v>
      </c>
      <c r="L158" s="612" t="s">
        <v>32</v>
      </c>
      <c r="M158" s="612" t="s">
        <v>32</v>
      </c>
      <c r="N158" s="612" t="s">
        <v>32</v>
      </c>
      <c r="O158" s="612" t="s">
        <v>32</v>
      </c>
      <c r="P158" s="612" t="s">
        <v>32</v>
      </c>
      <c r="Q158" s="612" t="s">
        <v>32</v>
      </c>
      <c r="R158" s="612" t="s">
        <v>32</v>
      </c>
      <c r="S158" s="612" t="s">
        <v>32</v>
      </c>
      <c r="T158" s="612" t="s">
        <v>32</v>
      </c>
      <c r="U158" s="612" t="s">
        <v>32</v>
      </c>
      <c r="V158" s="612" t="s">
        <v>32</v>
      </c>
      <c r="W158" s="612" t="s">
        <v>32</v>
      </c>
      <c r="X158" s="612" t="s">
        <v>32</v>
      </c>
      <c r="Y158" s="612" t="s">
        <v>32</v>
      </c>
      <c r="Z158" s="612" t="s">
        <v>32</v>
      </c>
      <c r="AA158" s="3">
        <v>162</v>
      </c>
      <c r="AB158" s="3">
        <v>165</v>
      </c>
      <c r="AC158" s="28">
        <v>184</v>
      </c>
      <c r="AD158" s="28">
        <v>178</v>
      </c>
      <c r="AE158" s="28">
        <v>178</v>
      </c>
      <c r="AF158" s="28">
        <v>177</v>
      </c>
      <c r="AG158" s="28">
        <v>184</v>
      </c>
      <c r="AH158" s="28">
        <v>189</v>
      </c>
      <c r="AI158" s="28">
        <v>168</v>
      </c>
      <c r="AJ158" s="28">
        <v>163</v>
      </c>
    </row>
    <row r="159" spans="1:36" x14ac:dyDescent="0.4">
      <c r="A159" s="519" t="s">
        <v>133</v>
      </c>
      <c r="B159" s="524" t="s">
        <v>1298</v>
      </c>
      <c r="C159" s="526">
        <v>98</v>
      </c>
      <c r="D159" s="612" t="s">
        <v>32</v>
      </c>
      <c r="E159" s="612" t="s">
        <v>32</v>
      </c>
      <c r="F159" s="612" t="s">
        <v>32</v>
      </c>
      <c r="G159" s="612" t="s">
        <v>32</v>
      </c>
      <c r="H159" s="612" t="s">
        <v>32</v>
      </c>
      <c r="I159" s="612" t="s">
        <v>32</v>
      </c>
      <c r="J159" s="612" t="s">
        <v>32</v>
      </c>
      <c r="K159" s="612" t="s">
        <v>32</v>
      </c>
      <c r="L159" s="612" t="s">
        <v>32</v>
      </c>
      <c r="M159" s="612" t="s">
        <v>32</v>
      </c>
      <c r="N159" s="612" t="s">
        <v>32</v>
      </c>
      <c r="O159" s="612" t="s">
        <v>32</v>
      </c>
      <c r="P159" s="612" t="s">
        <v>32</v>
      </c>
      <c r="Q159" s="612" t="s">
        <v>32</v>
      </c>
      <c r="R159" s="612" t="s">
        <v>32</v>
      </c>
      <c r="S159" s="612" t="s">
        <v>32</v>
      </c>
      <c r="T159" s="612" t="s">
        <v>32</v>
      </c>
      <c r="U159" s="612" t="s">
        <v>32</v>
      </c>
      <c r="V159" s="612" t="s">
        <v>32</v>
      </c>
      <c r="W159" s="612" t="s">
        <v>32</v>
      </c>
      <c r="X159" s="612" t="s">
        <v>32</v>
      </c>
      <c r="Y159" s="612" t="s">
        <v>32</v>
      </c>
      <c r="Z159" s="612" t="s">
        <v>32</v>
      </c>
      <c r="AA159" s="3">
        <v>116</v>
      </c>
      <c r="AB159" s="3">
        <v>114</v>
      </c>
      <c r="AC159" s="28">
        <v>108</v>
      </c>
      <c r="AD159" s="28">
        <v>110</v>
      </c>
      <c r="AE159" s="28">
        <v>112</v>
      </c>
      <c r="AF159" s="28">
        <v>113</v>
      </c>
      <c r="AG159" s="28">
        <v>110</v>
      </c>
      <c r="AH159" s="28">
        <v>101</v>
      </c>
      <c r="AI159" s="28">
        <v>101</v>
      </c>
      <c r="AJ159" s="28">
        <v>98</v>
      </c>
    </row>
    <row r="160" spans="1:36" x14ac:dyDescent="0.4">
      <c r="A160" s="519" t="s">
        <v>134</v>
      </c>
      <c r="B160" s="524" t="s">
        <v>1298</v>
      </c>
      <c r="C160" s="526">
        <v>299</v>
      </c>
      <c r="D160" s="612" t="s">
        <v>32</v>
      </c>
      <c r="E160" s="612" t="s">
        <v>32</v>
      </c>
      <c r="F160" s="612" t="s">
        <v>32</v>
      </c>
      <c r="G160" s="612" t="s">
        <v>32</v>
      </c>
      <c r="H160" s="612" t="s">
        <v>32</v>
      </c>
      <c r="I160" s="612" t="s">
        <v>32</v>
      </c>
      <c r="J160" s="612" t="s">
        <v>32</v>
      </c>
      <c r="K160" s="612" t="s">
        <v>32</v>
      </c>
      <c r="L160" s="612" t="s">
        <v>32</v>
      </c>
      <c r="M160" s="612" t="s">
        <v>32</v>
      </c>
      <c r="N160" s="612" t="s">
        <v>32</v>
      </c>
      <c r="O160" s="612" t="s">
        <v>32</v>
      </c>
      <c r="P160" s="612" t="s">
        <v>32</v>
      </c>
      <c r="Q160" s="612" t="s">
        <v>32</v>
      </c>
      <c r="R160" s="612" t="s">
        <v>32</v>
      </c>
      <c r="S160" s="612" t="s">
        <v>32</v>
      </c>
      <c r="T160" s="612" t="s">
        <v>32</v>
      </c>
      <c r="U160" s="612" t="s">
        <v>32</v>
      </c>
      <c r="V160" s="612" t="s">
        <v>32</v>
      </c>
      <c r="W160" s="612" t="s">
        <v>32</v>
      </c>
      <c r="X160" s="612" t="s">
        <v>32</v>
      </c>
      <c r="Y160" s="612" t="s">
        <v>32</v>
      </c>
      <c r="Z160" s="612" t="s">
        <v>32</v>
      </c>
      <c r="AA160" s="3">
        <v>454</v>
      </c>
      <c r="AB160" s="3">
        <v>464</v>
      </c>
      <c r="AC160" s="28">
        <v>467</v>
      </c>
      <c r="AD160" s="28">
        <v>463</v>
      </c>
      <c r="AE160" s="28">
        <v>443</v>
      </c>
      <c r="AF160" s="28">
        <v>441</v>
      </c>
      <c r="AG160" s="28">
        <v>454</v>
      </c>
      <c r="AH160" s="28">
        <v>410</v>
      </c>
      <c r="AI160" s="28">
        <v>433</v>
      </c>
      <c r="AJ160" s="28">
        <v>379</v>
      </c>
    </row>
    <row r="161" spans="1:36" x14ac:dyDescent="0.4">
      <c r="A161" s="520" t="s">
        <v>135</v>
      </c>
      <c r="B161" s="524" t="s">
        <v>1298</v>
      </c>
      <c r="C161" s="526">
        <v>201</v>
      </c>
      <c r="D161" s="612" t="s">
        <v>32</v>
      </c>
      <c r="E161" s="612" t="s">
        <v>32</v>
      </c>
      <c r="F161" s="612" t="s">
        <v>32</v>
      </c>
      <c r="G161" s="612" t="s">
        <v>32</v>
      </c>
      <c r="H161" s="612" t="s">
        <v>32</v>
      </c>
      <c r="I161" s="612" t="s">
        <v>32</v>
      </c>
      <c r="J161" s="612" t="s">
        <v>32</v>
      </c>
      <c r="K161" s="612" t="s">
        <v>32</v>
      </c>
      <c r="L161" s="612" t="s">
        <v>32</v>
      </c>
      <c r="M161" s="612" t="s">
        <v>32</v>
      </c>
      <c r="N161" s="612" t="s">
        <v>32</v>
      </c>
      <c r="O161" s="612" t="s">
        <v>32</v>
      </c>
      <c r="P161" s="612" t="s">
        <v>32</v>
      </c>
      <c r="Q161" s="612" t="s">
        <v>32</v>
      </c>
      <c r="R161" s="612" t="s">
        <v>32</v>
      </c>
      <c r="S161" s="612" t="s">
        <v>32</v>
      </c>
      <c r="T161" s="612" t="s">
        <v>32</v>
      </c>
      <c r="U161" s="612" t="s">
        <v>32</v>
      </c>
      <c r="V161" s="612" t="s">
        <v>32</v>
      </c>
      <c r="W161" s="612" t="s">
        <v>32</v>
      </c>
      <c r="X161" s="612" t="s">
        <v>32</v>
      </c>
      <c r="Y161" s="612" t="s">
        <v>32</v>
      </c>
      <c r="Z161" s="612" t="s">
        <v>32</v>
      </c>
      <c r="AA161" s="521">
        <v>279</v>
      </c>
      <c r="AB161" s="521">
        <v>265</v>
      </c>
      <c r="AC161" s="527">
        <v>217</v>
      </c>
      <c r="AD161" s="527">
        <v>216</v>
      </c>
      <c r="AE161" s="527">
        <v>215</v>
      </c>
      <c r="AF161" s="527">
        <v>215</v>
      </c>
      <c r="AG161" s="527">
        <v>219</v>
      </c>
      <c r="AH161" s="527">
        <v>217</v>
      </c>
      <c r="AI161" s="527">
        <v>215</v>
      </c>
      <c r="AJ161" s="527">
        <v>278</v>
      </c>
    </row>
    <row r="162" spans="1:36" x14ac:dyDescent="0.4">
      <c r="A162" s="518" t="s">
        <v>20</v>
      </c>
      <c r="B162" s="524" t="s">
        <v>1298</v>
      </c>
      <c r="C162" s="3">
        <f>SUM(C152:C161)</f>
        <v>789</v>
      </c>
      <c r="D162" s="642" t="s">
        <v>32</v>
      </c>
      <c r="E162" s="642" t="s">
        <v>32</v>
      </c>
      <c r="F162" s="642" t="s">
        <v>32</v>
      </c>
      <c r="G162" s="642" t="s">
        <v>32</v>
      </c>
      <c r="H162" s="642" t="s">
        <v>32</v>
      </c>
      <c r="I162" s="642" t="s">
        <v>32</v>
      </c>
      <c r="J162" s="642" t="s">
        <v>32</v>
      </c>
      <c r="K162" s="642" t="s">
        <v>32</v>
      </c>
      <c r="L162" s="642" t="s">
        <v>32</v>
      </c>
      <c r="M162" s="642" t="s">
        <v>32</v>
      </c>
      <c r="N162" s="642" t="s">
        <v>32</v>
      </c>
      <c r="O162" s="642" t="s">
        <v>32</v>
      </c>
      <c r="P162" s="642" t="s">
        <v>32</v>
      </c>
      <c r="Q162" s="642" t="s">
        <v>32</v>
      </c>
      <c r="R162" s="642" t="s">
        <v>32</v>
      </c>
      <c r="S162" s="642" t="s">
        <v>32</v>
      </c>
      <c r="T162" s="642" t="s">
        <v>32</v>
      </c>
      <c r="U162" s="642" t="s">
        <v>32</v>
      </c>
      <c r="V162" s="642" t="s">
        <v>32</v>
      </c>
      <c r="W162" s="642" t="s">
        <v>32</v>
      </c>
      <c r="X162" s="642" t="s">
        <v>32</v>
      </c>
      <c r="Y162" s="642" t="s">
        <v>32</v>
      </c>
      <c r="Z162" s="642" t="s">
        <v>32</v>
      </c>
      <c r="AA162" s="3">
        <f t="shared" ref="AA162:AJ162" si="13">SUM(AA152:AA161)</f>
        <v>1195</v>
      </c>
      <c r="AB162" s="3">
        <f t="shared" si="13"/>
        <v>1195</v>
      </c>
      <c r="AC162" s="3">
        <f t="shared" si="13"/>
        <v>1184</v>
      </c>
      <c r="AD162" s="3">
        <f t="shared" si="13"/>
        <v>1179</v>
      </c>
      <c r="AE162" s="3">
        <f t="shared" si="13"/>
        <v>1161</v>
      </c>
      <c r="AF162" s="3">
        <f t="shared" si="13"/>
        <v>1159</v>
      </c>
      <c r="AG162" s="28">
        <f t="shared" si="13"/>
        <v>1181</v>
      </c>
      <c r="AH162" s="28">
        <f t="shared" si="13"/>
        <v>1139</v>
      </c>
      <c r="AI162" s="28">
        <f t="shared" si="13"/>
        <v>1124</v>
      </c>
      <c r="AJ162" s="28">
        <f t="shared" si="13"/>
        <v>1134</v>
      </c>
    </row>
    <row r="163" spans="1:36" x14ac:dyDescent="0.4">
      <c r="A163" s="1188" t="s">
        <v>1063</v>
      </c>
      <c r="B163" s="1191"/>
      <c r="C163" s="1191"/>
      <c r="D163" s="1191"/>
      <c r="E163" s="1191"/>
      <c r="F163" s="1191"/>
      <c r="G163" s="1191"/>
      <c r="H163" s="1191"/>
      <c r="I163" s="1191"/>
      <c r="J163" s="1191"/>
      <c r="K163" s="1191"/>
      <c r="L163" s="1191"/>
      <c r="M163" s="1191"/>
      <c r="N163" s="1191"/>
      <c r="O163" s="1191"/>
      <c r="P163" s="1191"/>
      <c r="Q163" s="1191"/>
      <c r="R163" s="1191"/>
      <c r="S163" s="1191"/>
      <c r="T163" s="1191"/>
      <c r="U163" s="1191"/>
      <c r="V163" s="1191"/>
      <c r="W163" s="1191"/>
      <c r="X163" s="1191"/>
      <c r="Y163" s="1191"/>
      <c r="Z163" s="1191"/>
      <c r="AA163" s="1191"/>
      <c r="AB163" s="1191"/>
      <c r="AC163" s="1191"/>
      <c r="AD163" s="1191"/>
      <c r="AE163" s="1191"/>
      <c r="AF163" s="1191"/>
      <c r="AG163" s="1191"/>
      <c r="AH163" s="1191"/>
      <c r="AI163" s="1191"/>
      <c r="AJ163" s="1191"/>
    </row>
    <row r="164" spans="1:36" x14ac:dyDescent="0.4">
      <c r="A164" s="581"/>
      <c r="B164" s="89"/>
      <c r="C164" s="89"/>
      <c r="D164" s="89"/>
      <c r="E164" s="89"/>
      <c r="F164" s="89"/>
      <c r="G164" s="89"/>
      <c r="H164" s="89"/>
      <c r="I164" s="89"/>
      <c r="J164" s="89"/>
      <c r="K164" s="89"/>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row>
    <row r="165" spans="1:36" x14ac:dyDescent="0.4">
      <c r="A165" s="1403" t="s">
        <v>1401</v>
      </c>
      <c r="D165" s="641"/>
      <c r="E165" s="641"/>
      <c r="F165" s="641"/>
      <c r="G165" s="641"/>
      <c r="H165" s="641"/>
      <c r="I165" s="641"/>
      <c r="J165" s="641"/>
      <c r="K165" s="641"/>
      <c r="L165" s="641"/>
      <c r="M165" s="641"/>
      <c r="N165" s="641"/>
      <c r="O165" s="641"/>
      <c r="P165" s="641"/>
      <c r="Q165" s="641"/>
      <c r="R165" s="641"/>
      <c r="S165" s="641"/>
      <c r="T165" s="641"/>
      <c r="U165" s="641"/>
      <c r="V165" s="641"/>
      <c r="W165" s="641"/>
      <c r="X165" s="641"/>
      <c r="Y165" s="641"/>
      <c r="Z165" s="641"/>
      <c r="AG165" s="28"/>
      <c r="AH165" s="28"/>
      <c r="AI165" s="28"/>
      <c r="AJ165" s="28"/>
    </row>
    <row r="167" spans="1:36" x14ac:dyDescent="0.4">
      <c r="A167" s="42" t="s">
        <v>524</v>
      </c>
    </row>
    <row r="168" spans="1:36" x14ac:dyDescent="0.4">
      <c r="A168" s="42" t="s">
        <v>536</v>
      </c>
      <c r="B168" s="517" t="s">
        <v>136</v>
      </c>
      <c r="C168" s="517" t="s">
        <v>391</v>
      </c>
      <c r="D168" s="517" t="s">
        <v>392</v>
      </c>
      <c r="E168" s="517" t="s">
        <v>393</v>
      </c>
      <c r="F168" s="517" t="s">
        <v>394</v>
      </c>
      <c r="G168" s="517" t="s">
        <v>395</v>
      </c>
      <c r="H168" s="517" t="s">
        <v>396</v>
      </c>
      <c r="I168" s="517" t="s">
        <v>397</v>
      </c>
      <c r="J168" s="517" t="s">
        <v>398</v>
      </c>
      <c r="K168" s="517" t="s">
        <v>399</v>
      </c>
      <c r="L168" s="517" t="s">
        <v>400</v>
      </c>
      <c r="M168" s="517" t="s">
        <v>401</v>
      </c>
      <c r="N168" s="517" t="s">
        <v>402</v>
      </c>
      <c r="O168" s="517" t="s">
        <v>403</v>
      </c>
      <c r="P168" s="517" t="s">
        <v>404</v>
      </c>
      <c r="Q168" s="517" t="s">
        <v>405</v>
      </c>
      <c r="R168" s="517" t="s">
        <v>406</v>
      </c>
      <c r="S168" s="517" t="s">
        <v>407</v>
      </c>
      <c r="T168" s="517" t="s">
        <v>408</v>
      </c>
      <c r="U168" s="517" t="s">
        <v>409</v>
      </c>
      <c r="V168" s="517" t="s">
        <v>410</v>
      </c>
      <c r="W168" s="517" t="s">
        <v>411</v>
      </c>
      <c r="X168" s="517" t="s">
        <v>412</v>
      </c>
      <c r="Y168" s="517" t="s">
        <v>413</v>
      </c>
      <c r="Z168" s="517" t="s">
        <v>414</v>
      </c>
      <c r="AA168" s="517" t="s">
        <v>415</v>
      </c>
      <c r="AB168" s="517" t="s">
        <v>416</v>
      </c>
      <c r="AC168" s="517" t="s">
        <v>417</v>
      </c>
      <c r="AD168" s="517" t="s">
        <v>418</v>
      </c>
      <c r="AE168" s="517" t="s">
        <v>419</v>
      </c>
      <c r="AF168" s="517" t="s">
        <v>420</v>
      </c>
      <c r="AG168" s="517" t="s">
        <v>421</v>
      </c>
      <c r="AH168" s="517" t="s">
        <v>422</v>
      </c>
      <c r="AI168" s="517" t="s">
        <v>423</v>
      </c>
      <c r="AJ168" s="517" t="s">
        <v>424</v>
      </c>
    </row>
    <row r="169" spans="1:36" x14ac:dyDescent="0.4">
      <c r="A169" s="518" t="s">
        <v>59</v>
      </c>
      <c r="B169" s="524" t="s">
        <v>1299</v>
      </c>
      <c r="C169" s="528">
        <v>1118429</v>
      </c>
      <c r="D169" s="528">
        <v>1127536</v>
      </c>
      <c r="E169" s="528">
        <v>1137911</v>
      </c>
      <c r="F169" s="528">
        <v>1155443</v>
      </c>
      <c r="G169" s="528">
        <v>1179869</v>
      </c>
      <c r="H169" s="528">
        <v>1180860</v>
      </c>
      <c r="I169" s="528">
        <v>1188317</v>
      </c>
      <c r="J169" s="528">
        <v>1204494</v>
      </c>
      <c r="K169" s="528">
        <v>1212486</v>
      </c>
      <c r="L169" s="528">
        <v>1232887</v>
      </c>
      <c r="M169" s="528">
        <v>1278781</v>
      </c>
      <c r="N169" s="528">
        <v>1283008</v>
      </c>
      <c r="O169" s="528">
        <v>1295952</v>
      </c>
      <c r="P169" s="528">
        <v>1324715</v>
      </c>
      <c r="Q169" s="528">
        <v>1306142</v>
      </c>
      <c r="R169" s="528">
        <v>1297508</v>
      </c>
      <c r="S169" s="528">
        <v>1348848</v>
      </c>
      <c r="T169" s="528">
        <v>1361470</v>
      </c>
      <c r="U169" s="495">
        <f>AVERAGE(T169,V169)</f>
        <v>1365911.5</v>
      </c>
      <c r="V169" s="495">
        <v>1370353</v>
      </c>
      <c r="W169" s="528">
        <v>1389592</v>
      </c>
      <c r="X169" s="528">
        <v>1408314</v>
      </c>
      <c r="Y169" s="528">
        <v>1447947</v>
      </c>
      <c r="Z169" s="528">
        <v>1467578</v>
      </c>
      <c r="AA169" s="528">
        <v>1461350</v>
      </c>
      <c r="AB169" s="528">
        <v>1478072</v>
      </c>
      <c r="AC169" s="528">
        <v>1494568</v>
      </c>
      <c r="AD169" s="528">
        <v>1510872</v>
      </c>
      <c r="AE169" s="528">
        <v>1532732</v>
      </c>
      <c r="AF169" s="528">
        <v>1548127</v>
      </c>
      <c r="AG169" s="528">
        <v>1865886</v>
      </c>
      <c r="AH169" s="528">
        <v>1581946</v>
      </c>
      <c r="AI169" s="528">
        <v>1790157</v>
      </c>
      <c r="AJ169" s="528">
        <v>1603218</v>
      </c>
    </row>
    <row r="170" spans="1:36" x14ac:dyDescent="0.4">
      <c r="A170" s="519" t="s">
        <v>74</v>
      </c>
      <c r="B170" s="3" t="s">
        <v>1299</v>
      </c>
      <c r="C170" s="9">
        <v>85775</v>
      </c>
      <c r="D170" s="9">
        <v>88746</v>
      </c>
      <c r="E170" s="9">
        <v>85873</v>
      </c>
      <c r="F170" s="9">
        <v>102187</v>
      </c>
      <c r="G170" s="9">
        <v>92744</v>
      </c>
      <c r="H170" s="9">
        <v>104453</v>
      </c>
      <c r="I170" s="9">
        <v>105889</v>
      </c>
      <c r="J170" s="9">
        <v>107926</v>
      </c>
      <c r="K170" s="9">
        <v>108832</v>
      </c>
      <c r="L170" s="9">
        <v>113177</v>
      </c>
      <c r="M170" s="9">
        <v>117993</v>
      </c>
      <c r="N170" s="9">
        <v>120984</v>
      </c>
      <c r="O170" s="9">
        <v>122447</v>
      </c>
      <c r="P170" s="9">
        <v>123006</v>
      </c>
      <c r="Q170" s="9">
        <v>125107</v>
      </c>
      <c r="R170" s="9">
        <v>120167</v>
      </c>
      <c r="S170" s="9">
        <v>126713</v>
      </c>
      <c r="T170" s="9">
        <v>128965</v>
      </c>
      <c r="U170" s="188">
        <f>T170+(W170-T170)/3</f>
        <v>134139</v>
      </c>
      <c r="V170" s="188">
        <f>T170+(W170-T170)*2/3</f>
        <v>139313</v>
      </c>
      <c r="W170" s="9">
        <v>144487</v>
      </c>
      <c r="X170" s="9">
        <v>138225</v>
      </c>
      <c r="Y170" s="9">
        <v>142825</v>
      </c>
      <c r="Z170" s="9">
        <v>144246</v>
      </c>
      <c r="AA170" s="9">
        <v>139556</v>
      </c>
      <c r="AB170" s="9">
        <v>140553</v>
      </c>
      <c r="AC170" s="9">
        <v>141870</v>
      </c>
      <c r="AD170" s="9">
        <v>142863</v>
      </c>
      <c r="AE170" s="9">
        <v>144592</v>
      </c>
      <c r="AF170" s="9">
        <v>144769</v>
      </c>
      <c r="AG170" s="9">
        <v>176165</v>
      </c>
      <c r="AH170" s="9">
        <v>145927</v>
      </c>
      <c r="AI170" s="9">
        <v>164459</v>
      </c>
      <c r="AJ170" s="9">
        <v>145536</v>
      </c>
    </row>
    <row r="171" spans="1:36" x14ac:dyDescent="0.4">
      <c r="A171" s="519" t="s">
        <v>76</v>
      </c>
      <c r="B171" s="3" t="s">
        <v>1299</v>
      </c>
      <c r="C171" s="9">
        <v>6539</v>
      </c>
      <c r="D171" s="9">
        <v>5006</v>
      </c>
      <c r="E171" s="9">
        <v>8723</v>
      </c>
      <c r="F171" s="9">
        <v>7283</v>
      </c>
      <c r="G171" s="9">
        <v>8019</v>
      </c>
      <c r="H171" s="9">
        <v>10447</v>
      </c>
      <c r="I171" s="9">
        <v>10952</v>
      </c>
      <c r="J171" s="9">
        <v>11058</v>
      </c>
      <c r="K171" s="9">
        <v>11245</v>
      </c>
      <c r="L171" s="9">
        <v>8027</v>
      </c>
      <c r="M171" s="9">
        <v>8794</v>
      </c>
      <c r="N171" s="9">
        <v>9750</v>
      </c>
      <c r="O171" s="9">
        <v>9090</v>
      </c>
      <c r="P171" s="9">
        <v>11272</v>
      </c>
      <c r="Q171" s="9">
        <v>10949</v>
      </c>
      <c r="R171" s="9">
        <v>12019</v>
      </c>
      <c r="S171" s="9">
        <v>12456</v>
      </c>
      <c r="T171" s="9">
        <v>12678</v>
      </c>
      <c r="U171" s="188">
        <f>T171+(W171-T171)/3</f>
        <v>12702.333333333334</v>
      </c>
      <c r="V171" s="188">
        <f>T171+(W171-T171)*2/3</f>
        <v>12726.666666666666</v>
      </c>
      <c r="W171" s="9">
        <v>12751</v>
      </c>
      <c r="X171" s="9">
        <v>10721</v>
      </c>
      <c r="Y171" s="9">
        <v>10840</v>
      </c>
      <c r="Z171" s="9">
        <v>11063</v>
      </c>
      <c r="AA171" s="9">
        <v>10946</v>
      </c>
      <c r="AB171" s="9">
        <v>11266</v>
      </c>
      <c r="AC171" s="9">
        <v>11334</v>
      </c>
      <c r="AD171" s="9">
        <v>11196</v>
      </c>
      <c r="AE171" s="9">
        <v>11205</v>
      </c>
      <c r="AF171" s="9">
        <v>11196</v>
      </c>
      <c r="AG171" s="9">
        <v>12240</v>
      </c>
      <c r="AH171" s="9">
        <v>11089</v>
      </c>
      <c r="AI171" s="9">
        <v>11823</v>
      </c>
      <c r="AJ171" s="9">
        <v>11097</v>
      </c>
    </row>
    <row r="172" spans="1:36" x14ac:dyDescent="0.4">
      <c r="A172" s="1188" t="s">
        <v>1063</v>
      </c>
      <c r="B172" s="1191"/>
      <c r="C172" s="1191"/>
      <c r="D172" s="1191"/>
      <c r="E172" s="1191"/>
      <c r="F172" s="1191"/>
      <c r="G172" s="1191"/>
      <c r="H172" s="1191"/>
      <c r="I172" s="1191"/>
      <c r="J172" s="1191"/>
      <c r="K172" s="1191"/>
      <c r="L172" s="1191"/>
      <c r="M172" s="1191"/>
      <c r="N172" s="1191"/>
      <c r="O172" s="1191"/>
      <c r="P172" s="1191"/>
      <c r="Q172" s="1191"/>
      <c r="R172" s="1191"/>
      <c r="S172" s="1191"/>
      <c r="T172" s="1191"/>
      <c r="U172" s="1191"/>
      <c r="V172" s="1191"/>
      <c r="W172" s="1191"/>
      <c r="X172" s="1191"/>
      <c r="Y172" s="1191"/>
      <c r="Z172" s="1191"/>
      <c r="AA172" s="1191"/>
      <c r="AB172" s="1191"/>
      <c r="AC172" s="1191"/>
      <c r="AD172" s="1191"/>
      <c r="AE172" s="1191"/>
      <c r="AF172" s="1191"/>
      <c r="AG172" s="1191"/>
      <c r="AH172" s="1191"/>
      <c r="AI172" s="1191"/>
      <c r="AJ172" s="1191"/>
    </row>
    <row r="173" spans="1:36" x14ac:dyDescent="0.4">
      <c r="A173" s="581"/>
      <c r="B173" s="89"/>
      <c r="C173" s="89"/>
      <c r="D173" s="89"/>
      <c r="E173" s="89"/>
      <c r="F173" s="89"/>
      <c r="G173" s="89"/>
      <c r="H173" s="89"/>
      <c r="I173" s="89"/>
      <c r="J173" s="89"/>
      <c r="K173" s="89"/>
      <c r="L173" s="89"/>
      <c r="M173" s="89"/>
      <c r="N173" s="89"/>
      <c r="O173" s="89"/>
      <c r="P173" s="89"/>
      <c r="Q173" s="89"/>
      <c r="R173" s="89"/>
      <c r="S173" s="89"/>
      <c r="T173" s="89"/>
      <c r="U173" s="89"/>
      <c r="V173" s="89"/>
      <c r="W173" s="89"/>
      <c r="X173" s="89"/>
      <c r="Y173" s="89"/>
      <c r="Z173" s="89"/>
      <c r="AA173" s="89"/>
      <c r="AB173" s="89"/>
      <c r="AC173" s="89"/>
      <c r="AD173" s="89"/>
      <c r="AE173" s="89"/>
      <c r="AF173" s="89"/>
      <c r="AG173" s="89"/>
      <c r="AH173" s="89"/>
      <c r="AI173" s="89"/>
      <c r="AJ173" s="89"/>
    </row>
    <row r="174" spans="1:36" x14ac:dyDescent="0.4">
      <c r="A174" s="3" t="s">
        <v>525</v>
      </c>
    </row>
    <row r="175" spans="1:36" x14ac:dyDescent="0.4">
      <c r="A175" s="5" t="s">
        <v>793</v>
      </c>
    </row>
    <row r="177" spans="1:38" ht="17" x14ac:dyDescent="0.45">
      <c r="A177" s="90" t="s">
        <v>1443</v>
      </c>
      <c r="B177" s="1208" t="s">
        <v>1444</v>
      </c>
      <c r="C177" s="1208"/>
      <c r="D177" s="1208"/>
      <c r="E177" s="1208"/>
      <c r="F177" s="1208"/>
      <c r="G177" s="1208"/>
      <c r="H177" s="1209"/>
      <c r="I177" s="1209"/>
      <c r="J177" s="1209"/>
      <c r="K177" s="531"/>
      <c r="L177" s="531"/>
      <c r="M177" s="531"/>
      <c r="N177" s="531"/>
      <c r="O177" s="531"/>
      <c r="P177" s="531"/>
      <c r="Q177" s="531"/>
      <c r="R177" s="531"/>
      <c r="S177" s="531"/>
      <c r="T177" s="531"/>
      <c r="U177" s="531"/>
      <c r="V177" s="531"/>
      <c r="W177" s="531"/>
      <c r="X177" s="531"/>
      <c r="Y177" s="531"/>
      <c r="Z177" s="531"/>
      <c r="AA177" s="531"/>
      <c r="AB177" s="531"/>
      <c r="AC177" s="531"/>
      <c r="AD177" s="531"/>
      <c r="AE177" s="8"/>
      <c r="AF177" s="8"/>
      <c r="AG177" s="8"/>
      <c r="AH177" s="8"/>
      <c r="AI177" s="8"/>
      <c r="AJ177" s="8"/>
    </row>
    <row r="178" spans="1:38" ht="17" x14ac:dyDescent="0.45">
      <c r="A178" s="88" t="s">
        <v>1445</v>
      </c>
      <c r="K178" s="531"/>
      <c r="L178" s="531"/>
      <c r="M178" s="531"/>
      <c r="N178" s="531"/>
      <c r="O178" s="531"/>
      <c r="P178" s="531"/>
      <c r="Q178" s="531"/>
      <c r="R178" s="531"/>
      <c r="S178" s="531"/>
      <c r="T178" s="531"/>
      <c r="U178" s="531"/>
      <c r="V178" s="531"/>
      <c r="W178" s="531"/>
      <c r="X178" s="531"/>
      <c r="Y178" s="531"/>
      <c r="Z178" s="531"/>
      <c r="AA178" s="531"/>
      <c r="AB178" s="531"/>
      <c r="AC178" s="531"/>
      <c r="AD178" s="531"/>
      <c r="AE178" s="8"/>
      <c r="AF178" s="8"/>
      <c r="AG178" s="8"/>
      <c r="AH178" s="8"/>
      <c r="AI178" s="8"/>
      <c r="AJ178" s="8"/>
    </row>
    <row r="179" spans="1:38" s="28" customFormat="1" x14ac:dyDescent="0.4">
      <c r="A179" s="108" t="s">
        <v>790</v>
      </c>
      <c r="B179" s="1202" t="s">
        <v>136</v>
      </c>
      <c r="C179" s="1128" t="s">
        <v>391</v>
      </c>
      <c r="D179" s="1128" t="s">
        <v>392</v>
      </c>
      <c r="E179" s="1128" t="s">
        <v>393</v>
      </c>
      <c r="F179" s="1128" t="s">
        <v>394</v>
      </c>
      <c r="G179" s="1128" t="s">
        <v>395</v>
      </c>
      <c r="H179" s="1128" t="s">
        <v>396</v>
      </c>
      <c r="I179" s="1128" t="s">
        <v>397</v>
      </c>
      <c r="J179" s="1128" t="s">
        <v>398</v>
      </c>
      <c r="K179" s="1128" t="s">
        <v>399</v>
      </c>
      <c r="L179" s="1128" t="s">
        <v>400</v>
      </c>
      <c r="M179" s="1128" t="s">
        <v>401</v>
      </c>
      <c r="N179" s="1128" t="s">
        <v>402</v>
      </c>
      <c r="O179" s="1128" t="s">
        <v>403</v>
      </c>
      <c r="P179" s="1128" t="s">
        <v>404</v>
      </c>
      <c r="Q179" s="1128" t="s">
        <v>405</v>
      </c>
      <c r="R179" s="1128" t="s">
        <v>406</v>
      </c>
      <c r="S179" s="1128" t="s">
        <v>407</v>
      </c>
      <c r="T179" s="1128" t="s">
        <v>408</v>
      </c>
      <c r="U179" s="1128" t="s">
        <v>409</v>
      </c>
      <c r="V179" s="1128" t="s">
        <v>410</v>
      </c>
      <c r="W179" s="1128" t="s">
        <v>411</v>
      </c>
      <c r="X179" s="1128" t="s">
        <v>412</v>
      </c>
      <c r="Y179" s="1128" t="s">
        <v>413</v>
      </c>
      <c r="Z179" s="1128" t="s">
        <v>414</v>
      </c>
      <c r="AA179" s="1128" t="s">
        <v>415</v>
      </c>
      <c r="AB179" s="1128" t="s">
        <v>416</v>
      </c>
      <c r="AC179" s="1128" t="s">
        <v>417</v>
      </c>
      <c r="AD179" s="1128" t="s">
        <v>418</v>
      </c>
      <c r="AE179" s="1128" t="s">
        <v>419</v>
      </c>
      <c r="AF179" s="1128" t="s">
        <v>420</v>
      </c>
      <c r="AG179" s="1128" t="s">
        <v>421</v>
      </c>
      <c r="AH179" s="1128" t="s">
        <v>422</v>
      </c>
      <c r="AI179" s="1128" t="s">
        <v>423</v>
      </c>
      <c r="AJ179" s="1128" t="s">
        <v>424</v>
      </c>
      <c r="AK179" s="3"/>
      <c r="AL179" s="3"/>
    </row>
    <row r="180" spans="1:38" x14ac:dyDescent="0.4">
      <c r="A180" s="643" t="s">
        <v>137</v>
      </c>
      <c r="B180" s="533" t="s">
        <v>138</v>
      </c>
      <c r="C180" s="534">
        <v>4597.3619999999992</v>
      </c>
      <c r="D180" s="534">
        <v>4597.3620000000001</v>
      </c>
      <c r="E180" s="534">
        <v>4597.3619999999992</v>
      </c>
      <c r="F180" s="534">
        <v>4416.3044299410021</v>
      </c>
      <c r="G180" s="534">
        <v>4235.2468598820033</v>
      </c>
      <c r="H180" s="534">
        <v>4054.1892898230058</v>
      </c>
      <c r="I180" s="534">
        <v>3873.1317197640074</v>
      </c>
      <c r="J180" s="534">
        <v>3692.0741497050108</v>
      </c>
      <c r="K180" s="534">
        <v>3511.0165796460124</v>
      </c>
      <c r="L180" s="534">
        <v>3329.9590095870144</v>
      </c>
      <c r="M180" s="534">
        <v>3148.9014395280169</v>
      </c>
      <c r="N180" s="534">
        <v>2967.843869469019</v>
      </c>
      <c r="O180" s="534">
        <v>2786.786299410021</v>
      </c>
      <c r="P180" s="534">
        <v>2605.7287293510226</v>
      </c>
      <c r="Q180" s="534">
        <v>2424.6711592920251</v>
      </c>
      <c r="R180" s="534">
        <v>2243.6135892330276</v>
      </c>
      <c r="S180" s="534">
        <v>2062.5560191740292</v>
      </c>
      <c r="T180" s="534">
        <v>1881.4984491150312</v>
      </c>
      <c r="U180" s="534">
        <v>1700.4408790560335</v>
      </c>
      <c r="V180" s="534">
        <v>1519.3833089970362</v>
      </c>
      <c r="W180" s="534">
        <v>1338.3257389380376</v>
      </c>
      <c r="X180" s="534">
        <v>1157.2681688790399</v>
      </c>
      <c r="Y180" s="534">
        <v>1157.2681688790401</v>
      </c>
      <c r="Z180" s="534">
        <v>1157.2681688790401</v>
      </c>
      <c r="AA180" s="534">
        <v>1157.2681688790399</v>
      </c>
      <c r="AB180" s="534">
        <v>1157.2681688790401</v>
      </c>
      <c r="AC180" s="534">
        <v>1157.2681688790399</v>
      </c>
      <c r="AD180" s="534">
        <v>1157.2681688790401</v>
      </c>
      <c r="AE180" s="534">
        <v>1157.2681688790399</v>
      </c>
      <c r="AF180" s="534">
        <v>1157.2681688790399</v>
      </c>
      <c r="AG180" s="534">
        <v>1157.2681688790401</v>
      </c>
      <c r="AH180" s="534">
        <v>1157.2681688790399</v>
      </c>
      <c r="AI180" s="534">
        <v>1157.2681688790399</v>
      </c>
      <c r="AJ180" s="534">
        <v>1157.2681688790399</v>
      </c>
    </row>
    <row r="181" spans="1:38" x14ac:dyDescent="0.4">
      <c r="A181" s="644" t="s">
        <v>139</v>
      </c>
      <c r="B181" s="533" t="s">
        <v>138</v>
      </c>
      <c r="C181" s="534">
        <v>2122.2573367552886</v>
      </c>
      <c r="D181" s="534">
        <v>2122.2573367552886</v>
      </c>
      <c r="E181" s="534">
        <v>2122.2573367552886</v>
      </c>
      <c r="F181" s="534">
        <v>2055.8924572132933</v>
      </c>
      <c r="G181" s="534">
        <v>1989.5275776712983</v>
      </c>
      <c r="H181" s="534">
        <v>1923.1626981293032</v>
      </c>
      <c r="I181" s="534">
        <v>1856.797818587308</v>
      </c>
      <c r="J181" s="534">
        <v>1790.4329390453127</v>
      </c>
      <c r="K181" s="534">
        <v>1724.0680595033177</v>
      </c>
      <c r="L181" s="534">
        <v>1657.7031799613221</v>
      </c>
      <c r="M181" s="534">
        <v>1591.338300419327</v>
      </c>
      <c r="N181" s="534">
        <v>1524.9734208773318</v>
      </c>
      <c r="O181" s="534">
        <v>1458.6085413353364</v>
      </c>
      <c r="P181" s="534">
        <v>1392.2436617933417</v>
      </c>
      <c r="Q181" s="534">
        <v>1325.8787822513461</v>
      </c>
      <c r="R181" s="534">
        <v>1259.513902709351</v>
      </c>
      <c r="S181" s="534">
        <v>1193.1490231673554</v>
      </c>
      <c r="T181" s="534">
        <v>1126.7841436253605</v>
      </c>
      <c r="U181" s="534">
        <v>1060.4192640833653</v>
      </c>
      <c r="V181" s="534">
        <v>994.05438454137027</v>
      </c>
      <c r="W181" s="534">
        <v>927.68950499937489</v>
      </c>
      <c r="X181" s="534">
        <v>861.32462545737985</v>
      </c>
      <c r="Y181" s="534">
        <v>861.32462545737985</v>
      </c>
      <c r="Z181" s="534">
        <v>861.32462545737985</v>
      </c>
      <c r="AA181" s="534">
        <v>861.32462545737985</v>
      </c>
      <c r="AB181" s="534">
        <v>861.32462545737974</v>
      </c>
      <c r="AC181" s="534">
        <v>861.32462545737997</v>
      </c>
      <c r="AD181" s="534">
        <v>861.32462545738008</v>
      </c>
      <c r="AE181" s="534">
        <v>861.32462545737985</v>
      </c>
      <c r="AF181" s="534">
        <v>861.32462545737997</v>
      </c>
      <c r="AG181" s="534">
        <v>861.32462545737985</v>
      </c>
      <c r="AH181" s="534">
        <v>861.32462545737985</v>
      </c>
      <c r="AI181" s="534">
        <v>861.32462545737997</v>
      </c>
      <c r="AJ181" s="534">
        <v>861.32462545737997</v>
      </c>
    </row>
    <row r="182" spans="1:38" x14ac:dyDescent="0.4">
      <c r="A182" s="644" t="s">
        <v>140</v>
      </c>
      <c r="B182" s="533" t="s">
        <v>138</v>
      </c>
      <c r="C182" s="534">
        <v>59.068582931162041</v>
      </c>
      <c r="D182" s="534">
        <v>59.068582931162034</v>
      </c>
      <c r="E182" s="534">
        <v>59.068582931162034</v>
      </c>
      <c r="F182" s="534">
        <v>61.051758494564261</v>
      </c>
      <c r="G182" s="534">
        <v>63.034934057966481</v>
      </c>
      <c r="H182" s="534">
        <v>65.018109621368694</v>
      </c>
      <c r="I182" s="534">
        <v>67.001285184770921</v>
      </c>
      <c r="J182" s="534">
        <v>68.984460748173149</v>
      </c>
      <c r="K182" s="534">
        <v>70.967636311575376</v>
      </c>
      <c r="L182" s="534">
        <v>72.950811874977589</v>
      </c>
      <c r="M182" s="534">
        <v>74.93398743837983</v>
      </c>
      <c r="N182" s="534">
        <v>76.917163001782043</v>
      </c>
      <c r="O182" s="534">
        <v>78.900338565184256</v>
      </c>
      <c r="P182" s="534">
        <v>80.883514128586469</v>
      </c>
      <c r="Q182" s="534">
        <v>82.866689691988697</v>
      </c>
      <c r="R182" s="534">
        <v>84.849865255390938</v>
      </c>
      <c r="S182" s="534">
        <v>86.833040818793151</v>
      </c>
      <c r="T182" s="534">
        <v>88.816216382195364</v>
      </c>
      <c r="U182" s="534">
        <v>90.799391945597591</v>
      </c>
      <c r="V182" s="534">
        <v>92.782567508999819</v>
      </c>
      <c r="W182" s="534">
        <v>94.765743072402032</v>
      </c>
      <c r="X182" s="534">
        <v>96.748918635804259</v>
      </c>
      <c r="Y182" s="534">
        <v>96.748918635804259</v>
      </c>
      <c r="Z182" s="534">
        <v>96.748918635804273</v>
      </c>
      <c r="AA182" s="534">
        <v>96.748918635804259</v>
      </c>
      <c r="AB182" s="534">
        <v>96.748918635804245</v>
      </c>
      <c r="AC182" s="534">
        <v>96.748918635804245</v>
      </c>
      <c r="AD182" s="534">
        <v>96.74891863580423</v>
      </c>
      <c r="AE182" s="534">
        <v>96.748918635804259</v>
      </c>
      <c r="AF182" s="534">
        <v>96.748918635804273</v>
      </c>
      <c r="AG182" s="534">
        <v>96.748918635804259</v>
      </c>
      <c r="AH182" s="534">
        <v>96.748918635804273</v>
      </c>
      <c r="AI182" s="534">
        <v>96.748918635804273</v>
      </c>
      <c r="AJ182" s="534">
        <v>96.748918635804273</v>
      </c>
    </row>
    <row r="183" spans="1:38" x14ac:dyDescent="0.4">
      <c r="A183" s="644" t="s">
        <v>141</v>
      </c>
      <c r="B183" s="533" t="s">
        <v>138</v>
      </c>
      <c r="C183" s="534">
        <v>190.86660000000001</v>
      </c>
      <c r="D183" s="534">
        <v>190.86659999999998</v>
      </c>
      <c r="E183" s="534">
        <v>190.86660000000001</v>
      </c>
      <c r="F183" s="534">
        <v>182.3392713859686</v>
      </c>
      <c r="G183" s="534">
        <v>173.8119427719372</v>
      </c>
      <c r="H183" s="534">
        <v>165.28461415790582</v>
      </c>
      <c r="I183" s="534">
        <v>156.75728554387442</v>
      </c>
      <c r="J183" s="534">
        <v>148.22995692984298</v>
      </c>
      <c r="K183" s="534">
        <v>139.70262831581161</v>
      </c>
      <c r="L183" s="534">
        <v>131.1752997017802</v>
      </c>
      <c r="M183" s="534">
        <v>122.64797108774883</v>
      </c>
      <c r="N183" s="534">
        <v>114.12064247371741</v>
      </c>
      <c r="O183" s="534">
        <v>105.59331385968602</v>
      </c>
      <c r="P183" s="534">
        <v>97.065985245654645</v>
      </c>
      <c r="Q183" s="534">
        <v>88.53865663162324</v>
      </c>
      <c r="R183" s="534">
        <v>80.011328017591836</v>
      </c>
      <c r="S183" s="534">
        <v>71.48399940356046</v>
      </c>
      <c r="T183" s="534">
        <v>62.956670789529056</v>
      </c>
      <c r="U183" s="534">
        <v>54.429342175497659</v>
      </c>
      <c r="V183" s="534">
        <v>45.902013561466248</v>
      </c>
      <c r="W183" s="534">
        <v>37.374684947434851</v>
      </c>
      <c r="X183" s="534">
        <v>28.847356333403471</v>
      </c>
      <c r="Y183" s="534">
        <v>28.847356333403471</v>
      </c>
      <c r="Z183" s="534">
        <v>28.847356333403471</v>
      </c>
      <c r="AA183" s="534">
        <v>28.847356333403475</v>
      </c>
      <c r="AB183" s="534">
        <v>28.847356333403471</v>
      </c>
      <c r="AC183" s="534">
        <v>28.847356333403471</v>
      </c>
      <c r="AD183" s="534">
        <v>28.847356333403475</v>
      </c>
      <c r="AE183" s="534">
        <v>28.847356333403471</v>
      </c>
      <c r="AF183" s="534">
        <v>28.847356333403468</v>
      </c>
      <c r="AG183" s="534">
        <v>28.847356333403471</v>
      </c>
      <c r="AH183" s="534">
        <v>28.847356333403464</v>
      </c>
      <c r="AI183" s="534">
        <v>28.847356333403471</v>
      </c>
      <c r="AJ183" s="534">
        <v>28.847356333403471</v>
      </c>
    </row>
    <row r="184" spans="1:38" x14ac:dyDescent="0.4">
      <c r="A184" s="644" t="s">
        <v>142</v>
      </c>
      <c r="B184" s="533" t="s">
        <v>143</v>
      </c>
      <c r="C184" s="534">
        <v>32.756785223365263</v>
      </c>
      <c r="D184" s="534">
        <v>32.756785223365263</v>
      </c>
      <c r="E184" s="534">
        <v>32.756785223365263</v>
      </c>
      <c r="F184" s="534">
        <v>31.795199551624755</v>
      </c>
      <c r="G184" s="534">
        <v>30.833613879884247</v>
      </c>
      <c r="H184" s="534">
        <v>29.872028208143746</v>
      </c>
      <c r="I184" s="534">
        <v>28.910442536403242</v>
      </c>
      <c r="J184" s="534">
        <v>27.948856864662726</v>
      </c>
      <c r="K184" s="534">
        <v>26.987271192922222</v>
      </c>
      <c r="L184" s="534">
        <v>26.025685521181721</v>
      </c>
      <c r="M184" s="534">
        <v>25.064099849441217</v>
      </c>
      <c r="N184" s="534">
        <v>24.102514177700709</v>
      </c>
      <c r="O184" s="534">
        <v>23.140928505960201</v>
      </c>
      <c r="P184" s="534">
        <v>22.179342834219693</v>
      </c>
      <c r="Q184" s="534">
        <v>21.217757162479192</v>
      </c>
      <c r="R184" s="534">
        <v>20.256171490738687</v>
      </c>
      <c r="S184" s="534">
        <v>19.294585818998176</v>
      </c>
      <c r="T184" s="534">
        <v>18.333000147257671</v>
      </c>
      <c r="U184" s="534">
        <v>17.371414475517167</v>
      </c>
      <c r="V184" s="534">
        <v>16.409828803776659</v>
      </c>
      <c r="W184" s="534">
        <v>15.448243132036156</v>
      </c>
      <c r="X184" s="534">
        <v>14.486657460295646</v>
      </c>
      <c r="Y184" s="534">
        <v>14.486657460295646</v>
      </c>
      <c r="Z184" s="534">
        <v>14.486657460295648</v>
      </c>
      <c r="AA184" s="534">
        <v>14.486657460295644</v>
      </c>
      <c r="AB184" s="534">
        <v>14.486657460295646</v>
      </c>
      <c r="AC184" s="534">
        <v>14.486657460295643</v>
      </c>
      <c r="AD184" s="534">
        <v>14.486657460295646</v>
      </c>
      <c r="AE184" s="534">
        <v>14.486657460295648</v>
      </c>
      <c r="AF184" s="534">
        <v>14.486657460295646</v>
      </c>
      <c r="AG184" s="534">
        <v>14.486657460295648</v>
      </c>
      <c r="AH184" s="534">
        <v>14.486657460295646</v>
      </c>
      <c r="AI184" s="534">
        <v>14.486657460295646</v>
      </c>
      <c r="AJ184" s="534">
        <v>14.486657460295646</v>
      </c>
    </row>
    <row r="185" spans="1:38" x14ac:dyDescent="0.4">
      <c r="A185" s="644" t="s">
        <v>144</v>
      </c>
      <c r="B185" s="533" t="s">
        <v>143</v>
      </c>
      <c r="C185" s="534">
        <v>3.3993082289156336</v>
      </c>
      <c r="D185" s="534">
        <v>3.3993082289156336</v>
      </c>
      <c r="E185" s="534">
        <v>3.399308228915634</v>
      </c>
      <c r="F185" s="534">
        <v>3.2885686485546768</v>
      </c>
      <c r="G185" s="534">
        <v>3.1778290681937196</v>
      </c>
      <c r="H185" s="534">
        <v>3.0670894878327641</v>
      </c>
      <c r="I185" s="534">
        <v>2.9563499074718074</v>
      </c>
      <c r="J185" s="534">
        <v>2.8456103271108506</v>
      </c>
      <c r="K185" s="534">
        <v>2.7348707467498938</v>
      </c>
      <c r="L185" s="534">
        <v>2.6241311663889371</v>
      </c>
      <c r="M185" s="534">
        <v>2.5133915860279799</v>
      </c>
      <c r="N185" s="534">
        <v>2.402652005667024</v>
      </c>
      <c r="O185" s="534">
        <v>2.2919124253060672</v>
      </c>
      <c r="P185" s="534">
        <v>2.1811728449451104</v>
      </c>
      <c r="Q185" s="534">
        <v>2.0704332645841537</v>
      </c>
      <c r="R185" s="534">
        <v>1.9596936842231971</v>
      </c>
      <c r="S185" s="534">
        <v>1.8489541038622404</v>
      </c>
      <c r="T185" s="534">
        <v>1.738214523501284</v>
      </c>
      <c r="U185" s="534">
        <v>1.6274749431403275</v>
      </c>
      <c r="V185" s="534">
        <v>1.5167353627793705</v>
      </c>
      <c r="W185" s="534">
        <v>1.4059957824184142</v>
      </c>
      <c r="X185" s="534">
        <v>1.2952562020574574</v>
      </c>
      <c r="Y185" s="534">
        <v>1.2952562020574574</v>
      </c>
      <c r="Z185" s="534">
        <v>1.2952562020574574</v>
      </c>
      <c r="AA185" s="534">
        <v>1.2952562020574574</v>
      </c>
      <c r="AB185" s="534">
        <v>1.2952562020574574</v>
      </c>
      <c r="AC185" s="534">
        <v>1.2952562020574572</v>
      </c>
      <c r="AD185" s="534">
        <v>1.2952562020574572</v>
      </c>
      <c r="AE185" s="534">
        <v>1.2952562020574574</v>
      </c>
      <c r="AF185" s="534">
        <v>1.2952562020574574</v>
      </c>
      <c r="AG185" s="534">
        <v>1.2952562020574574</v>
      </c>
      <c r="AH185" s="534">
        <v>1.2952562020574574</v>
      </c>
      <c r="AI185" s="534">
        <v>1.2952562020574572</v>
      </c>
      <c r="AJ185" s="534">
        <v>1.2952562020574572</v>
      </c>
    </row>
    <row r="186" spans="1:38" x14ac:dyDescent="0.4">
      <c r="A186" s="644" t="s">
        <v>145</v>
      </c>
      <c r="B186" s="533" t="s">
        <v>143</v>
      </c>
      <c r="C186" s="534">
        <v>0.17908210200439584</v>
      </c>
      <c r="D186" s="534">
        <v>0.17908210200439587</v>
      </c>
      <c r="E186" s="534">
        <v>0.17908210200439587</v>
      </c>
      <c r="F186" s="534">
        <v>0.18349851771977316</v>
      </c>
      <c r="G186" s="534">
        <v>0.18791493343515048</v>
      </c>
      <c r="H186" s="534">
        <v>0.19233134915052774</v>
      </c>
      <c r="I186" s="534">
        <v>0.19674776486590506</v>
      </c>
      <c r="J186" s="534">
        <v>0.20116418058128233</v>
      </c>
      <c r="K186" s="534">
        <v>0.20558059629665965</v>
      </c>
      <c r="L186" s="534">
        <v>0.20999701201203694</v>
      </c>
      <c r="M186" s="534">
        <v>0.21441342772741426</v>
      </c>
      <c r="N186" s="534">
        <v>0.21882984344279155</v>
      </c>
      <c r="O186" s="534">
        <v>0.22324625915816884</v>
      </c>
      <c r="P186" s="534">
        <v>0.22766267487354616</v>
      </c>
      <c r="Q186" s="534">
        <v>0.23207909058892345</v>
      </c>
      <c r="R186" s="534">
        <v>0.23649550630430075</v>
      </c>
      <c r="S186" s="534">
        <v>0.24091192201967807</v>
      </c>
      <c r="T186" s="534">
        <v>0.24532833773505533</v>
      </c>
      <c r="U186" s="534">
        <v>0.24974475345043262</v>
      </c>
      <c r="V186" s="534">
        <v>0.25416116916580994</v>
      </c>
      <c r="W186" s="534">
        <v>0.25857758488118726</v>
      </c>
      <c r="X186" s="534">
        <v>0.26299400059656458</v>
      </c>
      <c r="Y186" s="534">
        <v>0.26299400059656447</v>
      </c>
      <c r="Z186" s="534">
        <v>0.26299400059656453</v>
      </c>
      <c r="AA186" s="534">
        <v>0.26299400059656458</v>
      </c>
      <c r="AB186" s="534">
        <v>0.26299400059656453</v>
      </c>
      <c r="AC186" s="534">
        <v>0.26299400059656458</v>
      </c>
      <c r="AD186" s="534">
        <v>0.26299400059656458</v>
      </c>
      <c r="AE186" s="534">
        <v>0.26299400059656453</v>
      </c>
      <c r="AF186" s="534">
        <v>0.26299400059656453</v>
      </c>
      <c r="AG186" s="534">
        <v>0.26299400059656453</v>
      </c>
      <c r="AH186" s="534">
        <v>0.26299400059656458</v>
      </c>
      <c r="AI186" s="534">
        <v>0.26299400059656458</v>
      </c>
      <c r="AJ186" s="534">
        <v>0.26299400059656458</v>
      </c>
    </row>
    <row r="187" spans="1:38" x14ac:dyDescent="0.4">
      <c r="A187" s="645" t="s">
        <v>146</v>
      </c>
      <c r="B187" s="535" t="s">
        <v>143</v>
      </c>
      <c r="C187" s="536">
        <v>4.8983152757174828</v>
      </c>
      <c r="D187" s="536">
        <v>4.8983152757174828</v>
      </c>
      <c r="E187" s="536">
        <v>4.8983152757174828</v>
      </c>
      <c r="F187" s="536">
        <v>4.8983152757174828</v>
      </c>
      <c r="G187" s="536">
        <v>4.8983152757174828</v>
      </c>
      <c r="H187" s="536">
        <v>4.8983152757174828</v>
      </c>
      <c r="I187" s="536">
        <v>4.8983152757174837</v>
      </c>
      <c r="J187" s="536">
        <v>4.8983152757174837</v>
      </c>
      <c r="K187" s="536">
        <v>4.8983152757174828</v>
      </c>
      <c r="L187" s="536">
        <v>4.8983152757174828</v>
      </c>
      <c r="M187" s="536">
        <v>4.8983152757174837</v>
      </c>
      <c r="N187" s="536">
        <v>4.8983152757174828</v>
      </c>
      <c r="O187" s="536">
        <v>4.8983152757174837</v>
      </c>
      <c r="P187" s="536">
        <v>4.8983152757174828</v>
      </c>
      <c r="Q187" s="536">
        <v>4.8983152757174828</v>
      </c>
      <c r="R187" s="536">
        <v>4.8983152757174828</v>
      </c>
      <c r="S187" s="536">
        <v>4.8983152757174837</v>
      </c>
      <c r="T187" s="536">
        <v>4.8983152757174828</v>
      </c>
      <c r="U187" s="536">
        <v>4.8983152757174837</v>
      </c>
      <c r="V187" s="536">
        <v>4.8983152757174837</v>
      </c>
      <c r="W187" s="536">
        <v>4.8983152757174828</v>
      </c>
      <c r="X187" s="536">
        <v>4.8983152757174837</v>
      </c>
      <c r="Y187" s="536">
        <v>4.8983152757174837</v>
      </c>
      <c r="Z187" s="536">
        <v>4.8983152757174837</v>
      </c>
      <c r="AA187" s="536">
        <v>4.8983152757174837</v>
      </c>
      <c r="AB187" s="536">
        <v>4.8983152757174837</v>
      </c>
      <c r="AC187" s="536">
        <v>4.8983152757174837</v>
      </c>
      <c r="AD187" s="536">
        <v>4.8983152757174828</v>
      </c>
      <c r="AE187" s="536">
        <v>4.8983152757174828</v>
      </c>
      <c r="AF187" s="536">
        <v>4.8983152757174837</v>
      </c>
      <c r="AG187" s="536">
        <v>4.8983152757174837</v>
      </c>
      <c r="AH187" s="536">
        <v>4.8983152757174828</v>
      </c>
      <c r="AI187" s="536">
        <v>4.8983152757174828</v>
      </c>
      <c r="AJ187" s="536">
        <v>4.8983152757174828</v>
      </c>
    </row>
    <row r="188" spans="1:38" x14ac:dyDescent="0.4">
      <c r="A188" s="1188" t="s">
        <v>1063</v>
      </c>
      <c r="B188" s="1191"/>
      <c r="C188" s="1191"/>
      <c r="D188" s="1191"/>
      <c r="E188" s="1191"/>
      <c r="F188" s="1191"/>
      <c r="G188" s="1191"/>
      <c r="H188" s="1191"/>
      <c r="I188" s="1191"/>
      <c r="J188" s="1191"/>
      <c r="K188" s="1191"/>
      <c r="L188" s="1191"/>
      <c r="M188" s="1191"/>
      <c r="N188" s="1191"/>
      <c r="O188" s="1191"/>
      <c r="P188" s="1191"/>
      <c r="Q188" s="1191"/>
      <c r="R188" s="1191"/>
      <c r="S188" s="1191"/>
      <c r="T188" s="1191"/>
      <c r="U188" s="1191"/>
      <c r="V188" s="1191"/>
      <c r="W188" s="1191"/>
      <c r="X188" s="1191"/>
      <c r="Y188" s="1191"/>
      <c r="Z188" s="1191"/>
      <c r="AA188" s="1191"/>
      <c r="AB188" s="1191"/>
      <c r="AC188" s="1191"/>
      <c r="AD188" s="1191"/>
      <c r="AE188" s="1191"/>
      <c r="AF188" s="1191"/>
      <c r="AG188" s="1191"/>
      <c r="AH188" s="1191"/>
      <c r="AI188" s="1191"/>
      <c r="AJ188" s="1191"/>
    </row>
    <row r="189" spans="1:38" x14ac:dyDescent="0.4">
      <c r="A189" s="581"/>
      <c r="B189" s="581"/>
      <c r="C189" s="89"/>
      <c r="D189" s="89"/>
      <c r="E189" s="89"/>
      <c r="F189" s="89"/>
      <c r="G189" s="89"/>
      <c r="H189" s="89"/>
      <c r="I189" s="89"/>
      <c r="J189" s="89"/>
      <c r="K189" s="89"/>
      <c r="L189" s="89"/>
      <c r="M189" s="89"/>
      <c r="N189" s="89"/>
      <c r="O189" s="89"/>
      <c r="P189" s="89"/>
      <c r="Q189" s="89"/>
      <c r="R189" s="89"/>
      <c r="S189" s="89"/>
      <c r="T189" s="89"/>
      <c r="U189" s="89"/>
      <c r="V189" s="89"/>
      <c r="W189" s="89"/>
      <c r="X189" s="89"/>
      <c r="Y189" s="89"/>
      <c r="Z189" s="89"/>
      <c r="AA189" s="89"/>
      <c r="AB189" s="89"/>
      <c r="AC189" s="89"/>
      <c r="AD189" s="89"/>
      <c r="AE189" s="89"/>
      <c r="AF189" s="89"/>
      <c r="AG189" s="89"/>
      <c r="AH189" s="89"/>
      <c r="AI189" s="89"/>
      <c r="AJ189" s="89"/>
    </row>
    <row r="190" spans="1:38" ht="33" x14ac:dyDescent="0.4">
      <c r="A190" s="659" t="s">
        <v>1446</v>
      </c>
      <c r="B190" s="581"/>
      <c r="C190" s="89"/>
      <c r="D190" s="89"/>
      <c r="E190" s="89"/>
      <c r="F190" s="89"/>
      <c r="G190" s="89"/>
      <c r="H190" s="89"/>
      <c r="I190" s="89"/>
      <c r="J190" s="89"/>
      <c r="K190" s="89"/>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row>
    <row r="191" spans="1:38" s="28" customFormat="1" x14ac:dyDescent="0.4">
      <c r="A191" s="42" t="s">
        <v>795</v>
      </c>
      <c r="B191" s="1198" t="s">
        <v>136</v>
      </c>
      <c r="C191" s="1125" t="s">
        <v>391</v>
      </c>
      <c r="D191" s="1125" t="s">
        <v>392</v>
      </c>
      <c r="E191" s="1125" t="s">
        <v>393</v>
      </c>
      <c r="F191" s="1125" t="s">
        <v>394</v>
      </c>
      <c r="G191" s="1125" t="s">
        <v>395</v>
      </c>
      <c r="H191" s="1125" t="s">
        <v>396</v>
      </c>
      <c r="I191" s="1125" t="s">
        <v>397</v>
      </c>
      <c r="J191" s="1125" t="s">
        <v>398</v>
      </c>
      <c r="K191" s="1125" t="s">
        <v>399</v>
      </c>
      <c r="L191" s="1125" t="s">
        <v>400</v>
      </c>
      <c r="M191" s="1125" t="s">
        <v>401</v>
      </c>
      <c r="N191" s="1125" t="s">
        <v>402</v>
      </c>
      <c r="O191" s="1125" t="s">
        <v>403</v>
      </c>
      <c r="P191" s="1125" t="s">
        <v>404</v>
      </c>
      <c r="Q191" s="1125" t="s">
        <v>405</v>
      </c>
      <c r="R191" s="1125" t="s">
        <v>406</v>
      </c>
      <c r="S191" s="1125" t="s">
        <v>407</v>
      </c>
      <c r="T191" s="1125" t="s">
        <v>408</v>
      </c>
      <c r="U191" s="1125" t="s">
        <v>409</v>
      </c>
      <c r="V191" s="1125" t="s">
        <v>410</v>
      </c>
      <c r="W191" s="1125" t="s">
        <v>411</v>
      </c>
      <c r="X191" s="1125" t="s">
        <v>412</v>
      </c>
      <c r="Y191" s="1125" t="s">
        <v>413</v>
      </c>
      <c r="Z191" s="1125" t="s">
        <v>414</v>
      </c>
      <c r="AA191" s="1125" t="s">
        <v>415</v>
      </c>
      <c r="AB191" s="1125" t="s">
        <v>416</v>
      </c>
      <c r="AC191" s="1125" t="s">
        <v>417</v>
      </c>
      <c r="AD191" s="1125" t="s">
        <v>418</v>
      </c>
      <c r="AE191" s="1125" t="s">
        <v>419</v>
      </c>
      <c r="AF191" s="1125" t="s">
        <v>420</v>
      </c>
      <c r="AG191" s="1125" t="s">
        <v>421</v>
      </c>
      <c r="AH191" s="1125" t="s">
        <v>422</v>
      </c>
      <c r="AI191" s="1125" t="s">
        <v>423</v>
      </c>
      <c r="AJ191" s="1125" t="s">
        <v>424</v>
      </c>
      <c r="AK191" s="3"/>
      <c r="AL191" s="3"/>
    </row>
    <row r="192" spans="1:38" x14ac:dyDescent="0.4">
      <c r="A192" s="646" t="s">
        <v>993</v>
      </c>
      <c r="B192" s="532" t="s">
        <v>147</v>
      </c>
      <c r="C192" s="537">
        <v>30335.424480000005</v>
      </c>
      <c r="D192" s="537">
        <v>30335.424480000001</v>
      </c>
      <c r="E192" s="537">
        <v>30335.424479999998</v>
      </c>
      <c r="F192" s="537">
        <v>28851.597587368418</v>
      </c>
      <c r="G192" s="537">
        <v>27367.770694736839</v>
      </c>
      <c r="H192" s="537">
        <v>25883.943802105263</v>
      </c>
      <c r="I192" s="537">
        <v>24400.116909473683</v>
      </c>
      <c r="J192" s="537">
        <v>22916.290016842107</v>
      </c>
      <c r="K192" s="537">
        <v>21432.463124210524</v>
      </c>
      <c r="L192" s="537">
        <v>19948.636231578945</v>
      </c>
      <c r="M192" s="537">
        <v>18464.809338947365</v>
      </c>
      <c r="N192" s="537">
        <v>16980.982446315789</v>
      </c>
      <c r="O192" s="537">
        <v>15497.155553684212</v>
      </c>
      <c r="P192" s="537">
        <v>14013.32866105263</v>
      </c>
      <c r="Q192" s="537">
        <v>12529.501768421058</v>
      </c>
      <c r="R192" s="537">
        <v>11045.674875789473</v>
      </c>
      <c r="S192" s="537">
        <v>9561.8479831578952</v>
      </c>
      <c r="T192" s="537">
        <v>8078.0210905263157</v>
      </c>
      <c r="U192" s="537">
        <v>6594.1941978947352</v>
      </c>
      <c r="V192" s="537">
        <v>5110.3673052631566</v>
      </c>
      <c r="W192" s="537">
        <v>3626.5404126315775</v>
      </c>
      <c r="X192" s="537">
        <v>2142.7135199999998</v>
      </c>
      <c r="Y192" s="537">
        <v>2142.7135199999998</v>
      </c>
      <c r="Z192" s="537">
        <v>2142.7135199999998</v>
      </c>
      <c r="AA192" s="537">
        <v>2142.7135199999998</v>
      </c>
      <c r="AB192" s="537">
        <v>2142.7135199999998</v>
      </c>
      <c r="AC192" s="537">
        <v>2142.7135199999998</v>
      </c>
      <c r="AD192" s="537">
        <v>2142.7135199999998</v>
      </c>
      <c r="AE192" s="537">
        <v>2142.7135199999998</v>
      </c>
      <c r="AF192" s="537">
        <v>2142.7135199999998</v>
      </c>
      <c r="AG192" s="537">
        <v>2142.7135200000002</v>
      </c>
      <c r="AH192" s="537">
        <v>2142.7135199999993</v>
      </c>
      <c r="AI192" s="537">
        <v>2142.7135200000002</v>
      </c>
      <c r="AJ192" s="537">
        <v>2142.7135200000002</v>
      </c>
    </row>
    <row r="193" spans="1:38" x14ac:dyDescent="0.4">
      <c r="A193" s="644" t="s">
        <v>994</v>
      </c>
      <c r="B193" s="533" t="s">
        <v>147</v>
      </c>
      <c r="C193" s="534">
        <v>16129.402560000002</v>
      </c>
      <c r="D193" s="534">
        <v>16129.402559999999</v>
      </c>
      <c r="E193" s="534">
        <v>16129.402559999999</v>
      </c>
      <c r="F193" s="534">
        <v>15332.877890526313</v>
      </c>
      <c r="G193" s="534">
        <v>14536.353221052628</v>
      </c>
      <c r="H193" s="534">
        <v>13739.828551578947</v>
      </c>
      <c r="I193" s="534">
        <v>12943.303882105261</v>
      </c>
      <c r="J193" s="534">
        <v>12146.779212631576</v>
      </c>
      <c r="K193" s="534">
        <v>11350.254543157893</v>
      </c>
      <c r="L193" s="534">
        <v>10553.729873684211</v>
      </c>
      <c r="M193" s="534">
        <v>9757.2052042105261</v>
      </c>
      <c r="N193" s="534">
        <v>8960.6805347368409</v>
      </c>
      <c r="O193" s="534">
        <v>8164.1558652631593</v>
      </c>
      <c r="P193" s="534">
        <v>7367.6311957894723</v>
      </c>
      <c r="Q193" s="534">
        <v>6571.1065263157889</v>
      </c>
      <c r="R193" s="534">
        <v>5774.5818568421064</v>
      </c>
      <c r="S193" s="534">
        <v>4978.0571873684221</v>
      </c>
      <c r="T193" s="534">
        <v>4181.5325178947369</v>
      </c>
      <c r="U193" s="534">
        <v>3385.0078484210535</v>
      </c>
      <c r="V193" s="534">
        <v>2588.4831789473697</v>
      </c>
      <c r="W193" s="534">
        <v>1791.958509473684</v>
      </c>
      <c r="X193" s="534">
        <v>995.43384000000003</v>
      </c>
      <c r="Y193" s="534">
        <v>995.43384000000003</v>
      </c>
      <c r="Z193" s="534">
        <v>995.43384000000015</v>
      </c>
      <c r="AA193" s="534">
        <v>995.43383999999992</v>
      </c>
      <c r="AB193" s="534">
        <v>995.43384000000003</v>
      </c>
      <c r="AC193" s="534">
        <v>995.43384000000015</v>
      </c>
      <c r="AD193" s="534">
        <v>995.4338399999998</v>
      </c>
      <c r="AE193" s="534">
        <v>995.43384000000003</v>
      </c>
      <c r="AF193" s="534">
        <v>995.43384000000003</v>
      </c>
      <c r="AG193" s="534">
        <v>995.43383999999992</v>
      </c>
      <c r="AH193" s="534">
        <v>995.43383999999992</v>
      </c>
      <c r="AI193" s="534">
        <v>995.43384000000003</v>
      </c>
      <c r="AJ193" s="534">
        <v>995.43384000000003</v>
      </c>
    </row>
    <row r="194" spans="1:38" x14ac:dyDescent="0.4">
      <c r="A194" s="644" t="s">
        <v>995</v>
      </c>
      <c r="B194" s="533" t="s">
        <v>147</v>
      </c>
      <c r="C194" s="534">
        <v>727.17285600000002</v>
      </c>
      <c r="D194" s="534">
        <v>727.17285599999991</v>
      </c>
      <c r="E194" s="534">
        <v>727.17285599999991</v>
      </c>
      <c r="F194" s="534">
        <v>727.17285599999991</v>
      </c>
      <c r="G194" s="534">
        <v>727.17285599999991</v>
      </c>
      <c r="H194" s="534">
        <v>727.17285600000002</v>
      </c>
      <c r="I194" s="534">
        <v>727.17285599999991</v>
      </c>
      <c r="J194" s="534">
        <v>727.17285599999991</v>
      </c>
      <c r="K194" s="534">
        <v>727.17285599999991</v>
      </c>
      <c r="L194" s="534">
        <v>727.17285599999991</v>
      </c>
      <c r="M194" s="534">
        <v>727.17285599999991</v>
      </c>
      <c r="N194" s="534">
        <v>727.17285599999991</v>
      </c>
      <c r="O194" s="534">
        <v>727.17285599999991</v>
      </c>
      <c r="P194" s="534">
        <v>727.1728559999998</v>
      </c>
      <c r="Q194" s="534">
        <v>727.17285599999991</v>
      </c>
      <c r="R194" s="534">
        <v>727.17285599999991</v>
      </c>
      <c r="S194" s="534">
        <v>727.17285599999991</v>
      </c>
      <c r="T194" s="534">
        <v>727.1728559999998</v>
      </c>
      <c r="U194" s="534">
        <v>727.17285599999991</v>
      </c>
      <c r="V194" s="534">
        <v>727.17285599999991</v>
      </c>
      <c r="W194" s="534">
        <v>727.17285599999991</v>
      </c>
      <c r="X194" s="534">
        <v>727.17285599999991</v>
      </c>
      <c r="Y194" s="534">
        <v>727.17285599999991</v>
      </c>
      <c r="Z194" s="534">
        <v>727.17285599999991</v>
      </c>
      <c r="AA194" s="534">
        <v>727.1728559999998</v>
      </c>
      <c r="AB194" s="534">
        <v>727.17285600000002</v>
      </c>
      <c r="AC194" s="534">
        <v>727.17285599999991</v>
      </c>
      <c r="AD194" s="534">
        <v>727.17285599999991</v>
      </c>
      <c r="AE194" s="534">
        <v>727.1728559999998</v>
      </c>
      <c r="AF194" s="534">
        <v>727.17285600000002</v>
      </c>
      <c r="AG194" s="534">
        <v>727.17285599999991</v>
      </c>
      <c r="AH194" s="534">
        <v>727.17285600000002</v>
      </c>
      <c r="AI194" s="534">
        <v>727.17285599999991</v>
      </c>
      <c r="AJ194" s="534">
        <v>727.17285599999991</v>
      </c>
    </row>
    <row r="195" spans="1:38" x14ac:dyDescent="0.4">
      <c r="A195" s="644" t="s">
        <v>148</v>
      </c>
      <c r="B195" s="533" t="s">
        <v>147</v>
      </c>
      <c r="C195" s="534">
        <v>27315.379440000001</v>
      </c>
      <c r="D195" s="534">
        <v>27315.379440000004</v>
      </c>
      <c r="E195" s="534">
        <v>27315.379440000001</v>
      </c>
      <c r="F195" s="534">
        <v>25923.45924</v>
      </c>
      <c r="G195" s="534">
        <v>24531.53904</v>
      </c>
      <c r="H195" s="534">
        <v>23139.618839999999</v>
      </c>
      <c r="I195" s="534">
        <v>21747.698639999999</v>
      </c>
      <c r="J195" s="534">
        <v>20355.778440000002</v>
      </c>
      <c r="K195" s="534">
        <v>18963.858240000001</v>
      </c>
      <c r="L195" s="534">
        <v>17571.938039999997</v>
      </c>
      <c r="M195" s="534">
        <v>16180.017839999999</v>
      </c>
      <c r="N195" s="534">
        <v>14788.097639999998</v>
      </c>
      <c r="O195" s="534">
        <v>13396.177440000001</v>
      </c>
      <c r="P195" s="534">
        <v>12004.257240000003</v>
      </c>
      <c r="Q195" s="534">
        <v>10612.337040000002</v>
      </c>
      <c r="R195" s="534">
        <v>9220.4168400000017</v>
      </c>
      <c r="S195" s="534">
        <v>7828.4966400000012</v>
      </c>
      <c r="T195" s="534">
        <v>6436.5764400000007</v>
      </c>
      <c r="U195" s="534">
        <v>5044.6562400000012</v>
      </c>
      <c r="V195" s="534">
        <v>3652.7360400000011</v>
      </c>
      <c r="W195" s="534">
        <v>2260.8158400000007</v>
      </c>
      <c r="X195" s="534">
        <v>868.89564000000007</v>
      </c>
      <c r="Y195" s="534">
        <v>868.89564000000007</v>
      </c>
      <c r="Z195" s="534">
        <v>868.89564000000007</v>
      </c>
      <c r="AA195" s="534">
        <v>868.89564000000007</v>
      </c>
      <c r="AB195" s="534">
        <v>868.89564000000007</v>
      </c>
      <c r="AC195" s="534">
        <v>868.89563999999996</v>
      </c>
      <c r="AD195" s="534">
        <v>868.89563999999996</v>
      </c>
      <c r="AE195" s="534">
        <v>868.89564000000007</v>
      </c>
      <c r="AF195" s="534">
        <v>868.89564000000007</v>
      </c>
      <c r="AG195" s="534">
        <v>868.89563999999996</v>
      </c>
      <c r="AH195" s="534">
        <v>868.89564000000018</v>
      </c>
      <c r="AI195" s="534">
        <v>868.89564000000007</v>
      </c>
      <c r="AJ195" s="534">
        <v>868.89564000000007</v>
      </c>
    </row>
    <row r="196" spans="1:38" x14ac:dyDescent="0.4">
      <c r="A196" s="644" t="s">
        <v>149</v>
      </c>
      <c r="B196" s="533" t="s">
        <v>147</v>
      </c>
      <c r="C196" s="534">
        <v>219.33287999999999</v>
      </c>
      <c r="D196" s="534">
        <v>219.33288000000002</v>
      </c>
      <c r="E196" s="534">
        <v>219.33287999999999</v>
      </c>
      <c r="F196" s="534">
        <v>210.45300631578948</v>
      </c>
      <c r="G196" s="534">
        <v>201.57313263157891</v>
      </c>
      <c r="H196" s="534">
        <v>192.69325894736843</v>
      </c>
      <c r="I196" s="534">
        <v>183.81338526315787</v>
      </c>
      <c r="J196" s="534">
        <v>174.93351157894739</v>
      </c>
      <c r="K196" s="534">
        <v>166.05363789473682</v>
      </c>
      <c r="L196" s="534">
        <v>157.17376421052631</v>
      </c>
      <c r="M196" s="534">
        <v>148.29389052631578</v>
      </c>
      <c r="N196" s="534">
        <v>139.4140168421053</v>
      </c>
      <c r="O196" s="534">
        <v>130.53414315789473</v>
      </c>
      <c r="P196" s="534">
        <v>121.65426947368422</v>
      </c>
      <c r="Q196" s="534">
        <v>112.77439578947369</v>
      </c>
      <c r="R196" s="534">
        <v>103.89452210526318</v>
      </c>
      <c r="S196" s="534">
        <v>95.014648421052641</v>
      </c>
      <c r="T196" s="534">
        <v>86.134774736842104</v>
      </c>
      <c r="U196" s="534">
        <v>77.254901052631595</v>
      </c>
      <c r="V196" s="534">
        <v>68.375027368421073</v>
      </c>
      <c r="W196" s="534">
        <v>59.495153684210543</v>
      </c>
      <c r="X196" s="534">
        <v>50.615279999999998</v>
      </c>
      <c r="Y196" s="534">
        <v>50.615279999999998</v>
      </c>
      <c r="Z196" s="534">
        <v>50.615279999999998</v>
      </c>
      <c r="AA196" s="534">
        <v>50.615279999999998</v>
      </c>
      <c r="AB196" s="534">
        <v>50.615279999999991</v>
      </c>
      <c r="AC196" s="534">
        <v>50.615279999999998</v>
      </c>
      <c r="AD196" s="534">
        <v>50.615279999999998</v>
      </c>
      <c r="AE196" s="534">
        <v>50.615279999999998</v>
      </c>
      <c r="AF196" s="534">
        <v>50.615279999999998</v>
      </c>
      <c r="AG196" s="534">
        <v>50.615279999999991</v>
      </c>
      <c r="AH196" s="534">
        <v>50.615279999999998</v>
      </c>
      <c r="AI196" s="534">
        <v>50.615279999999998</v>
      </c>
      <c r="AJ196" s="534">
        <v>50.615279999999998</v>
      </c>
    </row>
    <row r="197" spans="1:38" x14ac:dyDescent="0.4">
      <c r="A197" s="644" t="s">
        <v>150</v>
      </c>
      <c r="B197" s="533" t="s">
        <v>147</v>
      </c>
      <c r="C197" s="534">
        <v>6833.0627999999988</v>
      </c>
      <c r="D197" s="534">
        <v>6833.0627999999997</v>
      </c>
      <c r="E197" s="534">
        <v>6833.0627999999988</v>
      </c>
      <c r="F197" s="534">
        <v>6480.9758084210516</v>
      </c>
      <c r="G197" s="534">
        <v>6128.8888168421054</v>
      </c>
      <c r="H197" s="534">
        <v>5776.8018252631573</v>
      </c>
      <c r="I197" s="534">
        <v>5424.714833684211</v>
      </c>
      <c r="J197" s="534">
        <v>5072.6278421052639</v>
      </c>
      <c r="K197" s="534">
        <v>4720.5408505263158</v>
      </c>
      <c r="L197" s="534">
        <v>4368.4538589473677</v>
      </c>
      <c r="M197" s="534">
        <v>4016.3668673684215</v>
      </c>
      <c r="N197" s="534">
        <v>3664.2798757894734</v>
      </c>
      <c r="O197" s="534">
        <v>3312.1928842105272</v>
      </c>
      <c r="P197" s="534">
        <v>2960.10589263158</v>
      </c>
      <c r="Q197" s="534">
        <v>2608.0189010526319</v>
      </c>
      <c r="R197" s="534">
        <v>2255.9319094736848</v>
      </c>
      <c r="S197" s="534">
        <v>1903.8449178947374</v>
      </c>
      <c r="T197" s="534">
        <v>1551.7579263157902</v>
      </c>
      <c r="U197" s="534">
        <v>1199.6709347368428</v>
      </c>
      <c r="V197" s="534">
        <v>847.58394315789531</v>
      </c>
      <c r="W197" s="534">
        <v>495.49695157894774</v>
      </c>
      <c r="X197" s="534">
        <v>143.40995999999998</v>
      </c>
      <c r="Y197" s="534">
        <v>143.40995999999998</v>
      </c>
      <c r="Z197" s="534">
        <v>143.40995999999998</v>
      </c>
      <c r="AA197" s="534">
        <v>143.40995999999998</v>
      </c>
      <c r="AB197" s="534">
        <v>143.40995999999998</v>
      </c>
      <c r="AC197" s="534">
        <v>143.40995999999998</v>
      </c>
      <c r="AD197" s="534">
        <v>143.40995999999998</v>
      </c>
      <c r="AE197" s="534">
        <v>143.40995999999998</v>
      </c>
      <c r="AF197" s="534">
        <v>143.40995999999998</v>
      </c>
      <c r="AG197" s="534">
        <v>143.40995999999998</v>
      </c>
      <c r="AH197" s="534">
        <v>143.40995999999998</v>
      </c>
      <c r="AI197" s="534">
        <v>143.40996000000001</v>
      </c>
      <c r="AJ197" s="534">
        <v>143.40996000000001</v>
      </c>
    </row>
    <row r="198" spans="1:38" x14ac:dyDescent="0.4">
      <c r="A198" s="644" t="s">
        <v>151</v>
      </c>
      <c r="B198" s="533" t="s">
        <v>147</v>
      </c>
      <c r="C198" s="534">
        <v>30.369167999999998</v>
      </c>
      <c r="D198" s="534">
        <v>30.369167999999998</v>
      </c>
      <c r="E198" s="534">
        <v>30.369168000000002</v>
      </c>
      <c r="F198" s="534">
        <v>31.434752842105258</v>
      </c>
      <c r="G198" s="534">
        <v>32.500337684210521</v>
      </c>
      <c r="H198" s="534">
        <v>33.565922526315788</v>
      </c>
      <c r="I198" s="534">
        <v>34.631507368421047</v>
      </c>
      <c r="J198" s="534">
        <v>35.697092210526307</v>
      </c>
      <c r="K198" s="534">
        <v>36.762677052631581</v>
      </c>
      <c r="L198" s="534">
        <v>37.828261894736841</v>
      </c>
      <c r="M198" s="534">
        <v>38.893846736842114</v>
      </c>
      <c r="N198" s="534">
        <v>39.95943157894736</v>
      </c>
      <c r="O198" s="534">
        <v>41.025016421052626</v>
      </c>
      <c r="P198" s="534">
        <v>42.090601263157886</v>
      </c>
      <c r="Q198" s="534">
        <v>43.15618610526316</v>
      </c>
      <c r="R198" s="534">
        <v>44.22177094736842</v>
      </c>
      <c r="S198" s="534">
        <v>45.287355789473679</v>
      </c>
      <c r="T198" s="534">
        <v>46.352940631578946</v>
      </c>
      <c r="U198" s="534">
        <v>47.418525473684198</v>
      </c>
      <c r="V198" s="534">
        <v>48.484110315789458</v>
      </c>
      <c r="W198" s="534">
        <v>49.549695157894739</v>
      </c>
      <c r="X198" s="534">
        <v>50.615279999999991</v>
      </c>
      <c r="Y198" s="534">
        <v>50.615279999999991</v>
      </c>
      <c r="Z198" s="534">
        <v>50.615279999999998</v>
      </c>
      <c r="AA198" s="534">
        <v>50.615279999999998</v>
      </c>
      <c r="AB198" s="534">
        <v>50.615279999999998</v>
      </c>
      <c r="AC198" s="534">
        <v>50.615279999999991</v>
      </c>
      <c r="AD198" s="534">
        <v>50.615279999999998</v>
      </c>
      <c r="AE198" s="534">
        <v>50.615279999999998</v>
      </c>
      <c r="AF198" s="534">
        <v>50.615279999999991</v>
      </c>
      <c r="AG198" s="534">
        <v>50.615279999999998</v>
      </c>
      <c r="AH198" s="534">
        <v>50.615279999999984</v>
      </c>
      <c r="AI198" s="534">
        <v>50.615279999999998</v>
      </c>
      <c r="AJ198" s="534">
        <v>50.615279999999998</v>
      </c>
    </row>
    <row r="199" spans="1:38" x14ac:dyDescent="0.4">
      <c r="A199" s="644" t="s">
        <v>152</v>
      </c>
      <c r="B199" s="533" t="s">
        <v>147</v>
      </c>
      <c r="C199" s="534">
        <v>175.46630400000001</v>
      </c>
      <c r="D199" s="534">
        <v>175.46630400000001</v>
      </c>
      <c r="E199" s="534">
        <v>175.46630400000001</v>
      </c>
      <c r="F199" s="534">
        <v>174.84471284210528</v>
      </c>
      <c r="G199" s="534">
        <v>174.22312168421053</v>
      </c>
      <c r="H199" s="534">
        <v>173.60153052631577</v>
      </c>
      <c r="I199" s="534">
        <v>172.97993936842107</v>
      </c>
      <c r="J199" s="534">
        <v>172.35834821052632</v>
      </c>
      <c r="K199" s="534">
        <v>171.73675705263156</v>
      </c>
      <c r="L199" s="534">
        <v>171.11516589473686</v>
      </c>
      <c r="M199" s="534">
        <v>170.49357473684208</v>
      </c>
      <c r="N199" s="534">
        <v>169.87198357894741</v>
      </c>
      <c r="O199" s="534">
        <v>169.25039242105262</v>
      </c>
      <c r="P199" s="534">
        <v>168.6288012631579</v>
      </c>
      <c r="Q199" s="534">
        <v>168.00721010526314</v>
      </c>
      <c r="R199" s="534">
        <v>167.38561894736841</v>
      </c>
      <c r="S199" s="534">
        <v>166.76402778947369</v>
      </c>
      <c r="T199" s="534">
        <v>166.14243663157896</v>
      </c>
      <c r="U199" s="534">
        <v>165.5208454736842</v>
      </c>
      <c r="V199" s="534">
        <v>164.89925431578945</v>
      </c>
      <c r="W199" s="534">
        <v>164.27766315789472</v>
      </c>
      <c r="X199" s="534">
        <v>163.65607199999999</v>
      </c>
      <c r="Y199" s="534">
        <v>163.65607199999999</v>
      </c>
      <c r="Z199" s="534">
        <v>163.65607199999999</v>
      </c>
      <c r="AA199" s="534">
        <v>163.65607199999999</v>
      </c>
      <c r="AB199" s="534">
        <v>163.65607199999999</v>
      </c>
      <c r="AC199" s="534">
        <v>163.65607200000002</v>
      </c>
      <c r="AD199" s="534">
        <v>163.65607199999999</v>
      </c>
      <c r="AE199" s="534">
        <v>163.65607199999999</v>
      </c>
      <c r="AF199" s="534">
        <v>163.65607199999999</v>
      </c>
      <c r="AG199" s="534">
        <v>163.65607199999999</v>
      </c>
      <c r="AH199" s="534">
        <v>163.65607199999999</v>
      </c>
      <c r="AI199" s="534">
        <v>163.65607199999999</v>
      </c>
      <c r="AJ199" s="534">
        <v>163.65607199999999</v>
      </c>
    </row>
    <row r="200" spans="1:38" x14ac:dyDescent="0.4">
      <c r="A200" s="644" t="s">
        <v>153</v>
      </c>
      <c r="B200" s="533" t="s">
        <v>147</v>
      </c>
      <c r="C200" s="534">
        <v>14.594072399999996</v>
      </c>
      <c r="D200" s="534">
        <v>14.594072399999998</v>
      </c>
      <c r="E200" s="534">
        <v>14.594072399999998</v>
      </c>
      <c r="F200" s="534">
        <v>16.489925431578946</v>
      </c>
      <c r="G200" s="534">
        <v>18.385778463157894</v>
      </c>
      <c r="H200" s="534">
        <v>20.281631494736839</v>
      </c>
      <c r="I200" s="534">
        <v>22.177484526315787</v>
      </c>
      <c r="J200" s="534">
        <v>24.073337557894732</v>
      </c>
      <c r="K200" s="534">
        <v>25.969190589473687</v>
      </c>
      <c r="L200" s="534">
        <v>27.865043621052632</v>
      </c>
      <c r="M200" s="534">
        <v>29.76089665263158</v>
      </c>
      <c r="N200" s="534">
        <v>31.656749684210531</v>
      </c>
      <c r="O200" s="534">
        <v>33.552602715789476</v>
      </c>
      <c r="P200" s="534">
        <v>35.448455747368421</v>
      </c>
      <c r="Q200" s="534">
        <v>37.344308778947372</v>
      </c>
      <c r="R200" s="534">
        <v>39.24016181052631</v>
      </c>
      <c r="S200" s="534">
        <v>41.136014842105268</v>
      </c>
      <c r="T200" s="534">
        <v>43.031867873684213</v>
      </c>
      <c r="U200" s="534">
        <v>44.927720905263158</v>
      </c>
      <c r="V200" s="534">
        <v>46.823573936842102</v>
      </c>
      <c r="W200" s="534">
        <v>48.719426968421047</v>
      </c>
      <c r="X200" s="534">
        <v>50.615279999999991</v>
      </c>
      <c r="Y200" s="534">
        <v>50.615279999999998</v>
      </c>
      <c r="Z200" s="534">
        <v>50.615279999999991</v>
      </c>
      <c r="AA200" s="534">
        <v>50.615280000000006</v>
      </c>
      <c r="AB200" s="534">
        <v>50.615280000000006</v>
      </c>
      <c r="AC200" s="534">
        <v>50.615280000000006</v>
      </c>
      <c r="AD200" s="534">
        <v>50.615279999999998</v>
      </c>
      <c r="AE200" s="534">
        <v>50.615279999999991</v>
      </c>
      <c r="AF200" s="534">
        <v>50.615280000000006</v>
      </c>
      <c r="AG200" s="534">
        <v>50.615279999999991</v>
      </c>
      <c r="AH200" s="534">
        <v>50.615279999999998</v>
      </c>
      <c r="AI200" s="534">
        <v>50.615279999999991</v>
      </c>
      <c r="AJ200" s="534">
        <v>50.615279999999991</v>
      </c>
    </row>
    <row r="201" spans="1:38" x14ac:dyDescent="0.4">
      <c r="A201" s="645" t="s">
        <v>154</v>
      </c>
      <c r="B201" s="535" t="s">
        <v>147</v>
      </c>
      <c r="C201" s="536">
        <v>22.4394408</v>
      </c>
      <c r="D201" s="536">
        <v>22.4394408</v>
      </c>
      <c r="E201" s="536">
        <v>22.4394408</v>
      </c>
      <c r="F201" s="536">
        <v>22.4394408</v>
      </c>
      <c r="G201" s="536">
        <v>22.4394408</v>
      </c>
      <c r="H201" s="536">
        <v>22.439440800000003</v>
      </c>
      <c r="I201" s="536">
        <v>22.4394408</v>
      </c>
      <c r="J201" s="536">
        <v>22.4394408</v>
      </c>
      <c r="K201" s="536">
        <v>22.4394408</v>
      </c>
      <c r="L201" s="536">
        <v>22.4394408</v>
      </c>
      <c r="M201" s="536">
        <v>22.4394408</v>
      </c>
      <c r="N201" s="536">
        <v>22.4394408</v>
      </c>
      <c r="O201" s="536">
        <v>22.4394408</v>
      </c>
      <c r="P201" s="536">
        <v>22.439440799999996</v>
      </c>
      <c r="Q201" s="536">
        <v>22.439440800000003</v>
      </c>
      <c r="R201" s="536">
        <v>22.4394408</v>
      </c>
      <c r="S201" s="536">
        <v>22.439440799999993</v>
      </c>
      <c r="T201" s="536">
        <v>22.4394408</v>
      </c>
      <c r="U201" s="536">
        <v>22.4394408</v>
      </c>
      <c r="V201" s="536">
        <v>22.4394408</v>
      </c>
      <c r="W201" s="536">
        <v>22.4394408</v>
      </c>
      <c r="X201" s="536">
        <v>22.439440800000003</v>
      </c>
      <c r="Y201" s="536">
        <v>22.4394408</v>
      </c>
      <c r="Z201" s="536">
        <v>22.439440800000003</v>
      </c>
      <c r="AA201" s="536">
        <v>22.439440800000003</v>
      </c>
      <c r="AB201" s="536">
        <v>22.439440799999996</v>
      </c>
      <c r="AC201" s="536">
        <v>22.4394408</v>
      </c>
      <c r="AD201" s="536">
        <v>22.4394408</v>
      </c>
      <c r="AE201" s="536">
        <v>22.439440800000003</v>
      </c>
      <c r="AF201" s="536">
        <v>22.439440800000003</v>
      </c>
      <c r="AG201" s="536">
        <v>22.439440800000003</v>
      </c>
      <c r="AH201" s="536">
        <v>22.439440799999996</v>
      </c>
      <c r="AI201" s="536">
        <v>22.4394408</v>
      </c>
      <c r="AJ201" s="536">
        <v>22.4394408</v>
      </c>
    </row>
    <row r="202" spans="1:38" x14ac:dyDescent="0.4">
      <c r="A202" s="1188" t="s">
        <v>1063</v>
      </c>
      <c r="B202" s="1191"/>
      <c r="C202" s="1191"/>
      <c r="D202" s="1191"/>
      <c r="E202" s="1191"/>
      <c r="F202" s="1191"/>
      <c r="G202" s="1191"/>
      <c r="H202" s="1191"/>
      <c r="I202" s="1191"/>
      <c r="J202" s="1191"/>
      <c r="K202" s="1191"/>
      <c r="L202" s="1191"/>
      <c r="M202" s="1191"/>
      <c r="N202" s="1191"/>
      <c r="O202" s="1191"/>
      <c r="P202" s="1191"/>
      <c r="Q202" s="1191"/>
      <c r="R202" s="1191"/>
      <c r="S202" s="1191"/>
      <c r="T202" s="1191"/>
      <c r="U202" s="1191"/>
      <c r="V202" s="1191"/>
      <c r="W202" s="1191"/>
      <c r="X202" s="1191"/>
      <c r="Y202" s="1191"/>
      <c r="Z202" s="1191"/>
      <c r="AA202" s="1191"/>
      <c r="AB202" s="1191"/>
      <c r="AC202" s="1191"/>
      <c r="AD202" s="1191"/>
      <c r="AE202" s="1191"/>
      <c r="AF202" s="1191"/>
      <c r="AG202" s="1191"/>
      <c r="AH202" s="1191"/>
      <c r="AI202" s="1191"/>
      <c r="AJ202" s="1191"/>
    </row>
    <row r="203" spans="1:38" x14ac:dyDescent="0.4">
      <c r="A203" s="581"/>
      <c r="B203" s="581"/>
      <c r="C203" s="89"/>
      <c r="D203" s="89"/>
      <c r="E203" s="89"/>
      <c r="F203" s="89"/>
      <c r="G203" s="89"/>
      <c r="H203" s="89"/>
      <c r="I203" s="89"/>
      <c r="J203" s="89"/>
      <c r="K203" s="89"/>
      <c r="L203" s="89"/>
      <c r="M203" s="89"/>
      <c r="N203" s="89"/>
      <c r="O203" s="89"/>
      <c r="P203" s="89"/>
      <c r="Q203" s="89"/>
      <c r="R203" s="89"/>
      <c r="S203" s="89"/>
      <c r="T203" s="89"/>
      <c r="U203" s="89"/>
      <c r="V203" s="89"/>
      <c r="W203" s="89"/>
      <c r="X203" s="89"/>
      <c r="Y203" s="89"/>
      <c r="Z203" s="89"/>
      <c r="AA203" s="89"/>
      <c r="AB203" s="89"/>
      <c r="AC203" s="89"/>
      <c r="AD203" s="89"/>
      <c r="AE203" s="89"/>
      <c r="AF203" s="89"/>
      <c r="AG203" s="89"/>
      <c r="AH203" s="89"/>
      <c r="AI203" s="89"/>
      <c r="AJ203" s="89"/>
    </row>
    <row r="204" spans="1:38" ht="17" x14ac:dyDescent="0.4">
      <c r="A204" s="659" t="s">
        <v>1447</v>
      </c>
      <c r="B204" s="581"/>
      <c r="C204" s="89"/>
      <c r="D204" s="89"/>
      <c r="E204" s="89"/>
      <c r="F204" s="89"/>
      <c r="G204" s="89"/>
      <c r="H204" s="89"/>
      <c r="I204" s="89"/>
      <c r="J204" s="89"/>
      <c r="K204" s="89"/>
      <c r="L204" s="89"/>
      <c r="M204" s="89"/>
      <c r="N204" s="89"/>
      <c r="O204" s="89"/>
      <c r="P204" s="89"/>
      <c r="Q204" s="89"/>
      <c r="R204" s="89"/>
      <c r="S204" s="89"/>
      <c r="T204" s="89"/>
      <c r="U204" s="89"/>
      <c r="V204" s="89"/>
      <c r="W204" s="89"/>
      <c r="X204" s="89"/>
      <c r="Y204" s="89"/>
      <c r="Z204" s="89"/>
      <c r="AA204" s="89"/>
      <c r="AB204" s="89"/>
      <c r="AC204" s="89"/>
      <c r="AD204" s="89"/>
      <c r="AE204" s="89"/>
      <c r="AF204" s="89"/>
      <c r="AG204" s="89"/>
      <c r="AH204" s="89"/>
      <c r="AI204" s="89"/>
      <c r="AJ204" s="89"/>
    </row>
    <row r="205" spans="1:38" s="28" customFormat="1" x14ac:dyDescent="0.4">
      <c r="A205" s="42" t="s">
        <v>536</v>
      </c>
      <c r="B205" s="1198" t="s">
        <v>136</v>
      </c>
      <c r="C205" s="1125" t="s">
        <v>391</v>
      </c>
      <c r="D205" s="1125" t="s">
        <v>392</v>
      </c>
      <c r="E205" s="1125" t="s">
        <v>393</v>
      </c>
      <c r="F205" s="1125" t="s">
        <v>394</v>
      </c>
      <c r="G205" s="1125" t="s">
        <v>395</v>
      </c>
      <c r="H205" s="1125" t="s">
        <v>396</v>
      </c>
      <c r="I205" s="1125" t="s">
        <v>397</v>
      </c>
      <c r="J205" s="1125" t="s">
        <v>398</v>
      </c>
      <c r="K205" s="1125" t="s">
        <v>399</v>
      </c>
      <c r="L205" s="1125" t="s">
        <v>400</v>
      </c>
      <c r="M205" s="1125" t="s">
        <v>401</v>
      </c>
      <c r="N205" s="1125" t="s">
        <v>402</v>
      </c>
      <c r="O205" s="1125" t="s">
        <v>403</v>
      </c>
      <c r="P205" s="1125" t="s">
        <v>404</v>
      </c>
      <c r="Q205" s="1125" t="s">
        <v>405</v>
      </c>
      <c r="R205" s="1125" t="s">
        <v>406</v>
      </c>
      <c r="S205" s="1125" t="s">
        <v>407</v>
      </c>
      <c r="T205" s="1125" t="s">
        <v>408</v>
      </c>
      <c r="U205" s="1125" t="s">
        <v>409</v>
      </c>
      <c r="V205" s="1125" t="s">
        <v>410</v>
      </c>
      <c r="W205" s="1125" t="s">
        <v>411</v>
      </c>
      <c r="X205" s="1125" t="s">
        <v>412</v>
      </c>
      <c r="Y205" s="1125" t="s">
        <v>413</v>
      </c>
      <c r="Z205" s="1125" t="s">
        <v>414</v>
      </c>
      <c r="AA205" s="1125" t="s">
        <v>415</v>
      </c>
      <c r="AB205" s="1125" t="s">
        <v>416</v>
      </c>
      <c r="AC205" s="1125" t="s">
        <v>417</v>
      </c>
      <c r="AD205" s="1125" t="s">
        <v>418</v>
      </c>
      <c r="AE205" s="1125" t="s">
        <v>419</v>
      </c>
      <c r="AF205" s="1125" t="s">
        <v>420</v>
      </c>
      <c r="AG205" s="1125" t="s">
        <v>421</v>
      </c>
      <c r="AH205" s="1125" t="s">
        <v>422</v>
      </c>
      <c r="AI205" s="1125" t="s">
        <v>423</v>
      </c>
      <c r="AJ205" s="1125" t="s">
        <v>424</v>
      </c>
      <c r="AK205" s="3"/>
      <c r="AL205" s="3"/>
    </row>
    <row r="206" spans="1:38" x14ac:dyDescent="0.4">
      <c r="A206" s="643" t="s">
        <v>59</v>
      </c>
      <c r="B206" s="532" t="s">
        <v>155</v>
      </c>
      <c r="C206" s="537">
        <v>1.4890336534748914</v>
      </c>
      <c r="D206" s="537">
        <v>1.4890336534748914</v>
      </c>
      <c r="E206" s="537">
        <v>1.4890336534748914</v>
      </c>
      <c r="F206" s="537">
        <v>1.4890336534748914</v>
      </c>
      <c r="G206" s="537">
        <v>1.4890336534748914</v>
      </c>
      <c r="H206" s="537">
        <v>1.4890336534748914</v>
      </c>
      <c r="I206" s="537">
        <v>1.4890336534748916</v>
      </c>
      <c r="J206" s="537">
        <v>1.4890336534748914</v>
      </c>
      <c r="K206" s="537">
        <v>1.4890336534748911</v>
      </c>
      <c r="L206" s="537">
        <v>1.4890336534748916</v>
      </c>
      <c r="M206" s="537">
        <v>1.4890336534748916</v>
      </c>
      <c r="N206" s="537">
        <v>1.4890336534748916</v>
      </c>
      <c r="O206" s="537">
        <v>1.4890336534748911</v>
      </c>
      <c r="P206" s="537">
        <v>1.4890336534748914</v>
      </c>
      <c r="Q206" s="537">
        <v>1.4890336534748914</v>
      </c>
      <c r="R206" s="537">
        <v>1.4890336534748914</v>
      </c>
      <c r="S206" s="537">
        <v>1.4890336534748918</v>
      </c>
      <c r="T206" s="537">
        <v>1.4890336534748916</v>
      </c>
      <c r="U206" s="537">
        <v>1.4890336534748916</v>
      </c>
      <c r="V206" s="537">
        <v>1.4890336534748914</v>
      </c>
      <c r="W206" s="537">
        <v>1.4890336534748914</v>
      </c>
      <c r="X206" s="537">
        <v>1.4890336534748914</v>
      </c>
      <c r="Y206" s="537">
        <v>1.4890336534748916</v>
      </c>
      <c r="Z206" s="537">
        <v>1.4890336534748916</v>
      </c>
      <c r="AA206" s="537">
        <v>1.4890336534748914</v>
      </c>
      <c r="AB206" s="537">
        <v>1.4890336534748916</v>
      </c>
      <c r="AC206" s="537">
        <v>1.4890336534748914</v>
      </c>
      <c r="AD206" s="537">
        <v>1.4890336534748914</v>
      </c>
      <c r="AE206" s="537">
        <v>1.4890336534748916</v>
      </c>
      <c r="AF206" s="537">
        <v>1.4890336534748916</v>
      </c>
      <c r="AG206" s="537">
        <v>1.4890336534748914</v>
      </c>
      <c r="AH206" s="537">
        <v>1.4890336534748911</v>
      </c>
      <c r="AI206" s="537">
        <v>1.4890336534748914</v>
      </c>
      <c r="AJ206" s="537">
        <v>1.4890336534748914</v>
      </c>
    </row>
    <row r="207" spans="1:38" x14ac:dyDescent="0.4">
      <c r="A207" s="647" t="s">
        <v>156</v>
      </c>
      <c r="B207" s="532" t="s">
        <v>155</v>
      </c>
      <c r="C207" s="537">
        <v>23.4</v>
      </c>
      <c r="D207" s="537">
        <v>23.4</v>
      </c>
      <c r="E207" s="537">
        <v>23.4</v>
      </c>
      <c r="F207" s="537">
        <v>23.4</v>
      </c>
      <c r="G207" s="537">
        <v>23.4</v>
      </c>
      <c r="H207" s="537">
        <v>23.4</v>
      </c>
      <c r="I207" s="537">
        <v>23.4</v>
      </c>
      <c r="J207" s="537">
        <v>23.4</v>
      </c>
      <c r="K207" s="537">
        <v>23.4</v>
      </c>
      <c r="L207" s="537">
        <v>23.4</v>
      </c>
      <c r="M207" s="537">
        <v>23.4</v>
      </c>
      <c r="N207" s="537">
        <v>23.4</v>
      </c>
      <c r="O207" s="537">
        <v>23.4</v>
      </c>
      <c r="P207" s="537">
        <v>23.4</v>
      </c>
      <c r="Q207" s="537">
        <v>23.4</v>
      </c>
      <c r="R207" s="537">
        <v>23.4</v>
      </c>
      <c r="S207" s="537">
        <v>23.4</v>
      </c>
      <c r="T207" s="537">
        <v>23.4</v>
      </c>
      <c r="U207" s="537">
        <v>23.399999999999995</v>
      </c>
      <c r="V207" s="537">
        <v>23.4</v>
      </c>
      <c r="W207" s="537">
        <v>23.4</v>
      </c>
      <c r="X207" s="537">
        <v>23.4</v>
      </c>
      <c r="Y207" s="537">
        <v>23.399999999999995</v>
      </c>
      <c r="Z207" s="537">
        <v>23.4</v>
      </c>
      <c r="AA207" s="537">
        <v>23.400000000000002</v>
      </c>
      <c r="AB207" s="537">
        <v>23.399999999999995</v>
      </c>
      <c r="AC207" s="537">
        <v>23.399999999999995</v>
      </c>
      <c r="AD207" s="537">
        <v>23.400000000000002</v>
      </c>
      <c r="AE207" s="537">
        <v>23.399999999999995</v>
      </c>
      <c r="AF207" s="537">
        <v>23.400000000000002</v>
      </c>
      <c r="AG207" s="537">
        <v>23.4</v>
      </c>
      <c r="AH207" s="537">
        <v>23.4</v>
      </c>
      <c r="AI207" s="537">
        <v>23.4</v>
      </c>
      <c r="AJ207" s="537">
        <v>23.4</v>
      </c>
    </row>
    <row r="208" spans="1:38" x14ac:dyDescent="0.4">
      <c r="A208" s="645" t="s">
        <v>76</v>
      </c>
      <c r="B208" s="538" t="s">
        <v>155</v>
      </c>
      <c r="C208" s="569">
        <v>105</v>
      </c>
      <c r="D208" s="569">
        <v>105.00000000000001</v>
      </c>
      <c r="E208" s="569">
        <v>105</v>
      </c>
      <c r="F208" s="569">
        <v>105</v>
      </c>
      <c r="G208" s="569">
        <v>105</v>
      </c>
      <c r="H208" s="569">
        <v>105</v>
      </c>
      <c r="I208" s="569">
        <v>105</v>
      </c>
      <c r="J208" s="569">
        <v>105</v>
      </c>
      <c r="K208" s="569">
        <v>105</v>
      </c>
      <c r="L208" s="569">
        <v>105</v>
      </c>
      <c r="M208" s="569">
        <v>104.99999999999999</v>
      </c>
      <c r="N208" s="569">
        <v>105</v>
      </c>
      <c r="O208" s="569">
        <v>105</v>
      </c>
      <c r="P208" s="569">
        <v>105</v>
      </c>
      <c r="Q208" s="569">
        <v>105</v>
      </c>
      <c r="R208" s="569">
        <v>105.00000000000001</v>
      </c>
      <c r="S208" s="569">
        <v>105</v>
      </c>
      <c r="T208" s="569">
        <v>105</v>
      </c>
      <c r="U208" s="569">
        <v>105</v>
      </c>
      <c r="V208" s="569">
        <v>105</v>
      </c>
      <c r="W208" s="569">
        <v>105</v>
      </c>
      <c r="X208" s="569">
        <v>104.99999999999999</v>
      </c>
      <c r="Y208" s="569">
        <v>105</v>
      </c>
      <c r="Z208" s="569">
        <v>105.00000000000001</v>
      </c>
      <c r="AA208" s="569">
        <v>105</v>
      </c>
      <c r="AB208" s="569">
        <v>105</v>
      </c>
      <c r="AC208" s="569">
        <v>104.99999999999999</v>
      </c>
      <c r="AD208" s="569">
        <v>105</v>
      </c>
      <c r="AE208" s="569">
        <v>105</v>
      </c>
      <c r="AF208" s="569">
        <v>105</v>
      </c>
      <c r="AG208" s="569">
        <v>105</v>
      </c>
      <c r="AH208" s="569">
        <v>105</v>
      </c>
      <c r="AI208" s="569">
        <v>105.00000000000001</v>
      </c>
      <c r="AJ208" s="569">
        <v>105.00000000000001</v>
      </c>
    </row>
    <row r="209" spans="1:38" x14ac:dyDescent="0.4">
      <c r="A209" s="1188" t="s">
        <v>1063</v>
      </c>
      <c r="B209" s="1191"/>
      <c r="C209" s="1191"/>
      <c r="D209" s="1191"/>
      <c r="E209" s="1191"/>
      <c r="F209" s="1191"/>
      <c r="G209" s="1191"/>
      <c r="H209" s="1191"/>
      <c r="I209" s="1191"/>
      <c r="J209" s="1191"/>
      <c r="K209" s="1191"/>
      <c r="L209" s="1191"/>
      <c r="M209" s="1191"/>
      <c r="N209" s="1191"/>
      <c r="O209" s="1191"/>
      <c r="P209" s="1191"/>
      <c r="Q209" s="1191"/>
      <c r="R209" s="1191"/>
      <c r="S209" s="1191"/>
      <c r="T209" s="1191"/>
      <c r="U209" s="1191"/>
      <c r="V209" s="1191"/>
      <c r="W209" s="1191"/>
      <c r="X209" s="1191"/>
      <c r="Y209" s="1191"/>
      <c r="Z209" s="1191"/>
      <c r="AA209" s="1191"/>
      <c r="AB209" s="1191"/>
      <c r="AC209" s="1191"/>
      <c r="AD209" s="1191"/>
      <c r="AE209" s="1191"/>
      <c r="AF209" s="1191"/>
      <c r="AG209" s="1191"/>
      <c r="AH209" s="1191"/>
      <c r="AI209" s="1191"/>
      <c r="AJ209" s="1191"/>
    </row>
    <row r="210" spans="1:38" x14ac:dyDescent="0.4">
      <c r="A210" s="581"/>
      <c r="B210" s="581"/>
      <c r="C210" s="89"/>
      <c r="D210" s="89"/>
      <c r="E210" s="89"/>
      <c r="F210" s="89"/>
      <c r="G210" s="89"/>
      <c r="H210" s="89"/>
      <c r="I210" s="89"/>
      <c r="J210" s="89"/>
      <c r="K210" s="89"/>
      <c r="L210" s="89"/>
      <c r="M210" s="89"/>
      <c r="N210" s="89"/>
      <c r="O210" s="89"/>
      <c r="P210" s="89"/>
      <c r="Q210" s="89"/>
      <c r="R210" s="89"/>
      <c r="S210" s="89"/>
      <c r="T210" s="89"/>
      <c r="U210" s="89"/>
      <c r="V210" s="89"/>
      <c r="W210" s="89"/>
      <c r="X210" s="89"/>
      <c r="Y210" s="89"/>
      <c r="Z210" s="89"/>
      <c r="AA210" s="89"/>
      <c r="AB210" s="89"/>
      <c r="AC210" s="89"/>
      <c r="AD210" s="89"/>
      <c r="AE210" s="89"/>
      <c r="AF210" s="89"/>
      <c r="AG210" s="89"/>
      <c r="AH210" s="89"/>
      <c r="AI210" s="89"/>
      <c r="AJ210" s="89"/>
    </row>
    <row r="211" spans="1:38" ht="17" x14ac:dyDescent="0.4">
      <c r="A211" s="659" t="s">
        <v>1448</v>
      </c>
      <c r="B211" s="581"/>
      <c r="C211" s="89"/>
      <c r="D211" s="89"/>
      <c r="E211" s="89"/>
      <c r="F211" s="89"/>
      <c r="G211" s="89"/>
      <c r="H211" s="89"/>
      <c r="I211" s="89"/>
      <c r="J211" s="89"/>
      <c r="K211" s="89"/>
      <c r="L211" s="89"/>
      <c r="M211" s="89"/>
      <c r="N211" s="89"/>
      <c r="O211" s="89"/>
      <c r="P211" s="89"/>
      <c r="Q211" s="89"/>
      <c r="R211" s="89"/>
      <c r="S211" s="89"/>
      <c r="T211" s="89"/>
      <c r="U211" s="89"/>
      <c r="V211" s="89"/>
      <c r="W211" s="89"/>
      <c r="X211" s="89"/>
      <c r="Y211" s="89"/>
      <c r="Z211" s="89"/>
      <c r="AA211" s="89"/>
      <c r="AB211" s="89"/>
      <c r="AC211" s="89"/>
      <c r="AD211" s="89"/>
      <c r="AE211" s="89"/>
      <c r="AF211" s="89"/>
      <c r="AG211" s="89"/>
      <c r="AH211" s="89"/>
      <c r="AI211" s="89"/>
      <c r="AJ211" s="89"/>
    </row>
    <row r="212" spans="1:38" s="28" customFormat="1" x14ac:dyDescent="0.4">
      <c r="A212" s="1207" t="s">
        <v>390</v>
      </c>
      <c r="B212" s="1198" t="s">
        <v>136</v>
      </c>
      <c r="C212" s="1125" t="s">
        <v>391</v>
      </c>
      <c r="D212" s="1125" t="s">
        <v>392</v>
      </c>
      <c r="E212" s="1125" t="s">
        <v>393</v>
      </c>
      <c r="F212" s="1125" t="s">
        <v>394</v>
      </c>
      <c r="G212" s="1125" t="s">
        <v>395</v>
      </c>
      <c r="H212" s="1125" t="s">
        <v>396</v>
      </c>
      <c r="I212" s="1125" t="s">
        <v>397</v>
      </c>
      <c r="J212" s="1125" t="s">
        <v>398</v>
      </c>
      <c r="K212" s="1125" t="s">
        <v>399</v>
      </c>
      <c r="L212" s="1125" t="s">
        <v>400</v>
      </c>
      <c r="M212" s="1125" t="s">
        <v>401</v>
      </c>
      <c r="N212" s="1125" t="s">
        <v>402</v>
      </c>
      <c r="O212" s="1125" t="s">
        <v>403</v>
      </c>
      <c r="P212" s="1125" t="s">
        <v>404</v>
      </c>
      <c r="Q212" s="1125" t="s">
        <v>405</v>
      </c>
      <c r="R212" s="1125" t="s">
        <v>406</v>
      </c>
      <c r="S212" s="1125" t="s">
        <v>407</v>
      </c>
      <c r="T212" s="1125" t="s">
        <v>408</v>
      </c>
      <c r="U212" s="1125" t="s">
        <v>409</v>
      </c>
      <c r="V212" s="1125" t="s">
        <v>410</v>
      </c>
      <c r="W212" s="1125" t="s">
        <v>411</v>
      </c>
      <c r="X212" s="1125" t="s">
        <v>412</v>
      </c>
      <c r="Y212" s="1125" t="s">
        <v>413</v>
      </c>
      <c r="Z212" s="1125" t="s">
        <v>414</v>
      </c>
      <c r="AA212" s="1125" t="s">
        <v>415</v>
      </c>
      <c r="AB212" s="1125" t="s">
        <v>416</v>
      </c>
      <c r="AC212" s="1125" t="s">
        <v>417</v>
      </c>
      <c r="AD212" s="1125" t="s">
        <v>418</v>
      </c>
      <c r="AE212" s="1125" t="s">
        <v>419</v>
      </c>
      <c r="AF212" s="1125" t="s">
        <v>420</v>
      </c>
      <c r="AG212" s="1125" t="s">
        <v>421</v>
      </c>
      <c r="AH212" s="1125" t="s">
        <v>422</v>
      </c>
      <c r="AI212" s="1125" t="s">
        <v>423</v>
      </c>
      <c r="AJ212" s="1125" t="s">
        <v>424</v>
      </c>
      <c r="AK212" s="3"/>
      <c r="AL212" s="3"/>
    </row>
    <row r="213" spans="1:38" x14ac:dyDescent="0.4">
      <c r="A213" s="533" t="s">
        <v>157</v>
      </c>
      <c r="B213" s="533" t="s">
        <v>138</v>
      </c>
      <c r="C213" s="534">
        <v>0.96299999999999997</v>
      </c>
      <c r="D213" s="534">
        <v>0.96300000000000008</v>
      </c>
      <c r="E213" s="534">
        <v>0.96299999999999986</v>
      </c>
      <c r="F213" s="534">
        <v>0.96300000000000008</v>
      </c>
      <c r="G213" s="534">
        <v>0.96300000000000019</v>
      </c>
      <c r="H213" s="534">
        <v>0.96300000000000008</v>
      </c>
      <c r="I213" s="534">
        <v>0.96292099911913609</v>
      </c>
      <c r="J213" s="534">
        <v>0.96281980127617361</v>
      </c>
      <c r="K213" s="534">
        <v>0.77399131608054783</v>
      </c>
      <c r="L213" s="534">
        <v>0.96292333618931913</v>
      </c>
      <c r="M213" s="534">
        <v>0.9629265225539706</v>
      </c>
      <c r="N213" s="534">
        <v>0.96292990864651107</v>
      </c>
      <c r="O213" s="534">
        <v>0</v>
      </c>
      <c r="P213" s="534">
        <v>0.96300000000000008</v>
      </c>
      <c r="Q213" s="534">
        <v>0.96299999999999986</v>
      </c>
      <c r="R213" s="534">
        <v>0.96217165565648222</v>
      </c>
      <c r="S213" s="534">
        <v>0.95494014437436092</v>
      </c>
      <c r="T213" s="534">
        <v>0.96300000000000008</v>
      </c>
      <c r="U213" s="534">
        <v>0.84441749380166309</v>
      </c>
      <c r="V213" s="534">
        <v>0.96298418911330985</v>
      </c>
      <c r="W213" s="534">
        <v>0.96295296014067966</v>
      </c>
      <c r="X213" s="534">
        <v>0.96300000000000008</v>
      </c>
      <c r="Y213" s="534">
        <v>0.96299999999999997</v>
      </c>
      <c r="Z213" s="534">
        <v>0.96300000000000019</v>
      </c>
      <c r="AA213" s="534">
        <v>0.9629847732470852</v>
      </c>
      <c r="AB213" s="534">
        <v>0.96299984853376963</v>
      </c>
      <c r="AC213" s="534">
        <v>0.96300000000000008</v>
      </c>
      <c r="AD213" s="534">
        <v>0.35285554338935626</v>
      </c>
      <c r="AE213" s="534">
        <v>0.92313021841760479</v>
      </c>
      <c r="AF213" s="534">
        <v>0.92727302871327721</v>
      </c>
      <c r="AG213" s="534">
        <v>0.93426069629411568</v>
      </c>
      <c r="AH213" s="534">
        <v>0.92956558776227149</v>
      </c>
      <c r="AI213" s="534">
        <v>0.92994139083456362</v>
      </c>
      <c r="AJ213" s="534">
        <v>0.93021995788705258</v>
      </c>
    </row>
    <row r="214" spans="1:38" x14ac:dyDescent="0.4">
      <c r="A214" s="533" t="s">
        <v>158</v>
      </c>
      <c r="B214" s="533" t="s">
        <v>138</v>
      </c>
      <c r="C214" s="534">
        <v>1.9645199999999998</v>
      </c>
      <c r="D214" s="534">
        <v>1.9645199999999998</v>
      </c>
      <c r="E214" s="534">
        <v>1.9645199999999998</v>
      </c>
      <c r="F214" s="534">
        <v>1.3674856823041119</v>
      </c>
      <c r="G214" s="534">
        <v>0.92227837692571257</v>
      </c>
      <c r="H214" s="534">
        <v>1.2244516495752644</v>
      </c>
      <c r="I214" s="534">
        <v>1.0472714791183464</v>
      </c>
      <c r="J214" s="534">
        <v>0</v>
      </c>
      <c r="K214" s="534">
        <v>1.1573345876388028</v>
      </c>
      <c r="L214" s="534">
        <v>1.0860500599802325</v>
      </c>
      <c r="M214" s="534">
        <v>1.1242904191559955</v>
      </c>
      <c r="N214" s="534">
        <v>1.0901525126410194</v>
      </c>
      <c r="O214" s="534">
        <v>0.32678976193171877</v>
      </c>
      <c r="P214" s="534">
        <v>0.55229315100872689</v>
      </c>
      <c r="Q214" s="534">
        <v>9.0654525213029274E-2</v>
      </c>
      <c r="R214" s="534">
        <v>0</v>
      </c>
      <c r="S214" s="534">
        <v>0</v>
      </c>
      <c r="T214" s="534">
        <v>0.47173834241565094</v>
      </c>
      <c r="U214" s="534">
        <v>0.50231472829247992</v>
      </c>
      <c r="V214" s="534">
        <v>0.69366896278266643</v>
      </c>
      <c r="W214" s="534">
        <v>0.52784521119076777</v>
      </c>
      <c r="X214" s="534">
        <v>0.92724159068142775</v>
      </c>
      <c r="Y214" s="534">
        <v>1.0347520579981291</v>
      </c>
      <c r="Z214" s="534">
        <v>0.95506768796814967</v>
      </c>
      <c r="AA214" s="534">
        <v>1.102160297320657</v>
      </c>
      <c r="AB214" s="534">
        <v>0.92270589608434039</v>
      </c>
      <c r="AC214" s="534">
        <v>1.0503448105606714</v>
      </c>
      <c r="AD214" s="534">
        <v>0.91415304394620589</v>
      </c>
      <c r="AE214" s="534">
        <v>0.35532792230515736</v>
      </c>
      <c r="AF214" s="534">
        <v>0.90718702625307179</v>
      </c>
      <c r="AG214" s="534">
        <v>0.87512493836642302</v>
      </c>
      <c r="AH214" s="534">
        <v>0.75646347033752659</v>
      </c>
      <c r="AI214" s="534">
        <v>0.76777790491465636</v>
      </c>
      <c r="AJ214" s="534">
        <v>0.78212694461134891</v>
      </c>
    </row>
    <row r="215" spans="1:38" x14ac:dyDescent="0.4">
      <c r="A215" s="533" t="s">
        <v>159</v>
      </c>
      <c r="B215" s="533" t="s">
        <v>138</v>
      </c>
      <c r="C215" s="534">
        <v>30.623399999999993</v>
      </c>
      <c r="D215" s="534">
        <v>30.623400000000004</v>
      </c>
      <c r="E215" s="534">
        <v>30.623399999999997</v>
      </c>
      <c r="F215" s="534">
        <v>30.623400000000004</v>
      </c>
      <c r="G215" s="534">
        <v>30.6234</v>
      </c>
      <c r="H215" s="534">
        <v>30.615584769485871</v>
      </c>
      <c r="I215" s="534">
        <v>30.612798007061663</v>
      </c>
      <c r="J215" s="534">
        <v>30.601168931176929</v>
      </c>
      <c r="K215" s="534">
        <v>30.602362332953426</v>
      </c>
      <c r="L215" s="534">
        <v>30.588824795691661</v>
      </c>
      <c r="M215" s="534">
        <v>30.61596786684807</v>
      </c>
      <c r="N215" s="534">
        <v>30.600455946735888</v>
      </c>
      <c r="O215" s="534">
        <v>30.596798757375836</v>
      </c>
      <c r="P215" s="534">
        <v>30.57014761776259</v>
      </c>
      <c r="Q215" s="534">
        <v>30.445326672545221</v>
      </c>
      <c r="R215" s="534">
        <v>30.30869964107136</v>
      </c>
      <c r="S215" s="534">
        <v>30.220053751791124</v>
      </c>
      <c r="T215" s="534">
        <v>29.44775648168488</v>
      </c>
      <c r="U215" s="534">
        <v>30.092986654915137</v>
      </c>
      <c r="V215" s="534">
        <v>29.906871058696336</v>
      </c>
      <c r="W215" s="534">
        <v>29.865681197993041</v>
      </c>
      <c r="X215" s="534">
        <v>28.058426367581099</v>
      </c>
      <c r="Y215" s="534">
        <v>29.961434340505143</v>
      </c>
      <c r="Z215" s="534">
        <v>29.743591839406012</v>
      </c>
      <c r="AA215" s="534">
        <v>29.676635885911839</v>
      </c>
      <c r="AB215" s="534">
        <v>29.720440533325544</v>
      </c>
      <c r="AC215" s="534">
        <v>29.634206185412246</v>
      </c>
      <c r="AD215" s="534">
        <v>29.985713935097444</v>
      </c>
      <c r="AE215" s="534">
        <v>30.02890455149155</v>
      </c>
      <c r="AF215" s="534">
        <v>30.012600981420029</v>
      </c>
      <c r="AG215" s="534">
        <v>30.018000171512533</v>
      </c>
      <c r="AH215" s="534">
        <v>30.022045905468545</v>
      </c>
      <c r="AI215" s="534">
        <v>30.027678076971448</v>
      </c>
      <c r="AJ215" s="534">
        <v>30.03482083359113</v>
      </c>
    </row>
    <row r="216" spans="1:38" x14ac:dyDescent="0.4">
      <c r="A216" s="1188" t="s">
        <v>1063</v>
      </c>
      <c r="B216" s="1191"/>
      <c r="C216" s="1191"/>
      <c r="D216" s="1191"/>
      <c r="E216" s="1191"/>
      <c r="F216" s="1191"/>
      <c r="G216" s="1191"/>
      <c r="H216" s="1191"/>
      <c r="I216" s="1191"/>
      <c r="J216" s="1191"/>
      <c r="K216" s="1191"/>
      <c r="L216" s="1191"/>
      <c r="M216" s="1191"/>
      <c r="N216" s="1191"/>
      <c r="O216" s="1191"/>
      <c r="P216" s="1191"/>
      <c r="Q216" s="1191"/>
      <c r="R216" s="1191"/>
      <c r="S216" s="1191"/>
      <c r="T216" s="1191"/>
      <c r="U216" s="1191"/>
      <c r="V216" s="1191"/>
      <c r="W216" s="1191"/>
      <c r="X216" s="1191"/>
      <c r="Y216" s="1191"/>
      <c r="Z216" s="1191"/>
      <c r="AA216" s="1191"/>
      <c r="AB216" s="1191"/>
      <c r="AC216" s="1191"/>
      <c r="AD216" s="1191"/>
      <c r="AE216" s="1191"/>
      <c r="AF216" s="1191"/>
      <c r="AG216" s="1191"/>
      <c r="AH216" s="1191"/>
      <c r="AI216" s="1191"/>
      <c r="AJ216" s="1191"/>
    </row>
    <row r="217" spans="1:38" x14ac:dyDescent="0.4">
      <c r="A217" s="581"/>
      <c r="B217" s="581"/>
      <c r="C217" s="89"/>
      <c r="D217" s="89"/>
      <c r="E217" s="89"/>
      <c r="F217" s="89"/>
      <c r="G217" s="89"/>
      <c r="H217" s="89"/>
      <c r="I217" s="89"/>
      <c r="J217" s="89"/>
      <c r="K217" s="89"/>
      <c r="L217" s="89"/>
      <c r="M217" s="89"/>
      <c r="N217" s="89"/>
      <c r="O217" s="89"/>
      <c r="P217" s="89"/>
      <c r="Q217" s="89"/>
      <c r="R217" s="89"/>
      <c r="S217" s="89"/>
      <c r="T217" s="89"/>
      <c r="U217" s="89"/>
      <c r="V217" s="89"/>
      <c r="W217" s="89"/>
      <c r="X217" s="89"/>
      <c r="Y217" s="89"/>
      <c r="Z217" s="89"/>
      <c r="AA217" s="89"/>
      <c r="AB217" s="89"/>
      <c r="AC217" s="89"/>
      <c r="AD217" s="89"/>
      <c r="AE217" s="89"/>
      <c r="AF217" s="89"/>
      <c r="AG217" s="89"/>
      <c r="AH217" s="89"/>
      <c r="AI217" s="89"/>
      <c r="AJ217" s="89"/>
    </row>
    <row r="218" spans="1:38" ht="17" x14ac:dyDescent="0.45">
      <c r="A218" s="88" t="s">
        <v>1449</v>
      </c>
      <c r="B218" s="651" t="s">
        <v>1450</v>
      </c>
      <c r="C218" s="1211"/>
      <c r="D218" s="1211"/>
      <c r="E218" s="1211"/>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row>
    <row r="219" spans="1:38" s="28" customFormat="1" x14ac:dyDescent="0.4">
      <c r="A219" s="108" t="s">
        <v>794</v>
      </c>
      <c r="B219" s="1198" t="s">
        <v>136</v>
      </c>
      <c r="C219" s="1128" t="s">
        <v>391</v>
      </c>
      <c r="D219" s="1128" t="s">
        <v>392</v>
      </c>
      <c r="E219" s="1128" t="s">
        <v>393</v>
      </c>
      <c r="F219" s="1128" t="s">
        <v>394</v>
      </c>
      <c r="G219" s="1128" t="s">
        <v>395</v>
      </c>
      <c r="H219" s="1128" t="s">
        <v>396</v>
      </c>
      <c r="I219" s="1128" t="s">
        <v>397</v>
      </c>
      <c r="J219" s="1128" t="s">
        <v>398</v>
      </c>
      <c r="K219" s="1128" t="s">
        <v>399</v>
      </c>
      <c r="L219" s="1128" t="s">
        <v>400</v>
      </c>
      <c r="M219" s="1128" t="s">
        <v>401</v>
      </c>
      <c r="N219" s="1128" t="s">
        <v>402</v>
      </c>
      <c r="O219" s="1128" t="s">
        <v>403</v>
      </c>
      <c r="P219" s="1128" t="s">
        <v>404</v>
      </c>
      <c r="Q219" s="1128" t="s">
        <v>405</v>
      </c>
      <c r="R219" s="1128" t="s">
        <v>406</v>
      </c>
      <c r="S219" s="1128" t="s">
        <v>407</v>
      </c>
      <c r="T219" s="1128" t="s">
        <v>408</v>
      </c>
      <c r="U219" s="1128" t="s">
        <v>409</v>
      </c>
      <c r="V219" s="1128" t="s">
        <v>410</v>
      </c>
      <c r="W219" s="1128" t="s">
        <v>411</v>
      </c>
      <c r="X219" s="1128" t="s">
        <v>412</v>
      </c>
      <c r="Y219" s="1128" t="s">
        <v>413</v>
      </c>
      <c r="Z219" s="1128" t="s">
        <v>414</v>
      </c>
      <c r="AA219" s="1128" t="s">
        <v>415</v>
      </c>
      <c r="AB219" s="1128" t="s">
        <v>416</v>
      </c>
      <c r="AC219" s="1128" t="s">
        <v>417</v>
      </c>
      <c r="AD219" s="1128" t="s">
        <v>418</v>
      </c>
      <c r="AE219" s="1128" t="s">
        <v>419</v>
      </c>
      <c r="AF219" s="1128" t="s">
        <v>420</v>
      </c>
      <c r="AG219" s="1128" t="s">
        <v>421</v>
      </c>
      <c r="AH219" s="1128" t="s">
        <v>422</v>
      </c>
      <c r="AI219" s="1128" t="s">
        <v>423</v>
      </c>
      <c r="AJ219" s="1128" t="s">
        <v>424</v>
      </c>
      <c r="AK219" s="3"/>
      <c r="AL219" s="3"/>
    </row>
    <row r="220" spans="1:38" x14ac:dyDescent="0.4">
      <c r="A220" s="643" t="s">
        <v>137</v>
      </c>
      <c r="B220" s="533" t="s">
        <v>1279</v>
      </c>
      <c r="C220" s="540">
        <f t="shared" ref="C220:AJ220" si="14">C180*$B$541</f>
        <v>4.5973619999999995</v>
      </c>
      <c r="D220" s="540">
        <f t="shared" si="14"/>
        <v>4.5973620000000004</v>
      </c>
      <c r="E220" s="540">
        <f t="shared" si="14"/>
        <v>4.5973619999999995</v>
      </c>
      <c r="F220" s="540">
        <f t="shared" si="14"/>
        <v>4.4163044299410021</v>
      </c>
      <c r="G220" s="540">
        <f t="shared" si="14"/>
        <v>4.235246859882003</v>
      </c>
      <c r="H220" s="540">
        <f t="shared" si="14"/>
        <v>4.0541892898230056</v>
      </c>
      <c r="I220" s="540">
        <f t="shared" si="14"/>
        <v>3.8731317197640074</v>
      </c>
      <c r="J220" s="540">
        <f t="shared" si="14"/>
        <v>3.6920741497050109</v>
      </c>
      <c r="K220" s="540">
        <f t="shared" si="14"/>
        <v>3.5110165796460122</v>
      </c>
      <c r="L220" s="540">
        <f t="shared" si="14"/>
        <v>3.3299590095870144</v>
      </c>
      <c r="M220" s="540">
        <f t="shared" si="14"/>
        <v>3.148901439528017</v>
      </c>
      <c r="N220" s="540">
        <f t="shared" si="14"/>
        <v>2.9678438694690192</v>
      </c>
      <c r="O220" s="540">
        <f t="shared" si="14"/>
        <v>2.786786299410021</v>
      </c>
      <c r="P220" s="540">
        <f t="shared" si="14"/>
        <v>2.6057287293510227</v>
      </c>
      <c r="Q220" s="540">
        <f t="shared" si="14"/>
        <v>2.4246711592920249</v>
      </c>
      <c r="R220" s="540">
        <f t="shared" si="14"/>
        <v>2.2436135892330276</v>
      </c>
      <c r="S220" s="540">
        <f t="shared" si="14"/>
        <v>2.0625560191740293</v>
      </c>
      <c r="T220" s="540">
        <f t="shared" si="14"/>
        <v>1.8814984491150313</v>
      </c>
      <c r="U220" s="540">
        <f t="shared" si="14"/>
        <v>1.7004408790560335</v>
      </c>
      <c r="V220" s="540">
        <f t="shared" si="14"/>
        <v>1.5193833089970363</v>
      </c>
      <c r="W220" s="540">
        <f t="shared" si="14"/>
        <v>1.3383257389380376</v>
      </c>
      <c r="X220" s="540">
        <f t="shared" si="14"/>
        <v>1.1572681688790398</v>
      </c>
      <c r="Y220" s="540">
        <f t="shared" si="14"/>
        <v>1.15726816887904</v>
      </c>
      <c r="Z220" s="540">
        <f t="shared" si="14"/>
        <v>1.15726816887904</v>
      </c>
      <c r="AA220" s="540">
        <f t="shared" si="14"/>
        <v>1.1572681688790398</v>
      </c>
      <c r="AB220" s="540">
        <f t="shared" si="14"/>
        <v>1.15726816887904</v>
      </c>
      <c r="AC220" s="540">
        <f t="shared" si="14"/>
        <v>1.1572681688790398</v>
      </c>
      <c r="AD220" s="540">
        <f t="shared" si="14"/>
        <v>1.15726816887904</v>
      </c>
      <c r="AE220" s="540">
        <f t="shared" si="14"/>
        <v>1.1572681688790398</v>
      </c>
      <c r="AF220" s="540">
        <f t="shared" si="14"/>
        <v>1.1572681688790398</v>
      </c>
      <c r="AG220" s="540">
        <f t="shared" si="14"/>
        <v>1.15726816887904</v>
      </c>
      <c r="AH220" s="540">
        <f t="shared" si="14"/>
        <v>1.1572681688790398</v>
      </c>
      <c r="AI220" s="540">
        <f t="shared" si="14"/>
        <v>1.1572681688790398</v>
      </c>
      <c r="AJ220" s="540">
        <f t="shared" si="14"/>
        <v>1.1572681688790398</v>
      </c>
    </row>
    <row r="221" spans="1:38" x14ac:dyDescent="0.4">
      <c r="A221" s="644" t="s">
        <v>139</v>
      </c>
      <c r="B221" s="533" t="s">
        <v>1279</v>
      </c>
      <c r="C221" s="540">
        <f t="shared" ref="C221:AJ221" si="15">C181*$B$541</f>
        <v>2.1222573367552888</v>
      </c>
      <c r="D221" s="540">
        <f t="shared" si="15"/>
        <v>2.1222573367552888</v>
      </c>
      <c r="E221" s="540">
        <f t="shared" si="15"/>
        <v>2.1222573367552888</v>
      </c>
      <c r="F221" s="540">
        <f t="shared" si="15"/>
        <v>2.0558924572132935</v>
      </c>
      <c r="G221" s="540">
        <f t="shared" si="15"/>
        <v>1.9895275776712984</v>
      </c>
      <c r="H221" s="540">
        <f t="shared" si="15"/>
        <v>1.9231626981293033</v>
      </c>
      <c r="I221" s="540">
        <f t="shared" si="15"/>
        <v>1.856797818587308</v>
      </c>
      <c r="J221" s="540">
        <f t="shared" si="15"/>
        <v>1.7904329390453126</v>
      </c>
      <c r="K221" s="540">
        <f t="shared" si="15"/>
        <v>1.7240680595033178</v>
      </c>
      <c r="L221" s="540">
        <f t="shared" si="15"/>
        <v>1.6577031799613222</v>
      </c>
      <c r="M221" s="540">
        <f t="shared" si="15"/>
        <v>1.5913383004193271</v>
      </c>
      <c r="N221" s="540">
        <f t="shared" si="15"/>
        <v>1.5249734208773318</v>
      </c>
      <c r="O221" s="540">
        <f t="shared" si="15"/>
        <v>1.4586085413353365</v>
      </c>
      <c r="P221" s="540">
        <f t="shared" si="15"/>
        <v>1.3922436617933418</v>
      </c>
      <c r="Q221" s="540">
        <f t="shared" si="15"/>
        <v>1.3258787822513463</v>
      </c>
      <c r="R221" s="540">
        <f t="shared" si="15"/>
        <v>1.2595139027093509</v>
      </c>
      <c r="S221" s="540">
        <f t="shared" si="15"/>
        <v>1.1931490231673554</v>
      </c>
      <c r="T221" s="540">
        <f t="shared" si="15"/>
        <v>1.1267841436253605</v>
      </c>
      <c r="U221" s="540">
        <f t="shared" si="15"/>
        <v>1.0604192640833654</v>
      </c>
      <c r="V221" s="540">
        <f t="shared" si="15"/>
        <v>0.9940543845413703</v>
      </c>
      <c r="W221" s="540">
        <f t="shared" si="15"/>
        <v>0.92768950499937486</v>
      </c>
      <c r="X221" s="540">
        <f t="shared" si="15"/>
        <v>0.86132462545737987</v>
      </c>
      <c r="Y221" s="540">
        <f t="shared" si="15"/>
        <v>0.86132462545737987</v>
      </c>
      <c r="Z221" s="540">
        <f t="shared" si="15"/>
        <v>0.86132462545737987</v>
      </c>
      <c r="AA221" s="540">
        <f t="shared" si="15"/>
        <v>0.86132462545737987</v>
      </c>
      <c r="AB221" s="540">
        <f t="shared" si="15"/>
        <v>0.86132462545737976</v>
      </c>
      <c r="AC221" s="540">
        <f t="shared" si="15"/>
        <v>0.86132462545737998</v>
      </c>
      <c r="AD221" s="540">
        <f t="shared" si="15"/>
        <v>0.86132462545738009</v>
      </c>
      <c r="AE221" s="540">
        <f t="shared" si="15"/>
        <v>0.86132462545737987</v>
      </c>
      <c r="AF221" s="540">
        <f t="shared" si="15"/>
        <v>0.86132462545737998</v>
      </c>
      <c r="AG221" s="540">
        <f t="shared" si="15"/>
        <v>0.86132462545737987</v>
      </c>
      <c r="AH221" s="540">
        <f t="shared" si="15"/>
        <v>0.86132462545737987</v>
      </c>
      <c r="AI221" s="540">
        <f t="shared" si="15"/>
        <v>0.86132462545737998</v>
      </c>
      <c r="AJ221" s="540">
        <f t="shared" si="15"/>
        <v>0.86132462545737998</v>
      </c>
    </row>
    <row r="222" spans="1:38" x14ac:dyDescent="0.4">
      <c r="A222" s="644" t="s">
        <v>140</v>
      </c>
      <c r="B222" s="533" t="s">
        <v>1279</v>
      </c>
      <c r="C222" s="540">
        <f t="shared" ref="C222:AJ222" si="16">C182*$B$541</f>
        <v>5.9068582931162045E-2</v>
      </c>
      <c r="D222" s="540">
        <f t="shared" si="16"/>
        <v>5.9068582931162038E-2</v>
      </c>
      <c r="E222" s="540">
        <f t="shared" si="16"/>
        <v>5.9068582931162038E-2</v>
      </c>
      <c r="F222" s="540">
        <f t="shared" si="16"/>
        <v>6.1051758494564262E-2</v>
      </c>
      <c r="G222" s="540">
        <f t="shared" si="16"/>
        <v>6.303493405796648E-2</v>
      </c>
      <c r="H222" s="540">
        <f t="shared" si="16"/>
        <v>6.5018109621368697E-2</v>
      </c>
      <c r="I222" s="540">
        <f t="shared" si="16"/>
        <v>6.7001285184770928E-2</v>
      </c>
      <c r="J222" s="540">
        <f t="shared" si="16"/>
        <v>6.8984460748173146E-2</v>
      </c>
      <c r="K222" s="540">
        <f t="shared" si="16"/>
        <v>7.0967636311575377E-2</v>
      </c>
      <c r="L222" s="540">
        <f t="shared" si="16"/>
        <v>7.2950811874977595E-2</v>
      </c>
      <c r="M222" s="540">
        <f t="shared" si="16"/>
        <v>7.4933987438379826E-2</v>
      </c>
      <c r="N222" s="540">
        <f t="shared" si="16"/>
        <v>7.6917163001782043E-2</v>
      </c>
      <c r="O222" s="540">
        <f t="shared" si="16"/>
        <v>7.8900338565184261E-2</v>
      </c>
      <c r="P222" s="540">
        <f t="shared" si="16"/>
        <v>8.0883514128586464E-2</v>
      </c>
      <c r="Q222" s="540">
        <f t="shared" si="16"/>
        <v>8.2866689691988696E-2</v>
      </c>
      <c r="R222" s="540">
        <f t="shared" si="16"/>
        <v>8.4849865255390941E-2</v>
      </c>
      <c r="S222" s="540">
        <f t="shared" si="16"/>
        <v>8.6833040818793158E-2</v>
      </c>
      <c r="T222" s="540">
        <f t="shared" si="16"/>
        <v>8.8816216382195362E-2</v>
      </c>
      <c r="U222" s="540">
        <f t="shared" si="16"/>
        <v>9.0799391945597593E-2</v>
      </c>
      <c r="V222" s="540">
        <f t="shared" si="16"/>
        <v>9.2782567508999825E-2</v>
      </c>
      <c r="W222" s="540">
        <f t="shared" si="16"/>
        <v>9.4765743072402028E-2</v>
      </c>
      <c r="X222" s="540">
        <f t="shared" si="16"/>
        <v>9.674891863580426E-2</v>
      </c>
      <c r="Y222" s="540">
        <f t="shared" si="16"/>
        <v>9.674891863580426E-2</v>
      </c>
      <c r="Z222" s="540">
        <f t="shared" si="16"/>
        <v>9.6748918635804274E-2</v>
      </c>
      <c r="AA222" s="540">
        <f t="shared" si="16"/>
        <v>9.674891863580426E-2</v>
      </c>
      <c r="AB222" s="540">
        <f t="shared" si="16"/>
        <v>9.6748918635804246E-2</v>
      </c>
      <c r="AC222" s="540">
        <f t="shared" si="16"/>
        <v>9.6748918635804246E-2</v>
      </c>
      <c r="AD222" s="540">
        <f t="shared" si="16"/>
        <v>9.6748918635804232E-2</v>
      </c>
      <c r="AE222" s="540">
        <f t="shared" si="16"/>
        <v>9.674891863580426E-2</v>
      </c>
      <c r="AF222" s="540">
        <f t="shared" si="16"/>
        <v>9.6748918635804274E-2</v>
      </c>
      <c r="AG222" s="540">
        <f t="shared" si="16"/>
        <v>9.674891863580426E-2</v>
      </c>
      <c r="AH222" s="540">
        <f t="shared" si="16"/>
        <v>9.6748918635804274E-2</v>
      </c>
      <c r="AI222" s="540">
        <f t="shared" si="16"/>
        <v>9.6748918635804274E-2</v>
      </c>
      <c r="AJ222" s="540">
        <f t="shared" si="16"/>
        <v>9.6748918635804274E-2</v>
      </c>
    </row>
    <row r="223" spans="1:38" x14ac:dyDescent="0.4">
      <c r="A223" s="644" t="s">
        <v>141</v>
      </c>
      <c r="B223" s="533" t="s">
        <v>1279</v>
      </c>
      <c r="C223" s="540">
        <f t="shared" ref="C223:AJ223" si="17">C183*$B$541</f>
        <v>0.1908666</v>
      </c>
      <c r="D223" s="540">
        <f t="shared" si="17"/>
        <v>0.19086659999999997</v>
      </c>
      <c r="E223" s="540">
        <f t="shared" si="17"/>
        <v>0.1908666</v>
      </c>
      <c r="F223" s="540">
        <f t="shared" si="17"/>
        <v>0.18233927138596862</v>
      </c>
      <c r="G223" s="540">
        <f t="shared" si="17"/>
        <v>0.17381194277193721</v>
      </c>
      <c r="H223" s="540">
        <f t="shared" si="17"/>
        <v>0.16528461415790582</v>
      </c>
      <c r="I223" s="540">
        <f t="shared" si="17"/>
        <v>0.15675728554387441</v>
      </c>
      <c r="J223" s="540">
        <f t="shared" si="17"/>
        <v>0.14822995692984298</v>
      </c>
      <c r="K223" s="540">
        <f t="shared" si="17"/>
        <v>0.13970262831581162</v>
      </c>
      <c r="L223" s="540">
        <f t="shared" si="17"/>
        <v>0.13117529970178021</v>
      </c>
      <c r="M223" s="540">
        <f t="shared" si="17"/>
        <v>0.12264797108774883</v>
      </c>
      <c r="N223" s="540">
        <f t="shared" si="17"/>
        <v>0.11412064247371741</v>
      </c>
      <c r="O223" s="540">
        <f t="shared" si="17"/>
        <v>0.10559331385968602</v>
      </c>
      <c r="P223" s="540">
        <f t="shared" si="17"/>
        <v>9.7065985245654643E-2</v>
      </c>
      <c r="Q223" s="540">
        <f t="shared" si="17"/>
        <v>8.8538656631623247E-2</v>
      </c>
      <c r="R223" s="540">
        <f t="shared" si="17"/>
        <v>8.0011328017591837E-2</v>
      </c>
      <c r="S223" s="540">
        <f t="shared" si="17"/>
        <v>7.1483999403560455E-2</v>
      </c>
      <c r="T223" s="540">
        <f t="shared" si="17"/>
        <v>6.2956670789529059E-2</v>
      </c>
      <c r="U223" s="540">
        <f t="shared" si="17"/>
        <v>5.4429342175497664E-2</v>
      </c>
      <c r="V223" s="540">
        <f t="shared" si="17"/>
        <v>4.5902013561466247E-2</v>
      </c>
      <c r="W223" s="540">
        <f t="shared" si="17"/>
        <v>3.7374684947434851E-2</v>
      </c>
      <c r="X223" s="540">
        <f t="shared" si="17"/>
        <v>2.8847356333403473E-2</v>
      </c>
      <c r="Y223" s="540">
        <f t="shared" si="17"/>
        <v>2.8847356333403473E-2</v>
      </c>
      <c r="Z223" s="540">
        <f t="shared" si="17"/>
        <v>2.8847356333403473E-2</v>
      </c>
      <c r="AA223" s="540">
        <f t="shared" si="17"/>
        <v>2.8847356333403476E-2</v>
      </c>
      <c r="AB223" s="540">
        <f t="shared" si="17"/>
        <v>2.8847356333403473E-2</v>
      </c>
      <c r="AC223" s="540">
        <f t="shared" si="17"/>
        <v>2.8847356333403473E-2</v>
      </c>
      <c r="AD223" s="540">
        <f t="shared" si="17"/>
        <v>2.8847356333403476E-2</v>
      </c>
      <c r="AE223" s="540">
        <f t="shared" si="17"/>
        <v>2.8847356333403473E-2</v>
      </c>
      <c r="AF223" s="540">
        <f t="shared" si="17"/>
        <v>2.8847356333403469E-2</v>
      </c>
      <c r="AG223" s="540">
        <f t="shared" si="17"/>
        <v>2.8847356333403473E-2</v>
      </c>
      <c r="AH223" s="540">
        <f t="shared" si="17"/>
        <v>2.8847356333403466E-2</v>
      </c>
      <c r="AI223" s="540">
        <f t="shared" si="17"/>
        <v>2.8847356333403473E-2</v>
      </c>
      <c r="AJ223" s="540">
        <f t="shared" si="17"/>
        <v>2.8847356333403473E-2</v>
      </c>
    </row>
    <row r="224" spans="1:38" x14ac:dyDescent="0.4">
      <c r="A224" s="644" t="s">
        <v>142</v>
      </c>
      <c r="B224" s="533" t="s">
        <v>1280</v>
      </c>
      <c r="C224" s="540">
        <f t="shared" ref="C224:AJ224" si="18">C184*$B$541</f>
        <v>3.275678522336526E-2</v>
      </c>
      <c r="D224" s="540">
        <f t="shared" si="18"/>
        <v>3.275678522336526E-2</v>
      </c>
      <c r="E224" s="540">
        <f t="shared" si="18"/>
        <v>3.275678522336526E-2</v>
      </c>
      <c r="F224" s="540">
        <f t="shared" si="18"/>
        <v>3.1795199551624756E-2</v>
      </c>
      <c r="G224" s="540">
        <f t="shared" si="18"/>
        <v>3.0833613879884248E-2</v>
      </c>
      <c r="H224" s="540">
        <f t="shared" si="18"/>
        <v>2.9872028208143747E-2</v>
      </c>
      <c r="I224" s="540">
        <f t="shared" si="18"/>
        <v>2.8910442536403243E-2</v>
      </c>
      <c r="J224" s="540">
        <f t="shared" si="18"/>
        <v>2.7948856864662728E-2</v>
      </c>
      <c r="K224" s="540">
        <f t="shared" si="18"/>
        <v>2.6987271192922224E-2</v>
      </c>
      <c r="L224" s="540">
        <f t="shared" si="18"/>
        <v>2.6025685521181723E-2</v>
      </c>
      <c r="M224" s="540">
        <f t="shared" si="18"/>
        <v>2.5064099849441218E-2</v>
      </c>
      <c r="N224" s="540">
        <f t="shared" si="18"/>
        <v>2.410251417770071E-2</v>
      </c>
      <c r="O224" s="540">
        <f t="shared" si="18"/>
        <v>2.3140928505960202E-2</v>
      </c>
      <c r="P224" s="540">
        <f t="shared" si="18"/>
        <v>2.2179342834219695E-2</v>
      </c>
      <c r="Q224" s="540">
        <f t="shared" si="18"/>
        <v>2.1217757162479194E-2</v>
      </c>
      <c r="R224" s="540">
        <f t="shared" si="18"/>
        <v>2.0256171490738689E-2</v>
      </c>
      <c r="S224" s="540">
        <f t="shared" si="18"/>
        <v>1.9294585818998174E-2</v>
      </c>
      <c r="T224" s="540">
        <f t="shared" si="18"/>
        <v>1.833300014725767E-2</v>
      </c>
      <c r="U224" s="540">
        <f t="shared" si="18"/>
        <v>1.7371414475517166E-2</v>
      </c>
      <c r="V224" s="540">
        <f t="shared" si="18"/>
        <v>1.6409828803776658E-2</v>
      </c>
      <c r="W224" s="540">
        <f t="shared" si="18"/>
        <v>1.5448243132036157E-2</v>
      </c>
      <c r="X224" s="540">
        <f t="shared" si="18"/>
        <v>1.4486657460295647E-2</v>
      </c>
      <c r="Y224" s="540">
        <f t="shared" si="18"/>
        <v>1.4486657460295647E-2</v>
      </c>
      <c r="Z224" s="540">
        <f t="shared" si="18"/>
        <v>1.4486657460295649E-2</v>
      </c>
      <c r="AA224" s="540">
        <f t="shared" si="18"/>
        <v>1.4486657460295645E-2</v>
      </c>
      <c r="AB224" s="540">
        <f t="shared" si="18"/>
        <v>1.4486657460295647E-2</v>
      </c>
      <c r="AC224" s="540">
        <f t="shared" si="18"/>
        <v>1.4486657460295644E-2</v>
      </c>
      <c r="AD224" s="540">
        <f t="shared" si="18"/>
        <v>1.4486657460295647E-2</v>
      </c>
      <c r="AE224" s="540">
        <f t="shared" si="18"/>
        <v>1.4486657460295649E-2</v>
      </c>
      <c r="AF224" s="540">
        <f t="shared" si="18"/>
        <v>1.4486657460295647E-2</v>
      </c>
      <c r="AG224" s="540">
        <f t="shared" si="18"/>
        <v>1.4486657460295649E-2</v>
      </c>
      <c r="AH224" s="540">
        <f t="shared" si="18"/>
        <v>1.4486657460295647E-2</v>
      </c>
      <c r="AI224" s="540">
        <f t="shared" si="18"/>
        <v>1.4486657460295647E-2</v>
      </c>
      <c r="AJ224" s="540">
        <f t="shared" si="18"/>
        <v>1.4486657460295647E-2</v>
      </c>
    </row>
    <row r="225" spans="1:38" x14ac:dyDescent="0.4">
      <c r="A225" s="644" t="s">
        <v>144</v>
      </c>
      <c r="B225" s="533" t="s">
        <v>1280</v>
      </c>
      <c r="C225" s="540">
        <f t="shared" ref="C225:AJ225" si="19">C185*$B$541</f>
        <v>3.3993082289156336E-3</v>
      </c>
      <c r="D225" s="540">
        <f t="shared" si="19"/>
        <v>3.3993082289156336E-3</v>
      </c>
      <c r="E225" s="540">
        <f t="shared" si="19"/>
        <v>3.399308228915634E-3</v>
      </c>
      <c r="F225" s="540">
        <f t="shared" si="19"/>
        <v>3.2885686485546769E-3</v>
      </c>
      <c r="G225" s="540">
        <f t="shared" si="19"/>
        <v>3.1778290681937198E-3</v>
      </c>
      <c r="H225" s="540">
        <f t="shared" si="19"/>
        <v>3.067089487832764E-3</v>
      </c>
      <c r="I225" s="540">
        <f t="shared" si="19"/>
        <v>2.9563499074718074E-3</v>
      </c>
      <c r="J225" s="540">
        <f t="shared" si="19"/>
        <v>2.8456103271108507E-3</v>
      </c>
      <c r="K225" s="540">
        <f t="shared" si="19"/>
        <v>2.734870746749894E-3</v>
      </c>
      <c r="L225" s="540">
        <f t="shared" si="19"/>
        <v>2.6241311663889369E-3</v>
      </c>
      <c r="M225" s="540">
        <f t="shared" si="19"/>
        <v>2.5133915860279799E-3</v>
      </c>
      <c r="N225" s="540">
        <f t="shared" si="19"/>
        <v>2.4026520056670241E-3</v>
      </c>
      <c r="O225" s="540">
        <f t="shared" si="19"/>
        <v>2.2919124253060674E-3</v>
      </c>
      <c r="P225" s="540">
        <f t="shared" si="19"/>
        <v>2.1811728449451103E-3</v>
      </c>
      <c r="Q225" s="540">
        <f t="shared" si="19"/>
        <v>2.0704332645841536E-3</v>
      </c>
      <c r="R225" s="540">
        <f t="shared" si="19"/>
        <v>1.959693684223197E-3</v>
      </c>
      <c r="S225" s="540">
        <f t="shared" si="19"/>
        <v>1.8489541038622403E-3</v>
      </c>
      <c r="T225" s="540">
        <f t="shared" si="19"/>
        <v>1.7382145235012841E-3</v>
      </c>
      <c r="U225" s="540">
        <f t="shared" si="19"/>
        <v>1.6274749431403276E-3</v>
      </c>
      <c r="V225" s="540">
        <f t="shared" si="19"/>
        <v>1.5167353627793705E-3</v>
      </c>
      <c r="W225" s="540">
        <f t="shared" si="19"/>
        <v>1.4059957824184143E-3</v>
      </c>
      <c r="X225" s="540">
        <f t="shared" si="19"/>
        <v>1.2952562020574574E-3</v>
      </c>
      <c r="Y225" s="540">
        <f t="shared" si="19"/>
        <v>1.2952562020574574E-3</v>
      </c>
      <c r="Z225" s="540">
        <f t="shared" si="19"/>
        <v>1.2952562020574574E-3</v>
      </c>
      <c r="AA225" s="540">
        <f t="shared" si="19"/>
        <v>1.2952562020574574E-3</v>
      </c>
      <c r="AB225" s="540">
        <f t="shared" si="19"/>
        <v>1.2952562020574574E-3</v>
      </c>
      <c r="AC225" s="540">
        <f t="shared" si="19"/>
        <v>1.2952562020574572E-3</v>
      </c>
      <c r="AD225" s="540">
        <f t="shared" si="19"/>
        <v>1.2952562020574572E-3</v>
      </c>
      <c r="AE225" s="540">
        <f t="shared" si="19"/>
        <v>1.2952562020574574E-3</v>
      </c>
      <c r="AF225" s="540">
        <f t="shared" si="19"/>
        <v>1.2952562020574574E-3</v>
      </c>
      <c r="AG225" s="540">
        <f t="shared" si="19"/>
        <v>1.2952562020574574E-3</v>
      </c>
      <c r="AH225" s="540">
        <f t="shared" si="19"/>
        <v>1.2952562020574574E-3</v>
      </c>
      <c r="AI225" s="540">
        <f t="shared" si="19"/>
        <v>1.2952562020574572E-3</v>
      </c>
      <c r="AJ225" s="540">
        <f t="shared" si="19"/>
        <v>1.2952562020574572E-3</v>
      </c>
    </row>
    <row r="226" spans="1:38" x14ac:dyDescent="0.4">
      <c r="A226" s="644" t="s">
        <v>145</v>
      </c>
      <c r="B226" s="533" t="s">
        <v>1280</v>
      </c>
      <c r="C226" s="540">
        <f t="shared" ref="C226:AJ226" si="20">C186*$B$541</f>
        <v>1.7908210200439585E-4</v>
      </c>
      <c r="D226" s="540">
        <f t="shared" si="20"/>
        <v>1.7908210200439587E-4</v>
      </c>
      <c r="E226" s="540">
        <f t="shared" si="20"/>
        <v>1.7908210200439587E-4</v>
      </c>
      <c r="F226" s="540">
        <f t="shared" si="20"/>
        <v>1.8349851771977315E-4</v>
      </c>
      <c r="G226" s="540">
        <f t="shared" si="20"/>
        <v>1.8791493343515048E-4</v>
      </c>
      <c r="H226" s="540">
        <f t="shared" si="20"/>
        <v>1.9233134915052776E-4</v>
      </c>
      <c r="I226" s="540">
        <f t="shared" si="20"/>
        <v>1.9674776486590506E-4</v>
      </c>
      <c r="J226" s="540">
        <f t="shared" si="20"/>
        <v>2.0116418058128234E-4</v>
      </c>
      <c r="K226" s="540">
        <f t="shared" si="20"/>
        <v>2.0558059629665964E-4</v>
      </c>
      <c r="L226" s="540">
        <f t="shared" si="20"/>
        <v>2.0999701201203694E-4</v>
      </c>
      <c r="M226" s="540">
        <f t="shared" si="20"/>
        <v>2.1441342772741427E-4</v>
      </c>
      <c r="N226" s="540">
        <f t="shared" si="20"/>
        <v>2.1882984344279155E-4</v>
      </c>
      <c r="O226" s="540">
        <f t="shared" si="20"/>
        <v>2.2324625915816885E-4</v>
      </c>
      <c r="P226" s="540">
        <f t="shared" si="20"/>
        <v>2.2766267487354616E-4</v>
      </c>
      <c r="Q226" s="540">
        <f t="shared" si="20"/>
        <v>2.3207909058892346E-4</v>
      </c>
      <c r="R226" s="540">
        <f t="shared" si="20"/>
        <v>2.3649550630430076E-4</v>
      </c>
      <c r="S226" s="540">
        <f t="shared" si="20"/>
        <v>2.4091192201967807E-4</v>
      </c>
      <c r="T226" s="540">
        <f t="shared" si="20"/>
        <v>2.4532833773505532E-4</v>
      </c>
      <c r="U226" s="540">
        <f t="shared" si="20"/>
        <v>2.4974475345043262E-4</v>
      </c>
      <c r="V226" s="540">
        <f t="shared" si="20"/>
        <v>2.5416116916580992E-4</v>
      </c>
      <c r="W226" s="540">
        <f t="shared" si="20"/>
        <v>2.5857758488118728E-4</v>
      </c>
      <c r="X226" s="540">
        <f t="shared" si="20"/>
        <v>2.6299400059656458E-4</v>
      </c>
      <c r="Y226" s="540">
        <f t="shared" si="20"/>
        <v>2.6299400059656447E-4</v>
      </c>
      <c r="Z226" s="540">
        <f t="shared" si="20"/>
        <v>2.6299400059656453E-4</v>
      </c>
      <c r="AA226" s="540">
        <f t="shared" si="20"/>
        <v>2.6299400059656458E-4</v>
      </c>
      <c r="AB226" s="540">
        <f t="shared" si="20"/>
        <v>2.6299400059656453E-4</v>
      </c>
      <c r="AC226" s="540">
        <f t="shared" si="20"/>
        <v>2.6299400059656458E-4</v>
      </c>
      <c r="AD226" s="540">
        <f t="shared" si="20"/>
        <v>2.6299400059656458E-4</v>
      </c>
      <c r="AE226" s="540">
        <f t="shared" si="20"/>
        <v>2.6299400059656453E-4</v>
      </c>
      <c r="AF226" s="540">
        <f t="shared" si="20"/>
        <v>2.6299400059656453E-4</v>
      </c>
      <c r="AG226" s="540">
        <f t="shared" si="20"/>
        <v>2.6299400059656453E-4</v>
      </c>
      <c r="AH226" s="540">
        <f t="shared" si="20"/>
        <v>2.6299400059656458E-4</v>
      </c>
      <c r="AI226" s="540">
        <f t="shared" si="20"/>
        <v>2.6299400059656458E-4</v>
      </c>
      <c r="AJ226" s="540">
        <f t="shared" si="20"/>
        <v>2.6299400059656458E-4</v>
      </c>
    </row>
    <row r="227" spans="1:38" x14ac:dyDescent="0.4">
      <c r="A227" s="645" t="s">
        <v>146</v>
      </c>
      <c r="B227" s="535" t="s">
        <v>1280</v>
      </c>
      <c r="C227" s="541">
        <f t="shared" ref="C227:AJ227" si="21">C187*$B$541</f>
        <v>4.898315275717483E-3</v>
      </c>
      <c r="D227" s="541">
        <f t="shared" si="21"/>
        <v>4.898315275717483E-3</v>
      </c>
      <c r="E227" s="541">
        <f t="shared" si="21"/>
        <v>4.898315275717483E-3</v>
      </c>
      <c r="F227" s="541">
        <f t="shared" si="21"/>
        <v>4.898315275717483E-3</v>
      </c>
      <c r="G227" s="541">
        <f t="shared" si="21"/>
        <v>4.898315275717483E-3</v>
      </c>
      <c r="H227" s="541">
        <f t="shared" si="21"/>
        <v>4.898315275717483E-3</v>
      </c>
      <c r="I227" s="541">
        <f t="shared" si="21"/>
        <v>4.8983152757174839E-3</v>
      </c>
      <c r="J227" s="541">
        <f t="shared" si="21"/>
        <v>4.8983152757174839E-3</v>
      </c>
      <c r="K227" s="541">
        <f t="shared" si="21"/>
        <v>4.898315275717483E-3</v>
      </c>
      <c r="L227" s="541">
        <f t="shared" si="21"/>
        <v>4.898315275717483E-3</v>
      </c>
      <c r="M227" s="541">
        <f t="shared" si="21"/>
        <v>4.8983152757174839E-3</v>
      </c>
      <c r="N227" s="541">
        <f t="shared" si="21"/>
        <v>4.898315275717483E-3</v>
      </c>
      <c r="O227" s="541">
        <f t="shared" si="21"/>
        <v>4.8983152757174839E-3</v>
      </c>
      <c r="P227" s="541">
        <f t="shared" si="21"/>
        <v>4.898315275717483E-3</v>
      </c>
      <c r="Q227" s="541">
        <f t="shared" si="21"/>
        <v>4.898315275717483E-3</v>
      </c>
      <c r="R227" s="541">
        <f t="shared" si="21"/>
        <v>4.898315275717483E-3</v>
      </c>
      <c r="S227" s="541">
        <f t="shared" si="21"/>
        <v>4.8983152757174839E-3</v>
      </c>
      <c r="T227" s="541">
        <f t="shared" si="21"/>
        <v>4.898315275717483E-3</v>
      </c>
      <c r="U227" s="541">
        <f t="shared" si="21"/>
        <v>4.8983152757174839E-3</v>
      </c>
      <c r="V227" s="541">
        <f t="shared" si="21"/>
        <v>4.8983152757174839E-3</v>
      </c>
      <c r="W227" s="541">
        <f t="shared" si="21"/>
        <v>4.898315275717483E-3</v>
      </c>
      <c r="X227" s="541">
        <f t="shared" si="21"/>
        <v>4.8983152757174839E-3</v>
      </c>
      <c r="Y227" s="541">
        <f t="shared" si="21"/>
        <v>4.8983152757174839E-3</v>
      </c>
      <c r="Z227" s="541">
        <f t="shared" si="21"/>
        <v>4.8983152757174839E-3</v>
      </c>
      <c r="AA227" s="541">
        <f t="shared" si="21"/>
        <v>4.8983152757174839E-3</v>
      </c>
      <c r="AB227" s="541">
        <f t="shared" si="21"/>
        <v>4.8983152757174839E-3</v>
      </c>
      <c r="AC227" s="541">
        <f t="shared" si="21"/>
        <v>4.8983152757174839E-3</v>
      </c>
      <c r="AD227" s="541">
        <f t="shared" si="21"/>
        <v>4.898315275717483E-3</v>
      </c>
      <c r="AE227" s="541">
        <f t="shared" si="21"/>
        <v>4.898315275717483E-3</v>
      </c>
      <c r="AF227" s="541">
        <f t="shared" si="21"/>
        <v>4.8983152757174839E-3</v>
      </c>
      <c r="AG227" s="541">
        <f t="shared" si="21"/>
        <v>4.8983152757174839E-3</v>
      </c>
      <c r="AH227" s="541">
        <f t="shared" si="21"/>
        <v>4.898315275717483E-3</v>
      </c>
      <c r="AI227" s="541">
        <f t="shared" si="21"/>
        <v>4.898315275717483E-3</v>
      </c>
      <c r="AJ227" s="541">
        <f t="shared" si="21"/>
        <v>4.898315275717483E-3</v>
      </c>
    </row>
    <row r="228" spans="1:38" x14ac:dyDescent="0.4">
      <c r="A228" s="570" t="s">
        <v>1063</v>
      </c>
      <c r="B228" s="581"/>
      <c r="C228" s="581"/>
      <c r="D228" s="581"/>
      <c r="E228" s="581"/>
      <c r="F228" s="581"/>
      <c r="G228" s="581"/>
      <c r="H228" s="581"/>
      <c r="I228" s="581"/>
      <c r="J228" s="581"/>
      <c r="K228" s="581"/>
      <c r="L228" s="581"/>
      <c r="M228" s="581"/>
      <c r="N228" s="581"/>
      <c r="O228" s="581"/>
      <c r="P228" s="581"/>
      <c r="Q228" s="581"/>
      <c r="R228" s="581"/>
      <c r="S228" s="581"/>
      <c r="T228" s="581"/>
      <c r="U228" s="581"/>
      <c r="V228" s="581"/>
      <c r="W228" s="581"/>
      <c r="X228" s="581"/>
      <c r="Y228" s="581"/>
      <c r="Z228" s="581"/>
      <c r="AA228" s="581"/>
      <c r="AB228" s="581"/>
      <c r="AC228" s="581"/>
      <c r="AD228" s="581"/>
      <c r="AE228" s="581"/>
      <c r="AF228" s="581"/>
      <c r="AG228" s="581"/>
      <c r="AH228" s="581"/>
      <c r="AI228" s="581"/>
      <c r="AJ228" s="581"/>
    </row>
    <row r="229" spans="1:38" x14ac:dyDescent="0.4">
      <c r="A229" s="581"/>
      <c r="B229" s="581"/>
      <c r="C229" s="589"/>
      <c r="D229" s="589"/>
      <c r="E229" s="589"/>
      <c r="F229" s="589"/>
      <c r="G229" s="589"/>
      <c r="H229" s="589"/>
      <c r="I229" s="589"/>
      <c r="J229" s="589"/>
      <c r="K229" s="589"/>
      <c r="L229" s="589"/>
      <c r="M229" s="589"/>
      <c r="N229" s="589"/>
      <c r="O229" s="589"/>
      <c r="P229" s="589"/>
      <c r="Q229" s="589"/>
      <c r="R229" s="589"/>
      <c r="S229" s="589"/>
      <c r="T229" s="589"/>
      <c r="U229" s="589"/>
      <c r="V229" s="589"/>
      <c r="W229" s="589"/>
      <c r="X229" s="589"/>
      <c r="Y229" s="589"/>
      <c r="Z229" s="589"/>
      <c r="AA229" s="589"/>
      <c r="AB229" s="589"/>
      <c r="AC229" s="589"/>
      <c r="AD229" s="589"/>
      <c r="AE229" s="589"/>
      <c r="AF229" s="589"/>
      <c r="AG229" s="589"/>
      <c r="AH229" s="589"/>
      <c r="AI229" s="589"/>
      <c r="AJ229" s="589"/>
    </row>
    <row r="230" spans="1:38" ht="17" x14ac:dyDescent="0.4">
      <c r="A230" s="659" t="s">
        <v>1451</v>
      </c>
      <c r="B230" s="581"/>
      <c r="C230" s="589"/>
      <c r="D230" s="589"/>
      <c r="E230" s="589"/>
      <c r="F230" s="589"/>
      <c r="G230" s="589"/>
      <c r="H230" s="589"/>
      <c r="I230" s="589"/>
      <c r="J230" s="589"/>
      <c r="K230" s="589"/>
      <c r="L230" s="589"/>
      <c r="M230" s="589"/>
      <c r="N230" s="589"/>
      <c r="O230" s="589"/>
      <c r="P230" s="589"/>
      <c r="Q230" s="589"/>
      <c r="R230" s="589"/>
      <c r="S230" s="589"/>
      <c r="T230" s="589"/>
      <c r="U230" s="589"/>
      <c r="V230" s="589"/>
      <c r="W230" s="589"/>
      <c r="X230" s="589"/>
      <c r="Y230" s="589"/>
      <c r="Z230" s="589"/>
      <c r="AA230" s="589"/>
      <c r="AB230" s="589"/>
      <c r="AC230" s="589"/>
      <c r="AD230" s="589"/>
      <c r="AE230" s="589"/>
      <c r="AF230" s="589"/>
      <c r="AG230" s="589"/>
      <c r="AH230" s="589"/>
      <c r="AI230" s="589"/>
      <c r="AJ230" s="589"/>
    </row>
    <row r="231" spans="1:38" s="28" customFormat="1" x14ac:dyDescent="0.4">
      <c r="A231" s="42" t="s">
        <v>795</v>
      </c>
      <c r="B231" s="1198" t="s">
        <v>136</v>
      </c>
      <c r="C231" s="1128" t="s">
        <v>391</v>
      </c>
      <c r="D231" s="1128" t="s">
        <v>392</v>
      </c>
      <c r="E231" s="1128" t="s">
        <v>393</v>
      </c>
      <c r="F231" s="1128" t="s">
        <v>394</v>
      </c>
      <c r="G231" s="1128" t="s">
        <v>395</v>
      </c>
      <c r="H231" s="1128" t="s">
        <v>396</v>
      </c>
      <c r="I231" s="1128" t="s">
        <v>397</v>
      </c>
      <c r="J231" s="1128" t="s">
        <v>398</v>
      </c>
      <c r="K231" s="1128" t="s">
        <v>399</v>
      </c>
      <c r="L231" s="1128" t="s">
        <v>400</v>
      </c>
      <c r="M231" s="1128" t="s">
        <v>401</v>
      </c>
      <c r="N231" s="1128" t="s">
        <v>402</v>
      </c>
      <c r="O231" s="1128" t="s">
        <v>403</v>
      </c>
      <c r="P231" s="1128" t="s">
        <v>404</v>
      </c>
      <c r="Q231" s="1128" t="s">
        <v>405</v>
      </c>
      <c r="R231" s="1128" t="s">
        <v>406</v>
      </c>
      <c r="S231" s="1128" t="s">
        <v>407</v>
      </c>
      <c r="T231" s="1128" t="s">
        <v>408</v>
      </c>
      <c r="U231" s="1128" t="s">
        <v>409</v>
      </c>
      <c r="V231" s="1128" t="s">
        <v>410</v>
      </c>
      <c r="W231" s="1128" t="s">
        <v>411</v>
      </c>
      <c r="X231" s="1128" t="s">
        <v>412</v>
      </c>
      <c r="Y231" s="1128" t="s">
        <v>413</v>
      </c>
      <c r="Z231" s="1128" t="s">
        <v>414</v>
      </c>
      <c r="AA231" s="1128" t="s">
        <v>415</v>
      </c>
      <c r="AB231" s="1128" t="s">
        <v>416</v>
      </c>
      <c r="AC231" s="1128" t="s">
        <v>417</v>
      </c>
      <c r="AD231" s="1128" t="s">
        <v>418</v>
      </c>
      <c r="AE231" s="1128" t="s">
        <v>419</v>
      </c>
      <c r="AF231" s="1128" t="s">
        <v>420</v>
      </c>
      <c r="AG231" s="1128" t="s">
        <v>421</v>
      </c>
      <c r="AH231" s="1128" t="s">
        <v>422</v>
      </c>
      <c r="AI231" s="1128" t="s">
        <v>423</v>
      </c>
      <c r="AJ231" s="1128" t="s">
        <v>424</v>
      </c>
      <c r="AK231" s="3"/>
      <c r="AL231" s="3"/>
    </row>
    <row r="232" spans="1:38" x14ac:dyDescent="0.4">
      <c r="A232" s="646" t="s">
        <v>993</v>
      </c>
      <c r="B232" s="532" t="s">
        <v>1281</v>
      </c>
      <c r="C232" s="542">
        <f t="shared" ref="C232:AJ232" si="22">C192*$B$541</f>
        <v>30.335424480000007</v>
      </c>
      <c r="D232" s="542">
        <f t="shared" si="22"/>
        <v>30.33542448</v>
      </c>
      <c r="E232" s="542">
        <f t="shared" si="22"/>
        <v>30.335424479999997</v>
      </c>
      <c r="F232" s="542">
        <f t="shared" si="22"/>
        <v>28.851597587368421</v>
      </c>
      <c r="G232" s="542">
        <f t="shared" si="22"/>
        <v>27.367770694736841</v>
      </c>
      <c r="H232" s="542">
        <f t="shared" si="22"/>
        <v>25.883943802105264</v>
      </c>
      <c r="I232" s="542">
        <f t="shared" si="22"/>
        <v>24.400116909473685</v>
      </c>
      <c r="J232" s="542">
        <f t="shared" si="22"/>
        <v>22.916290016842108</v>
      </c>
      <c r="K232" s="542">
        <f t="shared" si="22"/>
        <v>21.432463124210525</v>
      </c>
      <c r="L232" s="542">
        <f t="shared" si="22"/>
        <v>19.948636231578945</v>
      </c>
      <c r="M232" s="542">
        <f t="shared" si="22"/>
        <v>18.464809338947365</v>
      </c>
      <c r="N232" s="542">
        <f t="shared" si="22"/>
        <v>16.980982446315789</v>
      </c>
      <c r="O232" s="542">
        <f t="shared" si="22"/>
        <v>15.497155553684212</v>
      </c>
      <c r="P232" s="542">
        <f t="shared" si="22"/>
        <v>14.013328661052631</v>
      </c>
      <c r="Q232" s="542">
        <f t="shared" si="22"/>
        <v>12.529501768421058</v>
      </c>
      <c r="R232" s="542">
        <f t="shared" si="22"/>
        <v>11.045674875789473</v>
      </c>
      <c r="S232" s="542">
        <f t="shared" si="22"/>
        <v>9.5618479831578949</v>
      </c>
      <c r="T232" s="542">
        <f t="shared" si="22"/>
        <v>8.078021090526315</v>
      </c>
      <c r="U232" s="542">
        <f t="shared" si="22"/>
        <v>6.5941941978947352</v>
      </c>
      <c r="V232" s="542">
        <f t="shared" si="22"/>
        <v>5.1103673052631571</v>
      </c>
      <c r="W232" s="542">
        <f t="shared" si="22"/>
        <v>3.6265404126315777</v>
      </c>
      <c r="X232" s="542">
        <f t="shared" si="22"/>
        <v>2.14271352</v>
      </c>
      <c r="Y232" s="542">
        <f t="shared" si="22"/>
        <v>2.14271352</v>
      </c>
      <c r="Z232" s="542">
        <f t="shared" si="22"/>
        <v>2.14271352</v>
      </c>
      <c r="AA232" s="542">
        <f t="shared" si="22"/>
        <v>2.14271352</v>
      </c>
      <c r="AB232" s="542">
        <f t="shared" si="22"/>
        <v>2.14271352</v>
      </c>
      <c r="AC232" s="542">
        <f t="shared" si="22"/>
        <v>2.14271352</v>
      </c>
      <c r="AD232" s="542">
        <f t="shared" si="22"/>
        <v>2.14271352</v>
      </c>
      <c r="AE232" s="542">
        <f t="shared" si="22"/>
        <v>2.14271352</v>
      </c>
      <c r="AF232" s="542">
        <f t="shared" si="22"/>
        <v>2.14271352</v>
      </c>
      <c r="AG232" s="542">
        <f t="shared" si="22"/>
        <v>2.1427135200000005</v>
      </c>
      <c r="AH232" s="542">
        <f t="shared" si="22"/>
        <v>2.1427135199999996</v>
      </c>
      <c r="AI232" s="542">
        <f t="shared" si="22"/>
        <v>2.1427135200000005</v>
      </c>
      <c r="AJ232" s="542">
        <f t="shared" si="22"/>
        <v>2.1427135200000005</v>
      </c>
    </row>
    <row r="233" spans="1:38" x14ac:dyDescent="0.4">
      <c r="A233" s="644" t="s">
        <v>994</v>
      </c>
      <c r="B233" s="532" t="s">
        <v>1281</v>
      </c>
      <c r="C233" s="542">
        <f t="shared" ref="C233:AJ233" si="23">C193*$B$541</f>
        <v>16.129402560000003</v>
      </c>
      <c r="D233" s="542">
        <f t="shared" si="23"/>
        <v>16.129402559999999</v>
      </c>
      <c r="E233" s="542">
        <f t="shared" si="23"/>
        <v>16.129402559999999</v>
      </c>
      <c r="F233" s="542">
        <f t="shared" si="23"/>
        <v>15.332877890526314</v>
      </c>
      <c r="G233" s="542">
        <f t="shared" si="23"/>
        <v>14.536353221052629</v>
      </c>
      <c r="H233" s="542">
        <f t="shared" si="23"/>
        <v>13.739828551578947</v>
      </c>
      <c r="I233" s="542">
        <f t="shared" si="23"/>
        <v>12.943303882105262</v>
      </c>
      <c r="J233" s="542">
        <f t="shared" si="23"/>
        <v>12.146779212631577</v>
      </c>
      <c r="K233" s="542">
        <f t="shared" si="23"/>
        <v>11.350254543157893</v>
      </c>
      <c r="L233" s="542">
        <f t="shared" si="23"/>
        <v>10.553729873684212</v>
      </c>
      <c r="M233" s="542">
        <f t="shared" si="23"/>
        <v>9.7572052042105266</v>
      </c>
      <c r="N233" s="542">
        <f t="shared" si="23"/>
        <v>8.9606805347368415</v>
      </c>
      <c r="O233" s="542">
        <f t="shared" si="23"/>
        <v>8.1641558652631598</v>
      </c>
      <c r="P233" s="542">
        <f t="shared" si="23"/>
        <v>7.367631195789472</v>
      </c>
      <c r="Q233" s="542">
        <f t="shared" si="23"/>
        <v>6.5711065263157886</v>
      </c>
      <c r="R233" s="542">
        <f t="shared" si="23"/>
        <v>5.7745818568421061</v>
      </c>
      <c r="S233" s="542">
        <f t="shared" si="23"/>
        <v>4.9780571873684218</v>
      </c>
      <c r="T233" s="542">
        <f t="shared" si="23"/>
        <v>4.1815325178947367</v>
      </c>
      <c r="U233" s="542">
        <f t="shared" si="23"/>
        <v>3.3850078484210537</v>
      </c>
      <c r="V233" s="542">
        <f t="shared" si="23"/>
        <v>2.5884831789473699</v>
      </c>
      <c r="W233" s="542">
        <f t="shared" si="23"/>
        <v>1.7919585094736841</v>
      </c>
      <c r="X233" s="542">
        <f t="shared" si="23"/>
        <v>0.99543384000000001</v>
      </c>
      <c r="Y233" s="542">
        <f t="shared" si="23"/>
        <v>0.99543384000000001</v>
      </c>
      <c r="Z233" s="542">
        <f t="shared" si="23"/>
        <v>0.99543384000000013</v>
      </c>
      <c r="AA233" s="542">
        <f t="shared" si="23"/>
        <v>0.9954338399999999</v>
      </c>
      <c r="AB233" s="542">
        <f t="shared" si="23"/>
        <v>0.99543384000000001</v>
      </c>
      <c r="AC233" s="542">
        <f t="shared" si="23"/>
        <v>0.99543384000000013</v>
      </c>
      <c r="AD233" s="542">
        <f t="shared" si="23"/>
        <v>0.99543383999999979</v>
      </c>
      <c r="AE233" s="542">
        <f t="shared" si="23"/>
        <v>0.99543384000000001</v>
      </c>
      <c r="AF233" s="542">
        <f t="shared" si="23"/>
        <v>0.99543384000000001</v>
      </c>
      <c r="AG233" s="542">
        <f t="shared" si="23"/>
        <v>0.9954338399999999</v>
      </c>
      <c r="AH233" s="542">
        <f t="shared" si="23"/>
        <v>0.9954338399999999</v>
      </c>
      <c r="AI233" s="542">
        <f t="shared" si="23"/>
        <v>0.99543384000000001</v>
      </c>
      <c r="AJ233" s="542">
        <f t="shared" si="23"/>
        <v>0.99543384000000001</v>
      </c>
    </row>
    <row r="234" spans="1:38" x14ac:dyDescent="0.4">
      <c r="A234" s="644" t="s">
        <v>995</v>
      </c>
      <c r="B234" s="532" t="s">
        <v>1281</v>
      </c>
      <c r="C234" s="542">
        <f t="shared" ref="C234:AJ234" si="24">C194*$B$541</f>
        <v>0.72717285600000003</v>
      </c>
      <c r="D234" s="542">
        <f t="shared" si="24"/>
        <v>0.72717285599999992</v>
      </c>
      <c r="E234" s="542">
        <f t="shared" si="24"/>
        <v>0.72717285599999992</v>
      </c>
      <c r="F234" s="542">
        <f t="shared" si="24"/>
        <v>0.72717285599999992</v>
      </c>
      <c r="G234" s="542">
        <f t="shared" si="24"/>
        <v>0.72717285599999992</v>
      </c>
      <c r="H234" s="542">
        <f t="shared" si="24"/>
        <v>0.72717285600000003</v>
      </c>
      <c r="I234" s="542">
        <f t="shared" si="24"/>
        <v>0.72717285599999992</v>
      </c>
      <c r="J234" s="542">
        <f t="shared" si="24"/>
        <v>0.72717285599999992</v>
      </c>
      <c r="K234" s="542">
        <f t="shared" si="24"/>
        <v>0.72717285599999992</v>
      </c>
      <c r="L234" s="542">
        <f t="shared" si="24"/>
        <v>0.72717285599999992</v>
      </c>
      <c r="M234" s="542">
        <f t="shared" si="24"/>
        <v>0.72717285599999992</v>
      </c>
      <c r="N234" s="542">
        <f t="shared" si="24"/>
        <v>0.72717285599999992</v>
      </c>
      <c r="O234" s="542">
        <f t="shared" si="24"/>
        <v>0.72717285599999992</v>
      </c>
      <c r="P234" s="542">
        <f t="shared" si="24"/>
        <v>0.72717285599999981</v>
      </c>
      <c r="Q234" s="542">
        <f t="shared" si="24"/>
        <v>0.72717285599999992</v>
      </c>
      <c r="R234" s="542">
        <f t="shared" si="24"/>
        <v>0.72717285599999992</v>
      </c>
      <c r="S234" s="542">
        <f t="shared" si="24"/>
        <v>0.72717285599999992</v>
      </c>
      <c r="T234" s="542">
        <f t="shared" si="24"/>
        <v>0.72717285599999981</v>
      </c>
      <c r="U234" s="542">
        <f t="shared" si="24"/>
        <v>0.72717285599999992</v>
      </c>
      <c r="V234" s="542">
        <f t="shared" si="24"/>
        <v>0.72717285599999992</v>
      </c>
      <c r="W234" s="542">
        <f t="shared" si="24"/>
        <v>0.72717285599999992</v>
      </c>
      <c r="X234" s="542">
        <f t="shared" si="24"/>
        <v>0.72717285599999992</v>
      </c>
      <c r="Y234" s="542">
        <f t="shared" si="24"/>
        <v>0.72717285599999992</v>
      </c>
      <c r="Z234" s="542">
        <f t="shared" si="24"/>
        <v>0.72717285599999992</v>
      </c>
      <c r="AA234" s="542">
        <f t="shared" si="24"/>
        <v>0.72717285599999981</v>
      </c>
      <c r="AB234" s="542">
        <f t="shared" si="24"/>
        <v>0.72717285600000003</v>
      </c>
      <c r="AC234" s="542">
        <f t="shared" si="24"/>
        <v>0.72717285599999992</v>
      </c>
      <c r="AD234" s="542">
        <f t="shared" si="24"/>
        <v>0.72717285599999992</v>
      </c>
      <c r="AE234" s="542">
        <f t="shared" si="24"/>
        <v>0.72717285599999981</v>
      </c>
      <c r="AF234" s="542">
        <f t="shared" si="24"/>
        <v>0.72717285600000003</v>
      </c>
      <c r="AG234" s="542">
        <f t="shared" si="24"/>
        <v>0.72717285599999992</v>
      </c>
      <c r="AH234" s="542">
        <f t="shared" si="24"/>
        <v>0.72717285600000003</v>
      </c>
      <c r="AI234" s="542">
        <f t="shared" si="24"/>
        <v>0.72717285599999992</v>
      </c>
      <c r="AJ234" s="542">
        <f t="shared" si="24"/>
        <v>0.72717285599999992</v>
      </c>
    </row>
    <row r="235" spans="1:38" x14ac:dyDescent="0.4">
      <c r="A235" s="644" t="s">
        <v>148</v>
      </c>
      <c r="B235" s="532" t="s">
        <v>1281</v>
      </c>
      <c r="C235" s="542">
        <f t="shared" ref="C235:AJ235" si="25">C195*$B$541</f>
        <v>27.315379440000001</v>
      </c>
      <c r="D235" s="542">
        <f t="shared" si="25"/>
        <v>27.315379440000005</v>
      </c>
      <c r="E235" s="542">
        <f t="shared" si="25"/>
        <v>27.315379440000001</v>
      </c>
      <c r="F235" s="542">
        <f t="shared" si="25"/>
        <v>25.92345924</v>
      </c>
      <c r="G235" s="542">
        <f t="shared" si="25"/>
        <v>24.531539039999998</v>
      </c>
      <c r="H235" s="542">
        <f t="shared" si="25"/>
        <v>23.139618840000001</v>
      </c>
      <c r="I235" s="542">
        <f t="shared" si="25"/>
        <v>21.747698639999999</v>
      </c>
      <c r="J235" s="542">
        <f t="shared" si="25"/>
        <v>20.355778440000002</v>
      </c>
      <c r="K235" s="542">
        <f t="shared" si="25"/>
        <v>18.96385824</v>
      </c>
      <c r="L235" s="542">
        <f t="shared" si="25"/>
        <v>17.571938039999999</v>
      </c>
      <c r="M235" s="542">
        <f t="shared" si="25"/>
        <v>16.180017839999998</v>
      </c>
      <c r="N235" s="542">
        <f t="shared" si="25"/>
        <v>14.788097639999998</v>
      </c>
      <c r="O235" s="542">
        <f t="shared" si="25"/>
        <v>13.396177440000002</v>
      </c>
      <c r="P235" s="542">
        <f t="shared" si="25"/>
        <v>12.004257240000003</v>
      </c>
      <c r="Q235" s="542">
        <f t="shared" si="25"/>
        <v>10.612337040000002</v>
      </c>
      <c r="R235" s="542">
        <f t="shared" si="25"/>
        <v>9.2204168400000022</v>
      </c>
      <c r="S235" s="542">
        <f t="shared" si="25"/>
        <v>7.8284966400000018</v>
      </c>
      <c r="T235" s="542">
        <f t="shared" si="25"/>
        <v>6.4365764400000005</v>
      </c>
      <c r="U235" s="542">
        <f t="shared" si="25"/>
        <v>5.044656240000001</v>
      </c>
      <c r="V235" s="542">
        <f t="shared" si="25"/>
        <v>3.6527360400000011</v>
      </c>
      <c r="W235" s="542">
        <f t="shared" si="25"/>
        <v>2.2608158400000007</v>
      </c>
      <c r="X235" s="542">
        <f t="shared" si="25"/>
        <v>0.86889564000000008</v>
      </c>
      <c r="Y235" s="542">
        <f t="shared" si="25"/>
        <v>0.86889564000000008</v>
      </c>
      <c r="Z235" s="542">
        <f t="shared" si="25"/>
        <v>0.86889564000000008</v>
      </c>
      <c r="AA235" s="542">
        <f t="shared" si="25"/>
        <v>0.86889564000000008</v>
      </c>
      <c r="AB235" s="542">
        <f t="shared" si="25"/>
        <v>0.86889564000000008</v>
      </c>
      <c r="AC235" s="542">
        <f t="shared" si="25"/>
        <v>0.86889563999999997</v>
      </c>
      <c r="AD235" s="542">
        <f t="shared" si="25"/>
        <v>0.86889563999999997</v>
      </c>
      <c r="AE235" s="542">
        <f t="shared" si="25"/>
        <v>0.86889564000000008</v>
      </c>
      <c r="AF235" s="542">
        <f t="shared" si="25"/>
        <v>0.86889564000000008</v>
      </c>
      <c r="AG235" s="542">
        <f t="shared" si="25"/>
        <v>0.86889563999999997</v>
      </c>
      <c r="AH235" s="542">
        <f t="shared" si="25"/>
        <v>0.86889564000000019</v>
      </c>
      <c r="AI235" s="542">
        <f t="shared" si="25"/>
        <v>0.86889564000000008</v>
      </c>
      <c r="AJ235" s="542">
        <f t="shared" si="25"/>
        <v>0.86889564000000008</v>
      </c>
    </row>
    <row r="236" spans="1:38" x14ac:dyDescent="0.4">
      <c r="A236" s="644" t="s">
        <v>149</v>
      </c>
      <c r="B236" s="532" t="s">
        <v>1281</v>
      </c>
      <c r="C236" s="542">
        <f t="shared" ref="C236:AJ236" si="26">C196*$B$541</f>
        <v>0.21933287999999998</v>
      </c>
      <c r="D236" s="542">
        <f t="shared" si="26"/>
        <v>0.21933288000000004</v>
      </c>
      <c r="E236" s="542">
        <f t="shared" si="26"/>
        <v>0.21933287999999998</v>
      </c>
      <c r="F236" s="542">
        <f t="shared" si="26"/>
        <v>0.21045300631578948</v>
      </c>
      <c r="G236" s="542">
        <f t="shared" si="26"/>
        <v>0.20157313263157892</v>
      </c>
      <c r="H236" s="542">
        <f t="shared" si="26"/>
        <v>0.19269325894736844</v>
      </c>
      <c r="I236" s="542">
        <f t="shared" si="26"/>
        <v>0.18381338526315788</v>
      </c>
      <c r="J236" s="542">
        <f t="shared" si="26"/>
        <v>0.1749335115789474</v>
      </c>
      <c r="K236" s="542">
        <f t="shared" si="26"/>
        <v>0.16605363789473682</v>
      </c>
      <c r="L236" s="542">
        <f t="shared" si="26"/>
        <v>0.15717376421052631</v>
      </c>
      <c r="M236" s="542">
        <f t="shared" si="26"/>
        <v>0.14829389052631578</v>
      </c>
      <c r="N236" s="542">
        <f t="shared" si="26"/>
        <v>0.1394140168421053</v>
      </c>
      <c r="O236" s="542">
        <f t="shared" si="26"/>
        <v>0.13053414315789474</v>
      </c>
      <c r="P236" s="542">
        <f t="shared" si="26"/>
        <v>0.12165426947368423</v>
      </c>
      <c r="Q236" s="542">
        <f t="shared" si="26"/>
        <v>0.11277439578947369</v>
      </c>
      <c r="R236" s="542">
        <f t="shared" si="26"/>
        <v>0.10389452210526318</v>
      </c>
      <c r="S236" s="542">
        <f t="shared" si="26"/>
        <v>9.5014648421052644E-2</v>
      </c>
      <c r="T236" s="542">
        <f t="shared" si="26"/>
        <v>8.6134774736842112E-2</v>
      </c>
      <c r="U236" s="542">
        <f t="shared" si="26"/>
        <v>7.7254901052631594E-2</v>
      </c>
      <c r="V236" s="542">
        <f t="shared" si="26"/>
        <v>6.8375027368421076E-2</v>
      </c>
      <c r="W236" s="542">
        <f t="shared" si="26"/>
        <v>5.9495153684210544E-2</v>
      </c>
      <c r="X236" s="542">
        <f t="shared" si="26"/>
        <v>5.0615279999999999E-2</v>
      </c>
      <c r="Y236" s="542">
        <f t="shared" si="26"/>
        <v>5.0615279999999999E-2</v>
      </c>
      <c r="Z236" s="542">
        <f t="shared" si="26"/>
        <v>5.0615279999999999E-2</v>
      </c>
      <c r="AA236" s="542">
        <f t="shared" si="26"/>
        <v>5.0615279999999999E-2</v>
      </c>
      <c r="AB236" s="542">
        <f t="shared" si="26"/>
        <v>5.0615279999999992E-2</v>
      </c>
      <c r="AC236" s="542">
        <f t="shared" si="26"/>
        <v>5.0615279999999999E-2</v>
      </c>
      <c r="AD236" s="542">
        <f t="shared" si="26"/>
        <v>5.0615279999999999E-2</v>
      </c>
      <c r="AE236" s="542">
        <f t="shared" si="26"/>
        <v>5.0615279999999999E-2</v>
      </c>
      <c r="AF236" s="542">
        <f t="shared" si="26"/>
        <v>5.0615279999999999E-2</v>
      </c>
      <c r="AG236" s="542">
        <f t="shared" si="26"/>
        <v>5.0615279999999992E-2</v>
      </c>
      <c r="AH236" s="542">
        <f t="shared" si="26"/>
        <v>5.0615279999999999E-2</v>
      </c>
      <c r="AI236" s="542">
        <f t="shared" si="26"/>
        <v>5.0615279999999999E-2</v>
      </c>
      <c r="AJ236" s="542">
        <f t="shared" si="26"/>
        <v>5.0615279999999999E-2</v>
      </c>
    </row>
    <row r="237" spans="1:38" x14ac:dyDescent="0.4">
      <c r="A237" s="644" t="s">
        <v>150</v>
      </c>
      <c r="B237" s="532" t="s">
        <v>1281</v>
      </c>
      <c r="C237" s="542">
        <f t="shared" ref="C237:AJ237" si="27">C197*$B$541</f>
        <v>6.8330627999999987</v>
      </c>
      <c r="D237" s="542">
        <f t="shared" si="27"/>
        <v>6.8330627999999995</v>
      </c>
      <c r="E237" s="542">
        <f t="shared" si="27"/>
        <v>6.8330627999999987</v>
      </c>
      <c r="F237" s="542">
        <f t="shared" si="27"/>
        <v>6.4809758084210518</v>
      </c>
      <c r="G237" s="542">
        <f t="shared" si="27"/>
        <v>6.1288888168421058</v>
      </c>
      <c r="H237" s="542">
        <f t="shared" si="27"/>
        <v>5.7768018252631572</v>
      </c>
      <c r="I237" s="542">
        <f t="shared" si="27"/>
        <v>5.4247148336842113</v>
      </c>
      <c r="J237" s="542">
        <f t="shared" si="27"/>
        <v>5.0726278421052644</v>
      </c>
      <c r="K237" s="542">
        <f t="shared" si="27"/>
        <v>4.7205408505263158</v>
      </c>
      <c r="L237" s="542">
        <f t="shared" si="27"/>
        <v>4.368453858947368</v>
      </c>
      <c r="M237" s="542">
        <f t="shared" si="27"/>
        <v>4.0163668673684212</v>
      </c>
      <c r="N237" s="542">
        <f t="shared" si="27"/>
        <v>3.6642798757894735</v>
      </c>
      <c r="O237" s="542">
        <f t="shared" si="27"/>
        <v>3.312192884210527</v>
      </c>
      <c r="P237" s="542">
        <f t="shared" si="27"/>
        <v>2.9601058926315802</v>
      </c>
      <c r="Q237" s="542">
        <f t="shared" si="27"/>
        <v>2.608018901052632</v>
      </c>
      <c r="R237" s="542">
        <f t="shared" si="27"/>
        <v>2.2559319094736847</v>
      </c>
      <c r="S237" s="542">
        <f t="shared" si="27"/>
        <v>1.9038449178947374</v>
      </c>
      <c r="T237" s="542">
        <f t="shared" si="27"/>
        <v>1.5517579263157901</v>
      </c>
      <c r="U237" s="542">
        <f t="shared" si="27"/>
        <v>1.1996709347368428</v>
      </c>
      <c r="V237" s="542">
        <f t="shared" si="27"/>
        <v>0.84758394315789531</v>
      </c>
      <c r="W237" s="542">
        <f t="shared" si="27"/>
        <v>0.49549695157894774</v>
      </c>
      <c r="X237" s="542">
        <f t="shared" si="27"/>
        <v>0.14340995999999998</v>
      </c>
      <c r="Y237" s="542">
        <f t="shared" si="27"/>
        <v>0.14340995999999998</v>
      </c>
      <c r="Z237" s="542">
        <f t="shared" si="27"/>
        <v>0.14340995999999998</v>
      </c>
      <c r="AA237" s="542">
        <f t="shared" si="27"/>
        <v>0.14340995999999998</v>
      </c>
      <c r="AB237" s="542">
        <f t="shared" si="27"/>
        <v>0.14340995999999998</v>
      </c>
      <c r="AC237" s="542">
        <f t="shared" si="27"/>
        <v>0.14340995999999998</v>
      </c>
      <c r="AD237" s="542">
        <f t="shared" si="27"/>
        <v>0.14340995999999998</v>
      </c>
      <c r="AE237" s="542">
        <f t="shared" si="27"/>
        <v>0.14340995999999998</v>
      </c>
      <c r="AF237" s="542">
        <f t="shared" si="27"/>
        <v>0.14340995999999998</v>
      </c>
      <c r="AG237" s="542">
        <f t="shared" si="27"/>
        <v>0.14340995999999998</v>
      </c>
      <c r="AH237" s="542">
        <f t="shared" si="27"/>
        <v>0.14340995999999998</v>
      </c>
      <c r="AI237" s="542">
        <f t="shared" si="27"/>
        <v>0.14340996</v>
      </c>
      <c r="AJ237" s="542">
        <f t="shared" si="27"/>
        <v>0.14340996</v>
      </c>
    </row>
    <row r="238" spans="1:38" x14ac:dyDescent="0.4">
      <c r="A238" s="644" t="s">
        <v>151</v>
      </c>
      <c r="B238" s="532" t="s">
        <v>1281</v>
      </c>
      <c r="C238" s="542">
        <f t="shared" ref="C238:AJ238" si="28">C198*$B$541</f>
        <v>3.0369167999999998E-2</v>
      </c>
      <c r="D238" s="542">
        <f t="shared" si="28"/>
        <v>3.0369167999999998E-2</v>
      </c>
      <c r="E238" s="542">
        <f t="shared" si="28"/>
        <v>3.0369168000000002E-2</v>
      </c>
      <c r="F238" s="542">
        <f t="shared" si="28"/>
        <v>3.1434752842105257E-2</v>
      </c>
      <c r="G238" s="542">
        <f t="shared" si="28"/>
        <v>3.2500337684210519E-2</v>
      </c>
      <c r="H238" s="542">
        <f t="shared" si="28"/>
        <v>3.3565922526315788E-2</v>
      </c>
      <c r="I238" s="542">
        <f t="shared" si="28"/>
        <v>3.4631507368421049E-2</v>
      </c>
      <c r="J238" s="542">
        <f t="shared" si="28"/>
        <v>3.5697092210526304E-2</v>
      </c>
      <c r="K238" s="542">
        <f t="shared" si="28"/>
        <v>3.676267705263158E-2</v>
      </c>
      <c r="L238" s="542">
        <f t="shared" si="28"/>
        <v>3.7828261894736842E-2</v>
      </c>
      <c r="M238" s="542">
        <f t="shared" si="28"/>
        <v>3.8893846736842118E-2</v>
      </c>
      <c r="N238" s="542">
        <f t="shared" si="28"/>
        <v>3.9959431578947359E-2</v>
      </c>
      <c r="O238" s="542">
        <f t="shared" si="28"/>
        <v>4.1025016421052628E-2</v>
      </c>
      <c r="P238" s="542">
        <f t="shared" si="28"/>
        <v>4.209060126315789E-2</v>
      </c>
      <c r="Q238" s="542">
        <f t="shared" si="28"/>
        <v>4.3156186105263158E-2</v>
      </c>
      <c r="R238" s="542">
        <f t="shared" si="28"/>
        <v>4.422177094736842E-2</v>
      </c>
      <c r="S238" s="542">
        <f t="shared" si="28"/>
        <v>4.5287355789473682E-2</v>
      </c>
      <c r="T238" s="542">
        <f t="shared" si="28"/>
        <v>4.6352940631578944E-2</v>
      </c>
      <c r="U238" s="542">
        <f t="shared" si="28"/>
        <v>4.7418525473684199E-2</v>
      </c>
      <c r="V238" s="542">
        <f t="shared" si="28"/>
        <v>4.8484110315789461E-2</v>
      </c>
      <c r="W238" s="542">
        <f t="shared" si="28"/>
        <v>4.9549695157894737E-2</v>
      </c>
      <c r="X238" s="542">
        <f t="shared" si="28"/>
        <v>5.0615279999999992E-2</v>
      </c>
      <c r="Y238" s="542">
        <f t="shared" si="28"/>
        <v>5.0615279999999992E-2</v>
      </c>
      <c r="Z238" s="542">
        <f t="shared" si="28"/>
        <v>5.0615279999999999E-2</v>
      </c>
      <c r="AA238" s="542">
        <f t="shared" si="28"/>
        <v>5.0615279999999999E-2</v>
      </c>
      <c r="AB238" s="542">
        <f t="shared" si="28"/>
        <v>5.0615279999999999E-2</v>
      </c>
      <c r="AC238" s="542">
        <f t="shared" si="28"/>
        <v>5.0615279999999992E-2</v>
      </c>
      <c r="AD238" s="542">
        <f t="shared" si="28"/>
        <v>5.0615279999999999E-2</v>
      </c>
      <c r="AE238" s="542">
        <f t="shared" si="28"/>
        <v>5.0615279999999999E-2</v>
      </c>
      <c r="AF238" s="542">
        <f t="shared" si="28"/>
        <v>5.0615279999999992E-2</v>
      </c>
      <c r="AG238" s="542">
        <f t="shared" si="28"/>
        <v>5.0615279999999999E-2</v>
      </c>
      <c r="AH238" s="542">
        <f t="shared" si="28"/>
        <v>5.0615279999999985E-2</v>
      </c>
      <c r="AI238" s="542">
        <f t="shared" si="28"/>
        <v>5.0615279999999999E-2</v>
      </c>
      <c r="AJ238" s="542">
        <f t="shared" si="28"/>
        <v>5.0615279999999999E-2</v>
      </c>
    </row>
    <row r="239" spans="1:38" x14ac:dyDescent="0.4">
      <c r="A239" s="644" t="s">
        <v>152</v>
      </c>
      <c r="B239" s="532" t="s">
        <v>1281</v>
      </c>
      <c r="C239" s="542">
        <f t="shared" ref="C239:AJ239" si="29">C199*$B$541</f>
        <v>0.17546630400000002</v>
      </c>
      <c r="D239" s="542">
        <f t="shared" si="29"/>
        <v>0.17546630400000002</v>
      </c>
      <c r="E239" s="542">
        <f t="shared" si="29"/>
        <v>0.17546630400000002</v>
      </c>
      <c r="F239" s="542">
        <f t="shared" si="29"/>
        <v>0.17484471284210529</v>
      </c>
      <c r="G239" s="542">
        <f t="shared" si="29"/>
        <v>0.17422312168421053</v>
      </c>
      <c r="H239" s="542">
        <f t="shared" si="29"/>
        <v>0.17360153052631577</v>
      </c>
      <c r="I239" s="542">
        <f t="shared" si="29"/>
        <v>0.17297993936842107</v>
      </c>
      <c r="J239" s="542">
        <f t="shared" si="29"/>
        <v>0.17235834821052631</v>
      </c>
      <c r="K239" s="542">
        <f t="shared" si="29"/>
        <v>0.17173675705263156</v>
      </c>
      <c r="L239" s="542">
        <f t="shared" si="29"/>
        <v>0.17111516589473685</v>
      </c>
      <c r="M239" s="542">
        <f t="shared" si="29"/>
        <v>0.17049357473684207</v>
      </c>
      <c r="N239" s="542">
        <f t="shared" si="29"/>
        <v>0.16987198357894742</v>
      </c>
      <c r="O239" s="542">
        <f t="shared" si="29"/>
        <v>0.16925039242105264</v>
      </c>
      <c r="P239" s="542">
        <f t="shared" si="29"/>
        <v>0.16862880126315791</v>
      </c>
      <c r="Q239" s="542">
        <f t="shared" si="29"/>
        <v>0.16800721010526315</v>
      </c>
      <c r="R239" s="542">
        <f t="shared" si="29"/>
        <v>0.16738561894736842</v>
      </c>
      <c r="S239" s="542">
        <f t="shared" si="29"/>
        <v>0.16676402778947369</v>
      </c>
      <c r="T239" s="542">
        <f t="shared" si="29"/>
        <v>0.16614243663157896</v>
      </c>
      <c r="U239" s="542">
        <f t="shared" si="29"/>
        <v>0.1655208454736842</v>
      </c>
      <c r="V239" s="542">
        <f t="shared" si="29"/>
        <v>0.16489925431578945</v>
      </c>
      <c r="W239" s="542">
        <f t="shared" si="29"/>
        <v>0.16427766315789472</v>
      </c>
      <c r="X239" s="542">
        <f t="shared" si="29"/>
        <v>0.16365607199999999</v>
      </c>
      <c r="Y239" s="542">
        <f t="shared" si="29"/>
        <v>0.16365607199999999</v>
      </c>
      <c r="Z239" s="542">
        <f t="shared" si="29"/>
        <v>0.16365607199999999</v>
      </c>
      <c r="AA239" s="542">
        <f t="shared" si="29"/>
        <v>0.16365607199999999</v>
      </c>
      <c r="AB239" s="542">
        <f t="shared" si="29"/>
        <v>0.16365607199999999</v>
      </c>
      <c r="AC239" s="542">
        <f t="shared" si="29"/>
        <v>0.16365607200000001</v>
      </c>
      <c r="AD239" s="542">
        <f t="shared" si="29"/>
        <v>0.16365607199999999</v>
      </c>
      <c r="AE239" s="542">
        <f t="shared" si="29"/>
        <v>0.16365607199999999</v>
      </c>
      <c r="AF239" s="542">
        <f t="shared" si="29"/>
        <v>0.16365607199999999</v>
      </c>
      <c r="AG239" s="542">
        <f t="shared" si="29"/>
        <v>0.16365607199999999</v>
      </c>
      <c r="AH239" s="542">
        <f t="shared" si="29"/>
        <v>0.16365607199999999</v>
      </c>
      <c r="AI239" s="542">
        <f t="shared" si="29"/>
        <v>0.16365607199999999</v>
      </c>
      <c r="AJ239" s="542">
        <f t="shared" si="29"/>
        <v>0.16365607199999999</v>
      </c>
    </row>
    <row r="240" spans="1:38" x14ac:dyDescent="0.4">
      <c r="A240" s="644" t="s">
        <v>153</v>
      </c>
      <c r="B240" s="532" t="s">
        <v>1281</v>
      </c>
      <c r="C240" s="542">
        <f t="shared" ref="C240:AJ240" si="30">C200*$B$541</f>
        <v>1.4594072399999996E-2</v>
      </c>
      <c r="D240" s="542">
        <f t="shared" si="30"/>
        <v>1.4594072399999998E-2</v>
      </c>
      <c r="E240" s="542">
        <f t="shared" si="30"/>
        <v>1.4594072399999998E-2</v>
      </c>
      <c r="F240" s="542">
        <f t="shared" si="30"/>
        <v>1.6489925431578945E-2</v>
      </c>
      <c r="G240" s="542">
        <f t="shared" si="30"/>
        <v>1.8385778463157896E-2</v>
      </c>
      <c r="H240" s="542">
        <f t="shared" si="30"/>
        <v>2.028163149473684E-2</v>
      </c>
      <c r="I240" s="542">
        <f t="shared" si="30"/>
        <v>2.2177484526315787E-2</v>
      </c>
      <c r="J240" s="542">
        <f t="shared" si="30"/>
        <v>2.4073337557894731E-2</v>
      </c>
      <c r="K240" s="542">
        <f t="shared" si="30"/>
        <v>2.5969190589473688E-2</v>
      </c>
      <c r="L240" s="542">
        <f t="shared" si="30"/>
        <v>2.7865043621052632E-2</v>
      </c>
      <c r="M240" s="542">
        <f t="shared" si="30"/>
        <v>2.9760896652631579E-2</v>
      </c>
      <c r="N240" s="542">
        <f t="shared" si="30"/>
        <v>3.1656749684210533E-2</v>
      </c>
      <c r="O240" s="542">
        <f t="shared" si="30"/>
        <v>3.3552602715789477E-2</v>
      </c>
      <c r="P240" s="542">
        <f t="shared" si="30"/>
        <v>3.5448455747368421E-2</v>
      </c>
      <c r="Q240" s="542">
        <f t="shared" si="30"/>
        <v>3.7344308778947372E-2</v>
      </c>
      <c r="R240" s="542">
        <f t="shared" si="30"/>
        <v>3.9240161810526308E-2</v>
      </c>
      <c r="S240" s="542">
        <f t="shared" si="30"/>
        <v>4.1136014842105266E-2</v>
      </c>
      <c r="T240" s="542">
        <f t="shared" si="30"/>
        <v>4.3031867873684217E-2</v>
      </c>
      <c r="U240" s="542">
        <f t="shared" si="30"/>
        <v>4.492772090526316E-2</v>
      </c>
      <c r="V240" s="542">
        <f t="shared" si="30"/>
        <v>4.6823573936842104E-2</v>
      </c>
      <c r="W240" s="542">
        <f t="shared" si="30"/>
        <v>4.8719426968421048E-2</v>
      </c>
      <c r="X240" s="542">
        <f t="shared" si="30"/>
        <v>5.0615279999999992E-2</v>
      </c>
      <c r="Y240" s="542">
        <f t="shared" si="30"/>
        <v>5.0615279999999999E-2</v>
      </c>
      <c r="Z240" s="542">
        <f t="shared" si="30"/>
        <v>5.0615279999999992E-2</v>
      </c>
      <c r="AA240" s="542">
        <f t="shared" si="30"/>
        <v>5.0615280000000006E-2</v>
      </c>
      <c r="AB240" s="542">
        <f t="shared" si="30"/>
        <v>5.0615280000000006E-2</v>
      </c>
      <c r="AC240" s="542">
        <f t="shared" si="30"/>
        <v>5.0615280000000006E-2</v>
      </c>
      <c r="AD240" s="542">
        <f t="shared" si="30"/>
        <v>5.0615279999999999E-2</v>
      </c>
      <c r="AE240" s="542">
        <f t="shared" si="30"/>
        <v>5.0615279999999992E-2</v>
      </c>
      <c r="AF240" s="542">
        <f t="shared" si="30"/>
        <v>5.0615280000000006E-2</v>
      </c>
      <c r="AG240" s="542">
        <f t="shared" si="30"/>
        <v>5.0615279999999992E-2</v>
      </c>
      <c r="AH240" s="542">
        <f t="shared" si="30"/>
        <v>5.0615279999999999E-2</v>
      </c>
      <c r="AI240" s="542">
        <f t="shared" si="30"/>
        <v>5.0615279999999992E-2</v>
      </c>
      <c r="AJ240" s="542">
        <f t="shared" si="30"/>
        <v>5.0615279999999992E-2</v>
      </c>
    </row>
    <row r="241" spans="1:38" x14ac:dyDescent="0.4">
      <c r="A241" s="645" t="s">
        <v>154</v>
      </c>
      <c r="B241" s="533" t="s">
        <v>1281</v>
      </c>
      <c r="C241" s="542">
        <f t="shared" ref="C241:AJ241" si="31">C201*$B$541</f>
        <v>2.2439440800000002E-2</v>
      </c>
      <c r="D241" s="542">
        <f t="shared" si="31"/>
        <v>2.2439440800000002E-2</v>
      </c>
      <c r="E241" s="542">
        <f t="shared" si="31"/>
        <v>2.2439440800000002E-2</v>
      </c>
      <c r="F241" s="542">
        <f t="shared" si="31"/>
        <v>2.2439440800000002E-2</v>
      </c>
      <c r="G241" s="542">
        <f t="shared" si="31"/>
        <v>2.2439440800000002E-2</v>
      </c>
      <c r="H241" s="542">
        <f t="shared" si="31"/>
        <v>2.2439440800000005E-2</v>
      </c>
      <c r="I241" s="542">
        <f t="shared" si="31"/>
        <v>2.2439440800000002E-2</v>
      </c>
      <c r="J241" s="542">
        <f t="shared" si="31"/>
        <v>2.2439440800000002E-2</v>
      </c>
      <c r="K241" s="542">
        <f t="shared" si="31"/>
        <v>2.2439440800000002E-2</v>
      </c>
      <c r="L241" s="542">
        <f t="shared" si="31"/>
        <v>2.2439440800000002E-2</v>
      </c>
      <c r="M241" s="542">
        <f t="shared" si="31"/>
        <v>2.2439440800000002E-2</v>
      </c>
      <c r="N241" s="542">
        <f t="shared" si="31"/>
        <v>2.2439440800000002E-2</v>
      </c>
      <c r="O241" s="542">
        <f t="shared" si="31"/>
        <v>2.2439440800000002E-2</v>
      </c>
      <c r="P241" s="542">
        <f t="shared" si="31"/>
        <v>2.2439440799999998E-2</v>
      </c>
      <c r="Q241" s="542">
        <f t="shared" si="31"/>
        <v>2.2439440800000005E-2</v>
      </c>
      <c r="R241" s="542">
        <f t="shared" si="31"/>
        <v>2.2439440800000002E-2</v>
      </c>
      <c r="S241" s="542">
        <f t="shared" si="31"/>
        <v>2.2439440799999995E-2</v>
      </c>
      <c r="T241" s="542">
        <f t="shared" si="31"/>
        <v>2.2439440800000002E-2</v>
      </c>
      <c r="U241" s="542">
        <f t="shared" si="31"/>
        <v>2.2439440800000002E-2</v>
      </c>
      <c r="V241" s="542">
        <f t="shared" si="31"/>
        <v>2.2439440800000002E-2</v>
      </c>
      <c r="W241" s="542">
        <f t="shared" si="31"/>
        <v>2.2439440800000002E-2</v>
      </c>
      <c r="X241" s="542">
        <f t="shared" si="31"/>
        <v>2.2439440800000005E-2</v>
      </c>
      <c r="Y241" s="542">
        <f t="shared" si="31"/>
        <v>2.2439440800000002E-2</v>
      </c>
      <c r="Z241" s="542">
        <f t="shared" si="31"/>
        <v>2.2439440800000005E-2</v>
      </c>
      <c r="AA241" s="542">
        <f t="shared" si="31"/>
        <v>2.2439440800000005E-2</v>
      </c>
      <c r="AB241" s="542">
        <f t="shared" si="31"/>
        <v>2.2439440799999998E-2</v>
      </c>
      <c r="AC241" s="542">
        <f t="shared" si="31"/>
        <v>2.2439440800000002E-2</v>
      </c>
      <c r="AD241" s="542">
        <f t="shared" si="31"/>
        <v>2.2439440800000002E-2</v>
      </c>
      <c r="AE241" s="542">
        <f t="shared" si="31"/>
        <v>2.2439440800000005E-2</v>
      </c>
      <c r="AF241" s="542">
        <f t="shared" si="31"/>
        <v>2.2439440800000005E-2</v>
      </c>
      <c r="AG241" s="542">
        <f t="shared" si="31"/>
        <v>2.2439440800000005E-2</v>
      </c>
      <c r="AH241" s="542">
        <f t="shared" si="31"/>
        <v>2.2439440799999998E-2</v>
      </c>
      <c r="AI241" s="542">
        <f t="shared" si="31"/>
        <v>2.2439440800000002E-2</v>
      </c>
      <c r="AJ241" s="542">
        <f t="shared" si="31"/>
        <v>2.2439440800000002E-2</v>
      </c>
    </row>
    <row r="242" spans="1:38" x14ac:dyDescent="0.4">
      <c r="A242" s="645" t="s">
        <v>1063</v>
      </c>
      <c r="B242" s="581"/>
      <c r="C242" s="581"/>
      <c r="D242" s="581"/>
      <c r="E242" s="581"/>
      <c r="F242" s="581"/>
      <c r="G242" s="581"/>
      <c r="H242" s="581"/>
      <c r="I242" s="581"/>
      <c r="J242" s="581"/>
      <c r="K242" s="581"/>
      <c r="L242" s="581"/>
      <c r="M242" s="581"/>
      <c r="N242" s="581"/>
      <c r="O242" s="581"/>
      <c r="P242" s="581"/>
      <c r="Q242" s="581"/>
      <c r="R242" s="581"/>
      <c r="S242" s="581"/>
      <c r="T242" s="581"/>
      <c r="U242" s="581"/>
      <c r="V242" s="581"/>
      <c r="W242" s="581"/>
      <c r="X242" s="581"/>
      <c r="Y242" s="581"/>
      <c r="Z242" s="581"/>
      <c r="AA242" s="581"/>
      <c r="AB242" s="581"/>
      <c r="AC242" s="581"/>
      <c r="AD242" s="581"/>
      <c r="AE242" s="581"/>
      <c r="AF242" s="581"/>
      <c r="AG242" s="581"/>
      <c r="AH242" s="581"/>
      <c r="AI242" s="581"/>
      <c r="AJ242" s="581"/>
    </row>
    <row r="243" spans="1:38" x14ac:dyDescent="0.4">
      <c r="A243" s="581"/>
      <c r="B243" s="581"/>
      <c r="C243" s="589"/>
      <c r="D243" s="589"/>
      <c r="E243" s="589"/>
      <c r="F243" s="589"/>
      <c r="G243" s="589"/>
      <c r="H243" s="589"/>
      <c r="I243" s="589"/>
      <c r="J243" s="589"/>
      <c r="K243" s="589"/>
      <c r="L243" s="589"/>
      <c r="M243" s="589"/>
      <c r="N243" s="589"/>
      <c r="O243" s="589"/>
      <c r="P243" s="589"/>
      <c r="Q243" s="589"/>
      <c r="R243" s="589"/>
      <c r="S243" s="589"/>
      <c r="T243" s="589"/>
      <c r="U243" s="589"/>
      <c r="V243" s="589"/>
      <c r="W243" s="589"/>
      <c r="X243" s="589"/>
      <c r="Y243" s="589"/>
      <c r="Z243" s="589"/>
      <c r="AA243" s="589"/>
      <c r="AB243" s="589"/>
      <c r="AC243" s="589"/>
      <c r="AD243" s="589"/>
      <c r="AE243" s="589"/>
      <c r="AF243" s="589"/>
      <c r="AG243" s="589"/>
      <c r="AH243" s="589"/>
      <c r="AI243" s="589"/>
      <c r="AJ243" s="589"/>
    </row>
    <row r="244" spans="1:38" ht="17" x14ac:dyDescent="0.4">
      <c r="A244" s="659" t="s">
        <v>1452</v>
      </c>
      <c r="B244" s="581"/>
      <c r="C244" s="589"/>
      <c r="D244" s="589"/>
      <c r="E244" s="589"/>
      <c r="F244" s="589"/>
      <c r="G244" s="589"/>
      <c r="H244" s="589"/>
      <c r="I244" s="589"/>
      <c r="J244" s="589"/>
      <c r="K244" s="589"/>
      <c r="L244" s="589"/>
      <c r="M244" s="589"/>
      <c r="N244" s="589"/>
      <c r="O244" s="589"/>
      <c r="P244" s="589"/>
      <c r="Q244" s="589"/>
      <c r="R244" s="589"/>
      <c r="S244" s="589"/>
      <c r="T244" s="589"/>
      <c r="U244" s="589"/>
      <c r="V244" s="589"/>
      <c r="W244" s="589"/>
      <c r="X244" s="589"/>
      <c r="Y244" s="589"/>
      <c r="Z244" s="589"/>
      <c r="AA244" s="589"/>
      <c r="AB244" s="589"/>
      <c r="AC244" s="589"/>
      <c r="AD244" s="589"/>
      <c r="AE244" s="589"/>
      <c r="AF244" s="589"/>
      <c r="AG244" s="589"/>
      <c r="AH244" s="589"/>
      <c r="AI244" s="589"/>
      <c r="AJ244" s="589"/>
    </row>
    <row r="245" spans="1:38" s="28" customFormat="1" x14ac:dyDescent="0.4">
      <c r="A245" s="42" t="s">
        <v>536</v>
      </c>
      <c r="B245" s="1198" t="s">
        <v>136</v>
      </c>
      <c r="C245" s="1128" t="s">
        <v>391</v>
      </c>
      <c r="D245" s="1128" t="s">
        <v>392</v>
      </c>
      <c r="E245" s="1128" t="s">
        <v>393</v>
      </c>
      <c r="F245" s="1128" t="s">
        <v>394</v>
      </c>
      <c r="G245" s="1128" t="s">
        <v>395</v>
      </c>
      <c r="H245" s="1128" t="s">
        <v>396</v>
      </c>
      <c r="I245" s="1128" t="s">
        <v>397</v>
      </c>
      <c r="J245" s="1128" t="s">
        <v>398</v>
      </c>
      <c r="K245" s="1128" t="s">
        <v>399</v>
      </c>
      <c r="L245" s="1128" t="s">
        <v>400</v>
      </c>
      <c r="M245" s="1128" t="s">
        <v>401</v>
      </c>
      <c r="N245" s="1128" t="s">
        <v>402</v>
      </c>
      <c r="O245" s="1128" t="s">
        <v>403</v>
      </c>
      <c r="P245" s="1128" t="s">
        <v>404</v>
      </c>
      <c r="Q245" s="1128" t="s">
        <v>405</v>
      </c>
      <c r="R245" s="1128" t="s">
        <v>406</v>
      </c>
      <c r="S245" s="1128" t="s">
        <v>407</v>
      </c>
      <c r="T245" s="1128" t="s">
        <v>408</v>
      </c>
      <c r="U245" s="1128" t="s">
        <v>409</v>
      </c>
      <c r="V245" s="1128" t="s">
        <v>410</v>
      </c>
      <c r="W245" s="1128" t="s">
        <v>411</v>
      </c>
      <c r="X245" s="1128" t="s">
        <v>412</v>
      </c>
      <c r="Y245" s="1128" t="s">
        <v>413</v>
      </c>
      <c r="Z245" s="1128" t="s">
        <v>414</v>
      </c>
      <c r="AA245" s="1128" t="s">
        <v>415</v>
      </c>
      <c r="AB245" s="1128" t="s">
        <v>416</v>
      </c>
      <c r="AC245" s="1128" t="s">
        <v>417</v>
      </c>
      <c r="AD245" s="1128" t="s">
        <v>418</v>
      </c>
      <c r="AE245" s="1128" t="s">
        <v>419</v>
      </c>
      <c r="AF245" s="1128" t="s">
        <v>420</v>
      </c>
      <c r="AG245" s="1128" t="s">
        <v>421</v>
      </c>
      <c r="AH245" s="1128" t="s">
        <v>422</v>
      </c>
      <c r="AI245" s="1128" t="s">
        <v>423</v>
      </c>
      <c r="AJ245" s="1128" t="s">
        <v>424</v>
      </c>
      <c r="AK245" s="3"/>
      <c r="AL245" s="3"/>
    </row>
    <row r="246" spans="1:38" x14ac:dyDescent="0.4">
      <c r="A246" s="643" t="s">
        <v>59</v>
      </c>
      <c r="B246" s="532" t="s">
        <v>1282</v>
      </c>
      <c r="C246" s="542">
        <f t="shared" ref="C246:AJ246" si="32">C206*$B$541</f>
        <v>1.4890336534748915E-3</v>
      </c>
      <c r="D246" s="542">
        <f t="shared" si="32"/>
        <v>1.4890336534748915E-3</v>
      </c>
      <c r="E246" s="542">
        <f t="shared" si="32"/>
        <v>1.4890336534748915E-3</v>
      </c>
      <c r="F246" s="542">
        <f t="shared" si="32"/>
        <v>1.4890336534748915E-3</v>
      </c>
      <c r="G246" s="542">
        <f t="shared" si="32"/>
        <v>1.4890336534748915E-3</v>
      </c>
      <c r="H246" s="542">
        <f t="shared" si="32"/>
        <v>1.4890336534748915E-3</v>
      </c>
      <c r="I246" s="542">
        <f t="shared" si="32"/>
        <v>1.4890336534748917E-3</v>
      </c>
      <c r="J246" s="542">
        <f t="shared" si="32"/>
        <v>1.4890336534748915E-3</v>
      </c>
      <c r="K246" s="542">
        <f t="shared" si="32"/>
        <v>1.4890336534748912E-3</v>
      </c>
      <c r="L246" s="542">
        <f t="shared" si="32"/>
        <v>1.4890336534748917E-3</v>
      </c>
      <c r="M246" s="542">
        <f t="shared" si="32"/>
        <v>1.4890336534748917E-3</v>
      </c>
      <c r="N246" s="542">
        <f t="shared" si="32"/>
        <v>1.4890336534748917E-3</v>
      </c>
      <c r="O246" s="542">
        <f t="shared" si="32"/>
        <v>1.4890336534748912E-3</v>
      </c>
      <c r="P246" s="542">
        <f t="shared" si="32"/>
        <v>1.4890336534748915E-3</v>
      </c>
      <c r="Q246" s="542">
        <f t="shared" si="32"/>
        <v>1.4890336534748915E-3</v>
      </c>
      <c r="R246" s="542">
        <f t="shared" si="32"/>
        <v>1.4890336534748915E-3</v>
      </c>
      <c r="S246" s="542">
        <f t="shared" si="32"/>
        <v>1.4890336534748919E-3</v>
      </c>
      <c r="T246" s="542">
        <f t="shared" si="32"/>
        <v>1.4890336534748917E-3</v>
      </c>
      <c r="U246" s="542">
        <f t="shared" si="32"/>
        <v>1.4890336534748917E-3</v>
      </c>
      <c r="V246" s="542">
        <f t="shared" si="32"/>
        <v>1.4890336534748915E-3</v>
      </c>
      <c r="W246" s="542">
        <f t="shared" si="32"/>
        <v>1.4890336534748915E-3</v>
      </c>
      <c r="X246" s="542">
        <f t="shared" si="32"/>
        <v>1.4890336534748915E-3</v>
      </c>
      <c r="Y246" s="542">
        <f t="shared" si="32"/>
        <v>1.4890336534748917E-3</v>
      </c>
      <c r="Z246" s="542">
        <f t="shared" si="32"/>
        <v>1.4890336534748917E-3</v>
      </c>
      <c r="AA246" s="542">
        <f t="shared" si="32"/>
        <v>1.4890336534748915E-3</v>
      </c>
      <c r="AB246" s="542">
        <f t="shared" si="32"/>
        <v>1.4890336534748917E-3</v>
      </c>
      <c r="AC246" s="542">
        <f t="shared" si="32"/>
        <v>1.4890336534748915E-3</v>
      </c>
      <c r="AD246" s="542">
        <f t="shared" si="32"/>
        <v>1.4890336534748915E-3</v>
      </c>
      <c r="AE246" s="542">
        <f t="shared" si="32"/>
        <v>1.4890336534748917E-3</v>
      </c>
      <c r="AF246" s="542">
        <f t="shared" si="32"/>
        <v>1.4890336534748917E-3</v>
      </c>
      <c r="AG246" s="542">
        <f t="shared" si="32"/>
        <v>1.4890336534748915E-3</v>
      </c>
      <c r="AH246" s="542">
        <f t="shared" si="32"/>
        <v>1.4890336534748912E-3</v>
      </c>
      <c r="AI246" s="542">
        <f t="shared" si="32"/>
        <v>1.4890336534748915E-3</v>
      </c>
      <c r="AJ246" s="542">
        <f t="shared" si="32"/>
        <v>1.4890336534748915E-3</v>
      </c>
    </row>
    <row r="247" spans="1:38" x14ac:dyDescent="0.4">
      <c r="A247" s="647" t="s">
        <v>156</v>
      </c>
      <c r="B247" s="532" t="s">
        <v>1282</v>
      </c>
      <c r="C247" s="542">
        <f t="shared" ref="C247:AJ247" si="33">C207*$B$541</f>
        <v>2.3400000000000001E-2</v>
      </c>
      <c r="D247" s="542">
        <f t="shared" si="33"/>
        <v>2.3400000000000001E-2</v>
      </c>
      <c r="E247" s="542">
        <f t="shared" si="33"/>
        <v>2.3400000000000001E-2</v>
      </c>
      <c r="F247" s="542">
        <f t="shared" si="33"/>
        <v>2.3400000000000001E-2</v>
      </c>
      <c r="G247" s="542">
        <f t="shared" si="33"/>
        <v>2.3400000000000001E-2</v>
      </c>
      <c r="H247" s="542">
        <f t="shared" si="33"/>
        <v>2.3400000000000001E-2</v>
      </c>
      <c r="I247" s="542">
        <f t="shared" si="33"/>
        <v>2.3400000000000001E-2</v>
      </c>
      <c r="J247" s="542">
        <f t="shared" si="33"/>
        <v>2.3400000000000001E-2</v>
      </c>
      <c r="K247" s="542">
        <f t="shared" si="33"/>
        <v>2.3400000000000001E-2</v>
      </c>
      <c r="L247" s="542">
        <f t="shared" si="33"/>
        <v>2.3400000000000001E-2</v>
      </c>
      <c r="M247" s="542">
        <f t="shared" si="33"/>
        <v>2.3400000000000001E-2</v>
      </c>
      <c r="N247" s="542">
        <f t="shared" si="33"/>
        <v>2.3400000000000001E-2</v>
      </c>
      <c r="O247" s="542">
        <f t="shared" si="33"/>
        <v>2.3400000000000001E-2</v>
      </c>
      <c r="P247" s="542">
        <f t="shared" si="33"/>
        <v>2.3400000000000001E-2</v>
      </c>
      <c r="Q247" s="542">
        <f t="shared" si="33"/>
        <v>2.3400000000000001E-2</v>
      </c>
      <c r="R247" s="542">
        <f t="shared" si="33"/>
        <v>2.3400000000000001E-2</v>
      </c>
      <c r="S247" s="542">
        <f t="shared" si="33"/>
        <v>2.3400000000000001E-2</v>
      </c>
      <c r="T247" s="542">
        <f t="shared" si="33"/>
        <v>2.3400000000000001E-2</v>
      </c>
      <c r="U247" s="542">
        <f t="shared" si="33"/>
        <v>2.3399999999999997E-2</v>
      </c>
      <c r="V247" s="542">
        <f t="shared" si="33"/>
        <v>2.3400000000000001E-2</v>
      </c>
      <c r="W247" s="542">
        <f t="shared" si="33"/>
        <v>2.3400000000000001E-2</v>
      </c>
      <c r="X247" s="542">
        <f t="shared" si="33"/>
        <v>2.3400000000000001E-2</v>
      </c>
      <c r="Y247" s="542">
        <f t="shared" si="33"/>
        <v>2.3399999999999997E-2</v>
      </c>
      <c r="Z247" s="542">
        <f t="shared" si="33"/>
        <v>2.3400000000000001E-2</v>
      </c>
      <c r="AA247" s="542">
        <f t="shared" si="33"/>
        <v>2.3400000000000004E-2</v>
      </c>
      <c r="AB247" s="542">
        <f t="shared" si="33"/>
        <v>2.3399999999999997E-2</v>
      </c>
      <c r="AC247" s="542">
        <f t="shared" si="33"/>
        <v>2.3399999999999997E-2</v>
      </c>
      <c r="AD247" s="542">
        <f t="shared" si="33"/>
        <v>2.3400000000000004E-2</v>
      </c>
      <c r="AE247" s="542">
        <f t="shared" si="33"/>
        <v>2.3399999999999997E-2</v>
      </c>
      <c r="AF247" s="542">
        <f t="shared" si="33"/>
        <v>2.3400000000000004E-2</v>
      </c>
      <c r="AG247" s="542">
        <f t="shared" si="33"/>
        <v>2.3400000000000001E-2</v>
      </c>
      <c r="AH247" s="542">
        <f t="shared" si="33"/>
        <v>2.3400000000000001E-2</v>
      </c>
      <c r="AI247" s="542">
        <f t="shared" si="33"/>
        <v>2.3400000000000001E-2</v>
      </c>
      <c r="AJ247" s="542">
        <f t="shared" si="33"/>
        <v>2.3400000000000001E-2</v>
      </c>
    </row>
    <row r="248" spans="1:38" x14ac:dyDescent="0.4">
      <c r="A248" s="645" t="s">
        <v>76</v>
      </c>
      <c r="B248" s="533" t="s">
        <v>1282</v>
      </c>
      <c r="C248" s="542">
        <f t="shared" ref="C248:AJ248" si="34">C208*$B$541</f>
        <v>0.105</v>
      </c>
      <c r="D248" s="542">
        <f t="shared" si="34"/>
        <v>0.10500000000000001</v>
      </c>
      <c r="E248" s="542">
        <f t="shared" si="34"/>
        <v>0.105</v>
      </c>
      <c r="F248" s="542">
        <f t="shared" si="34"/>
        <v>0.105</v>
      </c>
      <c r="G248" s="542">
        <f t="shared" si="34"/>
        <v>0.105</v>
      </c>
      <c r="H248" s="542">
        <f t="shared" si="34"/>
        <v>0.105</v>
      </c>
      <c r="I248" s="542">
        <f t="shared" si="34"/>
        <v>0.105</v>
      </c>
      <c r="J248" s="542">
        <f t="shared" si="34"/>
        <v>0.105</v>
      </c>
      <c r="K248" s="542">
        <f t="shared" si="34"/>
        <v>0.105</v>
      </c>
      <c r="L248" s="542">
        <f t="shared" si="34"/>
        <v>0.105</v>
      </c>
      <c r="M248" s="542">
        <f t="shared" si="34"/>
        <v>0.10499999999999998</v>
      </c>
      <c r="N248" s="542">
        <f t="shared" si="34"/>
        <v>0.105</v>
      </c>
      <c r="O248" s="542">
        <f t="shared" si="34"/>
        <v>0.105</v>
      </c>
      <c r="P248" s="542">
        <f t="shared" si="34"/>
        <v>0.105</v>
      </c>
      <c r="Q248" s="542">
        <f t="shared" si="34"/>
        <v>0.105</v>
      </c>
      <c r="R248" s="542">
        <f t="shared" si="34"/>
        <v>0.10500000000000001</v>
      </c>
      <c r="S248" s="542">
        <f t="shared" si="34"/>
        <v>0.105</v>
      </c>
      <c r="T248" s="542">
        <f t="shared" si="34"/>
        <v>0.105</v>
      </c>
      <c r="U248" s="542">
        <f t="shared" si="34"/>
        <v>0.105</v>
      </c>
      <c r="V248" s="542">
        <f t="shared" si="34"/>
        <v>0.105</v>
      </c>
      <c r="W248" s="542">
        <f t="shared" si="34"/>
        <v>0.105</v>
      </c>
      <c r="X248" s="542">
        <f t="shared" si="34"/>
        <v>0.10499999999999998</v>
      </c>
      <c r="Y248" s="542">
        <f t="shared" si="34"/>
        <v>0.105</v>
      </c>
      <c r="Z248" s="542">
        <f t="shared" si="34"/>
        <v>0.10500000000000001</v>
      </c>
      <c r="AA248" s="542">
        <f t="shared" si="34"/>
        <v>0.105</v>
      </c>
      <c r="AB248" s="542">
        <f t="shared" si="34"/>
        <v>0.105</v>
      </c>
      <c r="AC248" s="542">
        <f t="shared" si="34"/>
        <v>0.10499999999999998</v>
      </c>
      <c r="AD248" s="542">
        <f t="shared" si="34"/>
        <v>0.105</v>
      </c>
      <c r="AE248" s="542">
        <f t="shared" si="34"/>
        <v>0.105</v>
      </c>
      <c r="AF248" s="542">
        <f t="shared" si="34"/>
        <v>0.105</v>
      </c>
      <c r="AG248" s="542">
        <f t="shared" si="34"/>
        <v>0.105</v>
      </c>
      <c r="AH248" s="542">
        <f t="shared" si="34"/>
        <v>0.105</v>
      </c>
      <c r="AI248" s="542">
        <f t="shared" si="34"/>
        <v>0.10500000000000001</v>
      </c>
      <c r="AJ248" s="542">
        <f t="shared" si="34"/>
        <v>0.10500000000000001</v>
      </c>
    </row>
    <row r="249" spans="1:38" x14ac:dyDescent="0.4">
      <c r="A249" s="645" t="s">
        <v>1063</v>
      </c>
      <c r="B249" s="581"/>
      <c r="C249" s="581"/>
      <c r="D249" s="581"/>
      <c r="E249" s="581"/>
      <c r="F249" s="581"/>
      <c r="G249" s="581"/>
      <c r="H249" s="581"/>
      <c r="I249" s="581"/>
      <c r="J249" s="581"/>
      <c r="K249" s="581"/>
      <c r="L249" s="581"/>
      <c r="M249" s="581"/>
      <c r="N249" s="581"/>
      <c r="O249" s="581"/>
      <c r="P249" s="581"/>
      <c r="Q249" s="581"/>
      <c r="R249" s="581"/>
      <c r="S249" s="581"/>
      <c r="T249" s="581"/>
      <c r="U249" s="581"/>
      <c r="V249" s="581"/>
      <c r="W249" s="581"/>
      <c r="X249" s="581"/>
      <c r="Y249" s="581"/>
      <c r="Z249" s="581"/>
      <c r="AA249" s="581"/>
      <c r="AB249" s="581"/>
      <c r="AC249" s="581"/>
      <c r="AD249" s="581"/>
      <c r="AE249" s="581"/>
      <c r="AF249" s="581"/>
      <c r="AG249" s="581"/>
      <c r="AH249" s="581"/>
      <c r="AI249" s="581"/>
      <c r="AJ249" s="581"/>
    </row>
    <row r="250" spans="1:38" x14ac:dyDescent="0.4">
      <c r="A250" s="581"/>
      <c r="B250" s="581"/>
      <c r="C250" s="589"/>
      <c r="D250" s="589"/>
      <c r="E250" s="589"/>
      <c r="F250" s="589"/>
      <c r="G250" s="589"/>
      <c r="H250" s="589"/>
      <c r="I250" s="589"/>
      <c r="J250" s="589"/>
      <c r="K250" s="589"/>
      <c r="L250" s="589"/>
      <c r="M250" s="589"/>
      <c r="N250" s="589"/>
      <c r="O250" s="589"/>
      <c r="P250" s="589"/>
      <c r="Q250" s="589"/>
      <c r="R250" s="589"/>
      <c r="S250" s="589"/>
      <c r="T250" s="589"/>
      <c r="U250" s="589"/>
      <c r="V250" s="589"/>
      <c r="W250" s="589"/>
      <c r="X250" s="589"/>
      <c r="Y250" s="589"/>
      <c r="Z250" s="589"/>
      <c r="AA250" s="589"/>
      <c r="AB250" s="589"/>
      <c r="AC250" s="589"/>
      <c r="AD250" s="589"/>
      <c r="AE250" s="589"/>
      <c r="AF250" s="589"/>
      <c r="AG250" s="589"/>
      <c r="AH250" s="589"/>
      <c r="AI250" s="589"/>
      <c r="AJ250" s="589"/>
    </row>
    <row r="251" spans="1:38" ht="17" x14ac:dyDescent="0.4">
      <c r="A251" s="659" t="s">
        <v>1453</v>
      </c>
      <c r="B251" s="581"/>
      <c r="C251" s="589"/>
      <c r="D251" s="589"/>
      <c r="E251" s="589"/>
      <c r="F251" s="589"/>
      <c r="G251" s="589"/>
      <c r="H251" s="589"/>
      <c r="I251" s="589"/>
      <c r="J251" s="589"/>
      <c r="K251" s="589"/>
      <c r="L251" s="589"/>
      <c r="M251" s="589"/>
      <c r="N251" s="589"/>
      <c r="O251" s="589"/>
      <c r="P251" s="589"/>
      <c r="Q251" s="589"/>
      <c r="R251" s="589"/>
      <c r="S251" s="589"/>
      <c r="T251" s="589"/>
      <c r="U251" s="589"/>
      <c r="V251" s="589"/>
      <c r="W251" s="589"/>
      <c r="X251" s="589"/>
      <c r="Y251" s="589"/>
      <c r="Z251" s="589"/>
      <c r="AA251" s="589"/>
      <c r="AB251" s="589"/>
      <c r="AC251" s="589"/>
      <c r="AD251" s="589"/>
      <c r="AE251" s="589"/>
      <c r="AF251" s="589"/>
      <c r="AG251" s="589"/>
      <c r="AH251" s="589"/>
      <c r="AI251" s="589"/>
      <c r="AJ251" s="589"/>
    </row>
    <row r="252" spans="1:38" s="28" customFormat="1" x14ac:dyDescent="0.4">
      <c r="A252" s="1207" t="s">
        <v>390</v>
      </c>
      <c r="B252" s="1198" t="s">
        <v>136</v>
      </c>
      <c r="C252" s="1128" t="s">
        <v>391</v>
      </c>
      <c r="D252" s="1128" t="s">
        <v>392</v>
      </c>
      <c r="E252" s="1128" t="s">
        <v>393</v>
      </c>
      <c r="F252" s="1128" t="s">
        <v>394</v>
      </c>
      <c r="G252" s="1128" t="s">
        <v>395</v>
      </c>
      <c r="H252" s="1128" t="s">
        <v>396</v>
      </c>
      <c r="I252" s="1128" t="s">
        <v>397</v>
      </c>
      <c r="J252" s="1128" t="s">
        <v>398</v>
      </c>
      <c r="K252" s="1128" t="s">
        <v>399</v>
      </c>
      <c r="L252" s="1128" t="s">
        <v>400</v>
      </c>
      <c r="M252" s="1128" t="s">
        <v>401</v>
      </c>
      <c r="N252" s="1128" t="s">
        <v>402</v>
      </c>
      <c r="O252" s="1128" t="s">
        <v>403</v>
      </c>
      <c r="P252" s="1128" t="s">
        <v>404</v>
      </c>
      <c r="Q252" s="1128" t="s">
        <v>405</v>
      </c>
      <c r="R252" s="1128" t="s">
        <v>406</v>
      </c>
      <c r="S252" s="1128" t="s">
        <v>407</v>
      </c>
      <c r="T252" s="1128" t="s">
        <v>408</v>
      </c>
      <c r="U252" s="1128" t="s">
        <v>409</v>
      </c>
      <c r="V252" s="1128" t="s">
        <v>410</v>
      </c>
      <c r="W252" s="1128" t="s">
        <v>411</v>
      </c>
      <c r="X252" s="1128" t="s">
        <v>412</v>
      </c>
      <c r="Y252" s="1128" t="s">
        <v>413</v>
      </c>
      <c r="Z252" s="1128" t="s">
        <v>414</v>
      </c>
      <c r="AA252" s="1128" t="s">
        <v>415</v>
      </c>
      <c r="AB252" s="1128" t="s">
        <v>416</v>
      </c>
      <c r="AC252" s="1128" t="s">
        <v>417</v>
      </c>
      <c r="AD252" s="1128" t="s">
        <v>418</v>
      </c>
      <c r="AE252" s="1128" t="s">
        <v>419</v>
      </c>
      <c r="AF252" s="1128" t="s">
        <v>420</v>
      </c>
      <c r="AG252" s="1128" t="s">
        <v>421</v>
      </c>
      <c r="AH252" s="1128" t="s">
        <v>422</v>
      </c>
      <c r="AI252" s="1128" t="s">
        <v>423</v>
      </c>
      <c r="AJ252" s="1128" t="s">
        <v>424</v>
      </c>
      <c r="AK252" s="3"/>
      <c r="AL252" s="3"/>
    </row>
    <row r="253" spans="1:38" x14ac:dyDescent="0.4">
      <c r="A253" s="533" t="s">
        <v>157</v>
      </c>
      <c r="B253" s="533" t="s">
        <v>1279</v>
      </c>
      <c r="C253" s="540">
        <f t="shared" ref="C253:AJ253" si="35">C213*$B$541</f>
        <v>9.6299999999999999E-4</v>
      </c>
      <c r="D253" s="540">
        <f t="shared" si="35"/>
        <v>9.630000000000001E-4</v>
      </c>
      <c r="E253" s="540">
        <f t="shared" si="35"/>
        <v>9.6299999999999988E-4</v>
      </c>
      <c r="F253" s="540">
        <f t="shared" si="35"/>
        <v>9.630000000000001E-4</v>
      </c>
      <c r="G253" s="540">
        <f t="shared" si="35"/>
        <v>9.6300000000000021E-4</v>
      </c>
      <c r="H253" s="540">
        <f t="shared" si="35"/>
        <v>9.630000000000001E-4</v>
      </c>
      <c r="I253" s="540">
        <f t="shared" si="35"/>
        <v>9.6292099911913609E-4</v>
      </c>
      <c r="J253" s="540">
        <f t="shared" si="35"/>
        <v>9.6281980127617363E-4</v>
      </c>
      <c r="K253" s="540">
        <f t="shared" si="35"/>
        <v>7.7399131608054783E-4</v>
      </c>
      <c r="L253" s="540">
        <f t="shared" si="35"/>
        <v>9.6292333618931919E-4</v>
      </c>
      <c r="M253" s="540">
        <f t="shared" si="35"/>
        <v>9.629265225539706E-4</v>
      </c>
      <c r="N253" s="540">
        <f t="shared" si="35"/>
        <v>9.6292990864651107E-4</v>
      </c>
      <c r="O253" s="540">
        <f t="shared" si="35"/>
        <v>0</v>
      </c>
      <c r="P253" s="540">
        <f t="shared" si="35"/>
        <v>9.630000000000001E-4</v>
      </c>
      <c r="Q253" s="540">
        <f t="shared" si="35"/>
        <v>9.6299999999999988E-4</v>
      </c>
      <c r="R253" s="540">
        <f t="shared" si="35"/>
        <v>9.6217165565648229E-4</v>
      </c>
      <c r="S253" s="540">
        <f t="shared" si="35"/>
        <v>9.5494014437436092E-4</v>
      </c>
      <c r="T253" s="540">
        <f t="shared" si="35"/>
        <v>9.630000000000001E-4</v>
      </c>
      <c r="U253" s="540">
        <f t="shared" si="35"/>
        <v>8.4441749380166306E-4</v>
      </c>
      <c r="V253" s="540">
        <f t="shared" si="35"/>
        <v>9.6298418911330982E-4</v>
      </c>
      <c r="W253" s="540">
        <f t="shared" si="35"/>
        <v>9.6295296014067963E-4</v>
      </c>
      <c r="X253" s="540">
        <f t="shared" si="35"/>
        <v>9.630000000000001E-4</v>
      </c>
      <c r="Y253" s="540">
        <f t="shared" si="35"/>
        <v>9.6299999999999999E-4</v>
      </c>
      <c r="Z253" s="540">
        <f t="shared" si="35"/>
        <v>9.6300000000000021E-4</v>
      </c>
      <c r="AA253" s="540">
        <f t="shared" si="35"/>
        <v>9.6298477324708524E-4</v>
      </c>
      <c r="AB253" s="540">
        <f t="shared" si="35"/>
        <v>9.629998485337697E-4</v>
      </c>
      <c r="AC253" s="540">
        <f t="shared" si="35"/>
        <v>9.630000000000001E-4</v>
      </c>
      <c r="AD253" s="540">
        <f t="shared" si="35"/>
        <v>3.5285554338935625E-4</v>
      </c>
      <c r="AE253" s="540">
        <f t="shared" si="35"/>
        <v>9.2313021841760484E-4</v>
      </c>
      <c r="AF253" s="540">
        <f t="shared" si="35"/>
        <v>9.2727302871327725E-4</v>
      </c>
      <c r="AG253" s="540">
        <f t="shared" si="35"/>
        <v>9.342606962941157E-4</v>
      </c>
      <c r="AH253" s="540">
        <f t="shared" si="35"/>
        <v>9.2956558776227151E-4</v>
      </c>
      <c r="AI253" s="540">
        <f t="shared" si="35"/>
        <v>9.299413908345636E-4</v>
      </c>
      <c r="AJ253" s="540">
        <f t="shared" si="35"/>
        <v>9.3021995788705259E-4</v>
      </c>
    </row>
    <row r="254" spans="1:38" x14ac:dyDescent="0.4">
      <c r="A254" s="533" t="s">
        <v>158</v>
      </c>
      <c r="B254" s="533" t="s">
        <v>1279</v>
      </c>
      <c r="C254" s="540">
        <f t="shared" ref="C254:AJ254" si="36">C214*$B$541</f>
        <v>1.96452E-3</v>
      </c>
      <c r="D254" s="540">
        <f t="shared" si="36"/>
        <v>1.96452E-3</v>
      </c>
      <c r="E254" s="540">
        <f t="shared" si="36"/>
        <v>1.96452E-3</v>
      </c>
      <c r="F254" s="540">
        <f t="shared" si="36"/>
        <v>1.367485682304112E-3</v>
      </c>
      <c r="G254" s="540">
        <f t="shared" si="36"/>
        <v>9.2227837692571255E-4</v>
      </c>
      <c r="H254" s="540">
        <f t="shared" si="36"/>
        <v>1.2244516495752646E-3</v>
      </c>
      <c r="I254" s="540">
        <f t="shared" si="36"/>
        <v>1.0472714791183464E-3</v>
      </c>
      <c r="J254" s="540">
        <f t="shared" si="36"/>
        <v>0</v>
      </c>
      <c r="K254" s="540">
        <f t="shared" si="36"/>
        <v>1.1573345876388027E-3</v>
      </c>
      <c r="L254" s="540">
        <f t="shared" si="36"/>
        <v>1.0860500599802324E-3</v>
      </c>
      <c r="M254" s="540">
        <f t="shared" si="36"/>
        <v>1.1242904191559955E-3</v>
      </c>
      <c r="N254" s="540">
        <f t="shared" si="36"/>
        <v>1.0901525126410195E-3</v>
      </c>
      <c r="O254" s="540">
        <f t="shared" si="36"/>
        <v>3.267897619317188E-4</v>
      </c>
      <c r="P254" s="540">
        <f t="shared" si="36"/>
        <v>5.5229315100872693E-4</v>
      </c>
      <c r="Q254" s="540">
        <f t="shared" si="36"/>
        <v>9.065452521302928E-5</v>
      </c>
      <c r="R254" s="540">
        <f t="shared" si="36"/>
        <v>0</v>
      </c>
      <c r="S254" s="540">
        <f t="shared" si="36"/>
        <v>0</v>
      </c>
      <c r="T254" s="540">
        <f t="shared" si="36"/>
        <v>4.7173834241565093E-4</v>
      </c>
      <c r="U254" s="540">
        <f t="shared" si="36"/>
        <v>5.0231472829247994E-4</v>
      </c>
      <c r="V254" s="540">
        <f t="shared" si="36"/>
        <v>6.9366896278266646E-4</v>
      </c>
      <c r="W254" s="540">
        <f t="shared" si="36"/>
        <v>5.2784521119076777E-4</v>
      </c>
      <c r="X254" s="540">
        <f t="shared" si="36"/>
        <v>9.272415906814278E-4</v>
      </c>
      <c r="Y254" s="540">
        <f t="shared" si="36"/>
        <v>1.0347520579981292E-3</v>
      </c>
      <c r="Z254" s="540">
        <f t="shared" si="36"/>
        <v>9.5506768796814966E-4</v>
      </c>
      <c r="AA254" s="540">
        <f t="shared" si="36"/>
        <v>1.1021602973206571E-3</v>
      </c>
      <c r="AB254" s="540">
        <f t="shared" si="36"/>
        <v>9.2270589608434042E-4</v>
      </c>
      <c r="AC254" s="540">
        <f t="shared" si="36"/>
        <v>1.0503448105606715E-3</v>
      </c>
      <c r="AD254" s="540">
        <f t="shared" si="36"/>
        <v>9.1415304394620595E-4</v>
      </c>
      <c r="AE254" s="540">
        <f t="shared" si="36"/>
        <v>3.5532792230515739E-4</v>
      </c>
      <c r="AF254" s="540">
        <f t="shared" si="36"/>
        <v>9.0718702625307182E-4</v>
      </c>
      <c r="AG254" s="540">
        <f t="shared" si="36"/>
        <v>8.75124938366423E-4</v>
      </c>
      <c r="AH254" s="540">
        <f t="shared" si="36"/>
        <v>7.564634703375266E-4</v>
      </c>
      <c r="AI254" s="540">
        <f t="shared" si="36"/>
        <v>7.6777790491465642E-4</v>
      </c>
      <c r="AJ254" s="540">
        <f t="shared" si="36"/>
        <v>7.8212694461134895E-4</v>
      </c>
    </row>
    <row r="255" spans="1:38" x14ac:dyDescent="0.4">
      <c r="A255" s="533" t="s">
        <v>159</v>
      </c>
      <c r="B255" s="533" t="s">
        <v>1279</v>
      </c>
      <c r="C255" s="540">
        <f t="shared" ref="C255:AJ255" si="37">C215*$B$541</f>
        <v>3.0623399999999995E-2</v>
      </c>
      <c r="D255" s="540">
        <f t="shared" si="37"/>
        <v>3.0623400000000005E-2</v>
      </c>
      <c r="E255" s="540">
        <f t="shared" si="37"/>
        <v>3.0623399999999999E-2</v>
      </c>
      <c r="F255" s="540">
        <f t="shared" si="37"/>
        <v>3.0623400000000005E-2</v>
      </c>
      <c r="G255" s="540">
        <f t="shared" si="37"/>
        <v>3.0623400000000002E-2</v>
      </c>
      <c r="H255" s="540">
        <f t="shared" si="37"/>
        <v>3.0615584769485872E-2</v>
      </c>
      <c r="I255" s="540">
        <f t="shared" si="37"/>
        <v>3.0612798007061664E-2</v>
      </c>
      <c r="J255" s="540">
        <f t="shared" si="37"/>
        <v>3.0601168931176929E-2</v>
      </c>
      <c r="K255" s="540">
        <f t="shared" si="37"/>
        <v>3.0602362332953426E-2</v>
      </c>
      <c r="L255" s="540">
        <f t="shared" si="37"/>
        <v>3.0588824795691662E-2</v>
      </c>
      <c r="M255" s="540">
        <f t="shared" si="37"/>
        <v>3.061596786684807E-2</v>
      </c>
      <c r="N255" s="540">
        <f t="shared" si="37"/>
        <v>3.060045594673589E-2</v>
      </c>
      <c r="O255" s="540">
        <f t="shared" si="37"/>
        <v>3.0596798757375837E-2</v>
      </c>
      <c r="P255" s="540">
        <f t="shared" si="37"/>
        <v>3.057014761776259E-2</v>
      </c>
      <c r="Q255" s="540">
        <f t="shared" si="37"/>
        <v>3.0445326672545223E-2</v>
      </c>
      <c r="R255" s="540">
        <f t="shared" si="37"/>
        <v>3.0308699641071361E-2</v>
      </c>
      <c r="S255" s="540">
        <f t="shared" si="37"/>
        <v>3.0220053751791123E-2</v>
      </c>
      <c r="T255" s="540">
        <f t="shared" si="37"/>
        <v>2.9447756481684881E-2</v>
      </c>
      <c r="U255" s="540">
        <f t="shared" si="37"/>
        <v>3.0092986654915138E-2</v>
      </c>
      <c r="V255" s="540">
        <f t="shared" si="37"/>
        <v>2.9906871058696338E-2</v>
      </c>
      <c r="W255" s="540">
        <f t="shared" si="37"/>
        <v>2.986568119799304E-2</v>
      </c>
      <c r="X255" s="540">
        <f t="shared" si="37"/>
        <v>2.8058426367581098E-2</v>
      </c>
      <c r="Y255" s="540">
        <f t="shared" si="37"/>
        <v>2.9961434340505144E-2</v>
      </c>
      <c r="Z255" s="540">
        <f t="shared" si="37"/>
        <v>2.9743591839406013E-2</v>
      </c>
      <c r="AA255" s="540">
        <f t="shared" si="37"/>
        <v>2.967663588591184E-2</v>
      </c>
      <c r="AB255" s="540">
        <f t="shared" si="37"/>
        <v>2.9720440533325544E-2</v>
      </c>
      <c r="AC255" s="540">
        <f t="shared" si="37"/>
        <v>2.9634206185412248E-2</v>
      </c>
      <c r="AD255" s="540">
        <f t="shared" si="37"/>
        <v>2.9985713935097445E-2</v>
      </c>
      <c r="AE255" s="540">
        <f t="shared" si="37"/>
        <v>3.0028904551491549E-2</v>
      </c>
      <c r="AF255" s="540">
        <f t="shared" si="37"/>
        <v>3.0012600981420029E-2</v>
      </c>
      <c r="AG255" s="540">
        <f t="shared" si="37"/>
        <v>3.0018000171512533E-2</v>
      </c>
      <c r="AH255" s="540">
        <f t="shared" si="37"/>
        <v>3.0022045905468545E-2</v>
      </c>
      <c r="AI255" s="540">
        <f t="shared" si="37"/>
        <v>3.0027678076971449E-2</v>
      </c>
      <c r="AJ255" s="540">
        <f t="shared" si="37"/>
        <v>3.003482083359113E-2</v>
      </c>
    </row>
    <row r="256" spans="1:38" x14ac:dyDescent="0.4">
      <c r="A256" s="581" t="s">
        <v>1063</v>
      </c>
      <c r="B256" s="581"/>
      <c r="C256" s="589"/>
      <c r="D256" s="589"/>
      <c r="E256" s="589"/>
      <c r="F256" s="589"/>
      <c r="G256" s="589"/>
      <c r="H256" s="589"/>
      <c r="I256" s="589"/>
      <c r="J256" s="589"/>
      <c r="K256" s="589"/>
      <c r="L256" s="589"/>
      <c r="M256" s="589"/>
      <c r="N256" s="589"/>
      <c r="O256" s="589"/>
      <c r="P256" s="589"/>
      <c r="Q256" s="589"/>
      <c r="R256" s="589"/>
      <c r="S256" s="589"/>
      <c r="T256" s="589"/>
      <c r="U256" s="589"/>
      <c r="V256" s="589"/>
      <c r="W256" s="589"/>
      <c r="X256" s="589"/>
      <c r="Y256" s="589"/>
      <c r="Z256" s="589"/>
      <c r="AA256" s="589"/>
      <c r="AB256" s="589"/>
      <c r="AC256" s="589"/>
      <c r="AD256" s="589"/>
      <c r="AE256" s="589"/>
      <c r="AF256" s="589"/>
      <c r="AG256" s="589"/>
      <c r="AH256" s="589"/>
      <c r="AI256" s="589"/>
      <c r="AJ256" s="589"/>
    </row>
    <row r="257" spans="1:38" x14ac:dyDescent="0.4">
      <c r="A257" s="581"/>
      <c r="B257" s="581"/>
      <c r="C257" s="589"/>
      <c r="D257" s="589"/>
      <c r="E257" s="589"/>
      <c r="F257" s="589"/>
      <c r="G257" s="589"/>
      <c r="H257" s="589"/>
      <c r="I257" s="589"/>
      <c r="J257" s="589"/>
      <c r="K257" s="589"/>
      <c r="L257" s="589"/>
      <c r="M257" s="589"/>
      <c r="N257" s="589"/>
      <c r="O257" s="589"/>
      <c r="P257" s="589"/>
      <c r="Q257" s="589"/>
      <c r="R257" s="589"/>
      <c r="S257" s="589"/>
      <c r="T257" s="589"/>
      <c r="U257" s="589"/>
      <c r="V257" s="589"/>
      <c r="W257" s="589"/>
      <c r="X257" s="589"/>
      <c r="Y257" s="589"/>
      <c r="Z257" s="589"/>
      <c r="AA257" s="589"/>
      <c r="AB257" s="589"/>
      <c r="AC257" s="589"/>
      <c r="AD257" s="589"/>
      <c r="AE257" s="589"/>
      <c r="AF257" s="589"/>
      <c r="AG257" s="589"/>
      <c r="AH257" s="589"/>
      <c r="AI257" s="589"/>
      <c r="AJ257" s="589"/>
    </row>
    <row r="258" spans="1:38" ht="17" x14ac:dyDescent="0.45">
      <c r="A258" s="90" t="s">
        <v>1454</v>
      </c>
      <c r="B258" s="581"/>
      <c r="C258" s="589"/>
      <c r="D258" s="589"/>
      <c r="E258" s="589"/>
      <c r="F258" s="589"/>
      <c r="G258" s="589"/>
      <c r="H258" s="589"/>
      <c r="I258" s="589"/>
      <c r="J258" s="589"/>
      <c r="K258" s="589"/>
      <c r="L258" s="589"/>
      <c r="M258" s="589"/>
      <c r="N258" s="589"/>
      <c r="O258" s="589"/>
      <c r="P258" s="589"/>
      <c r="Q258" s="589"/>
      <c r="R258" s="589"/>
      <c r="S258" s="589"/>
      <c r="T258" s="589"/>
      <c r="U258" s="589"/>
      <c r="V258" s="589"/>
      <c r="W258" s="589"/>
      <c r="X258" s="589"/>
      <c r="Y258" s="589"/>
      <c r="Z258" s="589"/>
      <c r="AA258" s="589"/>
      <c r="AB258" s="589"/>
      <c r="AC258" s="589"/>
      <c r="AD258" s="589"/>
      <c r="AE258" s="589"/>
      <c r="AF258" s="589"/>
      <c r="AG258" s="589"/>
      <c r="AH258" s="589"/>
      <c r="AI258" s="589"/>
      <c r="AJ258" s="589"/>
    </row>
    <row r="259" spans="1:38" s="90" customFormat="1" ht="17" x14ac:dyDescent="0.45">
      <c r="A259" s="88" t="s">
        <v>1455</v>
      </c>
      <c r="AK259" s="3"/>
      <c r="AL259" s="3"/>
    </row>
    <row r="260" spans="1:38" s="60" customFormat="1" x14ac:dyDescent="0.4">
      <c r="A260" s="90" t="s">
        <v>790</v>
      </c>
      <c r="B260" s="88" t="s">
        <v>136</v>
      </c>
      <c r="C260" s="230" t="s">
        <v>391</v>
      </c>
      <c r="D260" s="230" t="s">
        <v>392</v>
      </c>
      <c r="E260" s="230" t="s">
        <v>393</v>
      </c>
      <c r="F260" s="230" t="s">
        <v>394</v>
      </c>
      <c r="G260" s="230" t="s">
        <v>395</v>
      </c>
      <c r="H260" s="230" t="s">
        <v>396</v>
      </c>
      <c r="I260" s="230" t="s">
        <v>397</v>
      </c>
      <c r="J260" s="230" t="s">
        <v>398</v>
      </c>
      <c r="K260" s="230" t="s">
        <v>399</v>
      </c>
      <c r="L260" s="230" t="s">
        <v>400</v>
      </c>
      <c r="M260" s="230" t="s">
        <v>401</v>
      </c>
      <c r="N260" s="230" t="s">
        <v>402</v>
      </c>
      <c r="O260" s="230" t="s">
        <v>403</v>
      </c>
      <c r="P260" s="230" t="s">
        <v>404</v>
      </c>
      <c r="Q260" s="230" t="s">
        <v>405</v>
      </c>
      <c r="R260" s="230" t="s">
        <v>406</v>
      </c>
      <c r="S260" s="230" t="s">
        <v>407</v>
      </c>
      <c r="T260" s="230" t="s">
        <v>408</v>
      </c>
      <c r="U260" s="230" t="s">
        <v>409</v>
      </c>
      <c r="V260" s="230" t="s">
        <v>410</v>
      </c>
      <c r="W260" s="230" t="s">
        <v>411</v>
      </c>
      <c r="X260" s="230" t="s">
        <v>412</v>
      </c>
      <c r="Y260" s="230" t="s">
        <v>413</v>
      </c>
      <c r="Z260" s="230" t="s">
        <v>414</v>
      </c>
      <c r="AA260" s="230" t="s">
        <v>415</v>
      </c>
      <c r="AB260" s="230" t="s">
        <v>416</v>
      </c>
      <c r="AC260" s="230" t="s">
        <v>417</v>
      </c>
      <c r="AD260" s="230" t="s">
        <v>418</v>
      </c>
      <c r="AE260" s="230" t="s">
        <v>419</v>
      </c>
      <c r="AF260" s="230" t="s">
        <v>420</v>
      </c>
      <c r="AG260" s="230" t="s">
        <v>421</v>
      </c>
      <c r="AH260" s="230" t="s">
        <v>422</v>
      </c>
      <c r="AI260" s="230" t="s">
        <v>423</v>
      </c>
      <c r="AJ260" s="230" t="s">
        <v>424</v>
      </c>
      <c r="AK260" s="3"/>
      <c r="AL260" s="3"/>
    </row>
    <row r="261" spans="1:38" ht="17" x14ac:dyDescent="0.4">
      <c r="A261" s="28" t="s">
        <v>118</v>
      </c>
      <c r="B261" s="1411" t="s">
        <v>1389</v>
      </c>
      <c r="C261" s="89">
        <f t="shared" ref="C261:AJ261" si="38">C110*C$221</f>
        <v>5908.3644255267245</v>
      </c>
      <c r="D261" s="89">
        <f t="shared" si="38"/>
        <v>5808.6183306992252</v>
      </c>
      <c r="E261" s="89">
        <f t="shared" si="38"/>
        <v>5619.7374277280051</v>
      </c>
      <c r="F261" s="89">
        <f t="shared" si="38"/>
        <v>5320.6496792680036</v>
      </c>
      <c r="G261" s="89">
        <f t="shared" si="38"/>
        <v>5031.515243930714</v>
      </c>
      <c r="H261" s="89">
        <f t="shared" si="38"/>
        <v>4771.366654058801</v>
      </c>
      <c r="I261" s="89">
        <f t="shared" si="38"/>
        <v>4523.1594860786818</v>
      </c>
      <c r="J261" s="89">
        <f t="shared" si="38"/>
        <v>4285.4012396049557</v>
      </c>
      <c r="K261" s="89">
        <f t="shared" si="38"/>
        <v>4049.8358717732935</v>
      </c>
      <c r="L261" s="89">
        <f t="shared" si="38"/>
        <v>3860.7907061299193</v>
      </c>
      <c r="M261" s="89">
        <f t="shared" si="38"/>
        <v>4143.049265141718</v>
      </c>
      <c r="N261" s="89">
        <f t="shared" si="38"/>
        <v>3656.8862632638416</v>
      </c>
      <c r="O261" s="89">
        <f t="shared" si="38"/>
        <v>3531.2912785728495</v>
      </c>
      <c r="P261" s="89">
        <f t="shared" si="38"/>
        <v>3242.5354883166929</v>
      </c>
      <c r="Q261" s="89">
        <f t="shared" si="38"/>
        <v>3012.3793568508895</v>
      </c>
      <c r="R261" s="89">
        <f t="shared" si="38"/>
        <v>2739.4251051982001</v>
      </c>
      <c r="S261" s="89">
        <f t="shared" si="38"/>
        <v>2535.4643440620703</v>
      </c>
      <c r="T261" s="89">
        <f t="shared" si="38"/>
        <v>2314.4766041343896</v>
      </c>
      <c r="U261" s="89">
        <f t="shared" si="38"/>
        <v>2109.1272578141939</v>
      </c>
      <c r="V261" s="89">
        <f t="shared" si="38"/>
        <v>1902.4401681685804</v>
      </c>
      <c r="W261" s="89">
        <f t="shared" si="38"/>
        <v>1706.2018991473249</v>
      </c>
      <c r="X261" s="89">
        <f t="shared" si="38"/>
        <v>1504.1406680071027</v>
      </c>
      <c r="Y261" s="89">
        <f t="shared" si="38"/>
        <v>1397.2485593385909</v>
      </c>
      <c r="Z261" s="89">
        <f t="shared" si="38"/>
        <v>1325.2056450160849</v>
      </c>
      <c r="AA261" s="89">
        <f t="shared" si="38"/>
        <v>1280.8327842863966</v>
      </c>
      <c r="AB261" s="89">
        <f t="shared" si="38"/>
        <v>1221.230842853997</v>
      </c>
      <c r="AC261" s="89">
        <f t="shared" si="38"/>
        <v>1134.4523868391661</v>
      </c>
      <c r="AD261" s="89">
        <f t="shared" si="38"/>
        <v>1038.7781700926112</v>
      </c>
      <c r="AE261" s="89">
        <f t="shared" si="38"/>
        <v>986.96346459897165</v>
      </c>
      <c r="AF261" s="89">
        <f t="shared" si="38"/>
        <v>928.02129782967211</v>
      </c>
      <c r="AG261" s="89">
        <f t="shared" si="38"/>
        <v>871.16353665397946</v>
      </c>
      <c r="AH261" s="89">
        <f t="shared" si="38"/>
        <v>805.07495946726033</v>
      </c>
      <c r="AI261" s="89">
        <f t="shared" si="38"/>
        <v>802.50648943414649</v>
      </c>
      <c r="AJ261" s="89">
        <f t="shared" si="38"/>
        <v>730.45668451463644</v>
      </c>
    </row>
    <row r="262" spans="1:38" ht="17" x14ac:dyDescent="0.4">
      <c r="A262" s="28" t="s">
        <v>119</v>
      </c>
      <c r="B262" s="1411" t="s">
        <v>1389</v>
      </c>
      <c r="C262" s="89">
        <f t="shared" ref="C262:AJ262" si="39">C111*C$221</f>
        <v>6129.0791885492745</v>
      </c>
      <c r="D262" s="89">
        <f t="shared" si="39"/>
        <v>5955.0540869353408</v>
      </c>
      <c r="E262" s="89">
        <f t="shared" si="39"/>
        <v>5844.6967054240658</v>
      </c>
      <c r="F262" s="89">
        <f t="shared" si="39"/>
        <v>5487.1769683022803</v>
      </c>
      <c r="G262" s="89">
        <f t="shared" si="39"/>
        <v>5132.98115039195</v>
      </c>
      <c r="H262" s="89">
        <f t="shared" si="39"/>
        <v>4830.9846977008101</v>
      </c>
      <c r="I262" s="89">
        <f t="shared" si="39"/>
        <v>4365.3316714987614</v>
      </c>
      <c r="J262" s="89">
        <f t="shared" si="39"/>
        <v>4140.3761715422852</v>
      </c>
      <c r="K262" s="89">
        <f t="shared" si="39"/>
        <v>3883.4633040312233</v>
      </c>
      <c r="L262" s="89">
        <f t="shared" si="39"/>
        <v>3602.1890100559531</v>
      </c>
      <c r="M262" s="89">
        <f t="shared" si="39"/>
        <v>3370.454520288135</v>
      </c>
      <c r="N262" s="89">
        <f t="shared" si="39"/>
        <v>2496.3814899761919</v>
      </c>
      <c r="O262" s="89">
        <f t="shared" si="39"/>
        <v>2078.5171714028543</v>
      </c>
      <c r="P262" s="89">
        <f t="shared" si="39"/>
        <v>1749.122120433035</v>
      </c>
      <c r="Q262" s="89">
        <f t="shared" si="39"/>
        <v>1636.0504449752855</v>
      </c>
      <c r="R262" s="89">
        <f t="shared" si="39"/>
        <v>1278.7605346566527</v>
      </c>
      <c r="S262" s="89">
        <f t="shared" si="39"/>
        <v>1802.0750134388616</v>
      </c>
      <c r="T262" s="89">
        <f t="shared" si="39"/>
        <v>1588.9177583711478</v>
      </c>
      <c r="U262" s="89">
        <f t="shared" si="39"/>
        <v>1459.3829246479781</v>
      </c>
      <c r="V262" s="89">
        <f t="shared" si="39"/>
        <v>1310.7382422597911</v>
      </c>
      <c r="W262" s="89">
        <f t="shared" si="39"/>
        <v>1151.5140795600792</v>
      </c>
      <c r="X262" s="89">
        <f t="shared" si="39"/>
        <v>999.97205041725431</v>
      </c>
      <c r="Y262" s="89">
        <f t="shared" si="39"/>
        <v>1001.5827274668595</v>
      </c>
      <c r="Z262" s="89">
        <f t="shared" si="39"/>
        <v>990.2097971123203</v>
      </c>
      <c r="AA262" s="89">
        <f t="shared" si="39"/>
        <v>962.01950344572595</v>
      </c>
      <c r="AB262" s="89">
        <f t="shared" si="39"/>
        <v>958.98677943949019</v>
      </c>
      <c r="AC262" s="89">
        <f t="shared" si="39"/>
        <v>940.5596004024552</v>
      </c>
      <c r="AD262" s="89">
        <f t="shared" si="39"/>
        <v>900.38828119574873</v>
      </c>
      <c r="AE262" s="89">
        <f t="shared" si="39"/>
        <v>870.89135807233492</v>
      </c>
      <c r="AF262" s="89">
        <f t="shared" si="39"/>
        <v>842.84318296894105</v>
      </c>
      <c r="AG262" s="89">
        <f t="shared" si="39"/>
        <v>826.05252072027463</v>
      </c>
      <c r="AH262" s="89">
        <f t="shared" si="39"/>
        <v>785.06638841788526</v>
      </c>
      <c r="AI262" s="89">
        <f t="shared" si="39"/>
        <v>773.39716239218876</v>
      </c>
      <c r="AJ262" s="89">
        <f t="shared" si="39"/>
        <v>746.36190504833246</v>
      </c>
    </row>
    <row r="263" spans="1:38" ht="17" x14ac:dyDescent="0.4">
      <c r="A263" s="28" t="s">
        <v>120</v>
      </c>
      <c r="B263" s="1411" t="s">
        <v>1389</v>
      </c>
      <c r="C263" s="89">
        <f t="shared" ref="C263:AJ263" si="40">C112*C$222</f>
        <v>3.1306348953515886</v>
      </c>
      <c r="D263" s="89">
        <f t="shared" si="40"/>
        <v>3.0715663124204258</v>
      </c>
      <c r="E263" s="89">
        <f t="shared" si="40"/>
        <v>3.0715663124204258</v>
      </c>
      <c r="F263" s="89">
        <f t="shared" si="40"/>
        <v>3.1746914417173415</v>
      </c>
      <c r="G263" s="89">
        <f t="shared" si="40"/>
        <v>3.1517467028983241</v>
      </c>
      <c r="H263" s="89">
        <f t="shared" si="40"/>
        <v>3.2509054810684348</v>
      </c>
      <c r="I263" s="89">
        <f t="shared" si="40"/>
        <v>3.3500642592385463</v>
      </c>
      <c r="J263" s="89">
        <f t="shared" si="40"/>
        <v>3.4492230374086574</v>
      </c>
      <c r="K263" s="89">
        <f t="shared" si="40"/>
        <v>3.548381815578769</v>
      </c>
      <c r="L263" s="89">
        <f t="shared" si="40"/>
        <v>3.5016389699989245</v>
      </c>
      <c r="M263" s="89">
        <f t="shared" si="40"/>
        <v>3.5968313970422319</v>
      </c>
      <c r="N263" s="89">
        <f t="shared" si="40"/>
        <v>17.306361675400961</v>
      </c>
      <c r="O263" s="89">
        <f t="shared" si="40"/>
        <v>20.119586334121987</v>
      </c>
      <c r="P263" s="89">
        <f t="shared" si="40"/>
        <v>19.007625820217818</v>
      </c>
      <c r="Q263" s="89">
        <f t="shared" si="40"/>
        <v>19.954298877830876</v>
      </c>
      <c r="R263" s="89">
        <f t="shared" si="40"/>
        <v>20.57354682847464</v>
      </c>
      <c r="S263" s="89">
        <f t="shared" si="40"/>
        <v>17.228369962775115</v>
      </c>
      <c r="T263" s="89">
        <f t="shared" si="40"/>
        <v>17.593693119365462</v>
      </c>
      <c r="U263" s="89">
        <f t="shared" si="40"/>
        <v>17.385541174607464</v>
      </c>
      <c r="V263" s="89">
        <f t="shared" si="40"/>
        <v>17.527925958395191</v>
      </c>
      <c r="W263" s="89">
        <f t="shared" si="40"/>
        <v>15.724195450774451</v>
      </c>
      <c r="X263" s="89">
        <f t="shared" si="40"/>
        <v>15.063516384838813</v>
      </c>
      <c r="Y263" s="89">
        <f t="shared" si="40"/>
        <v>15.245694598630037</v>
      </c>
      <c r="Z263" s="89">
        <f t="shared" si="40"/>
        <v>15.407458790589104</v>
      </c>
      <c r="AA263" s="89">
        <f t="shared" si="40"/>
        <v>14.636853653654919</v>
      </c>
      <c r="AB263" s="89">
        <f t="shared" si="40"/>
        <v>14.372245361185991</v>
      </c>
      <c r="AC263" s="89">
        <f t="shared" si="40"/>
        <v>14.026077730307083</v>
      </c>
      <c r="AD263" s="89">
        <f t="shared" si="40"/>
        <v>13.846221490563124</v>
      </c>
      <c r="AE263" s="89">
        <f t="shared" si="40"/>
        <v>13.746183108693703</v>
      </c>
      <c r="AF263" s="89">
        <f t="shared" si="40"/>
        <v>13.576098509731963</v>
      </c>
      <c r="AG263" s="89">
        <f t="shared" si="40"/>
        <v>13.444616729305903</v>
      </c>
      <c r="AH263" s="89">
        <f t="shared" si="40"/>
        <v>12.913658663832612</v>
      </c>
      <c r="AI263" s="89">
        <f t="shared" si="40"/>
        <v>0</v>
      </c>
      <c r="AJ263" s="89">
        <f t="shared" si="40"/>
        <v>0</v>
      </c>
    </row>
    <row r="264" spans="1:38" ht="17" x14ac:dyDescent="0.4">
      <c r="A264" s="28" t="s">
        <v>121</v>
      </c>
      <c r="B264" s="1411" t="s">
        <v>1389</v>
      </c>
      <c r="C264" s="89">
        <f t="shared" ref="C264:AJ264" si="41">C113*C$222</f>
        <v>256.65299283589906</v>
      </c>
      <c r="D264" s="89">
        <f t="shared" si="41"/>
        <v>256.06230700658745</v>
      </c>
      <c r="E264" s="89">
        <f t="shared" si="41"/>
        <v>267.66928355256078</v>
      </c>
      <c r="F264" s="89">
        <f t="shared" si="41"/>
        <v>283.34121117327277</v>
      </c>
      <c r="G264" s="89">
        <f t="shared" si="41"/>
        <v>298.5964826325872</v>
      </c>
      <c r="H264" s="89">
        <f t="shared" si="41"/>
        <v>313.12721593651162</v>
      </c>
      <c r="I264" s="89">
        <f t="shared" si="41"/>
        <v>333.93440536089832</v>
      </c>
      <c r="J264" s="89">
        <f t="shared" si="41"/>
        <v>347.09531425443316</v>
      </c>
      <c r="K264" s="89">
        <f t="shared" si="41"/>
        <v>362.25429955243652</v>
      </c>
      <c r="L264" s="89">
        <f t="shared" si="41"/>
        <v>377.44750064113407</v>
      </c>
      <c r="M264" s="89">
        <f t="shared" si="41"/>
        <v>368.00081230988332</v>
      </c>
      <c r="N264" s="89">
        <f t="shared" si="41"/>
        <v>414.660425742607</v>
      </c>
      <c r="O264" s="89">
        <f t="shared" si="41"/>
        <v>433.55736041568753</v>
      </c>
      <c r="P264" s="89">
        <f t="shared" si="41"/>
        <v>462.48923767011985</v>
      </c>
      <c r="Q264" s="89">
        <f t="shared" si="41"/>
        <v>477.67122161452016</v>
      </c>
      <c r="R264" s="89">
        <f t="shared" si="41"/>
        <v>507.64520424132928</v>
      </c>
      <c r="S264" s="89">
        <f t="shared" si="41"/>
        <v>471.49394684459764</v>
      </c>
      <c r="T264" s="89">
        <f t="shared" si="41"/>
        <v>491.16593323140114</v>
      </c>
      <c r="U264" s="89">
        <f t="shared" si="41"/>
        <v>505.6964083133642</v>
      </c>
      <c r="V264" s="89">
        <f t="shared" si="41"/>
        <v>522.84275747266508</v>
      </c>
      <c r="W264" s="89">
        <f t="shared" si="41"/>
        <v>544.32570975951455</v>
      </c>
      <c r="X264" s="89">
        <f t="shared" si="41"/>
        <v>560.31033290253595</v>
      </c>
      <c r="Y264" s="89">
        <f t="shared" si="41"/>
        <v>558.0113850979119</v>
      </c>
      <c r="Z264" s="89">
        <f t="shared" si="41"/>
        <v>555.82485953674279</v>
      </c>
      <c r="AA264" s="89">
        <f t="shared" si="41"/>
        <v>565.50062214059085</v>
      </c>
      <c r="AB264" s="89">
        <f t="shared" si="41"/>
        <v>560.18562354641404</v>
      </c>
      <c r="AC264" s="89">
        <f t="shared" si="41"/>
        <v>559.30724011411974</v>
      </c>
      <c r="AD264" s="89">
        <f t="shared" si="41"/>
        <v>556.80299110415058</v>
      </c>
      <c r="AE264" s="89">
        <f t="shared" si="41"/>
        <v>555.98343101438672</v>
      </c>
      <c r="AF264" s="89">
        <f t="shared" si="41"/>
        <v>554.55667471126469</v>
      </c>
      <c r="AG264" s="89">
        <f t="shared" si="41"/>
        <v>552.88175743184149</v>
      </c>
      <c r="AH264" s="89">
        <f t="shared" si="41"/>
        <v>551.1695918187437</v>
      </c>
      <c r="AI264" s="89">
        <f t="shared" si="41"/>
        <v>556.75519713834467</v>
      </c>
      <c r="AJ264" s="89">
        <f t="shared" si="41"/>
        <v>556.04796254311702</v>
      </c>
    </row>
    <row r="265" spans="1:38" ht="17" x14ac:dyDescent="0.4">
      <c r="A265" s="28" t="s">
        <v>122</v>
      </c>
      <c r="B265" s="1411" t="s">
        <v>1389</v>
      </c>
      <c r="C265" s="89">
        <f t="shared" ref="C265:AJ265" si="42">C114*C$223</f>
        <v>456.55290719999999</v>
      </c>
      <c r="D265" s="89">
        <f t="shared" si="42"/>
        <v>506.55995639999992</v>
      </c>
      <c r="E265" s="89">
        <f t="shared" si="42"/>
        <v>562.29300360000002</v>
      </c>
      <c r="F265" s="89">
        <f t="shared" si="42"/>
        <v>600.07854213122266</v>
      </c>
      <c r="G265" s="89">
        <f t="shared" si="42"/>
        <v>618.42289238255262</v>
      </c>
      <c r="H265" s="89">
        <f t="shared" si="42"/>
        <v>642.29601061762207</v>
      </c>
      <c r="I265" s="89">
        <f t="shared" si="42"/>
        <v>654.14815257458793</v>
      </c>
      <c r="J265" s="89">
        <f t="shared" si="42"/>
        <v>664.81135683034574</v>
      </c>
      <c r="K265" s="89">
        <f t="shared" si="42"/>
        <v>669.24544094689554</v>
      </c>
      <c r="L265" s="89">
        <f t="shared" si="42"/>
        <v>666.89522368385065</v>
      </c>
      <c r="M265" s="89">
        <f t="shared" si="42"/>
        <v>669.41262619693316</v>
      </c>
      <c r="N265" s="89">
        <f t="shared" si="42"/>
        <v>670.34465389061609</v>
      </c>
      <c r="O265" s="89">
        <f t="shared" si="42"/>
        <v>648.13176047075285</v>
      </c>
      <c r="P265" s="89">
        <f t="shared" si="42"/>
        <v>623.331872984862</v>
      </c>
      <c r="Q265" s="89">
        <f t="shared" si="42"/>
        <v>602.36200770291089</v>
      </c>
      <c r="R265" s="89">
        <f t="shared" si="42"/>
        <v>579.42867561162109</v>
      </c>
      <c r="S265" s="89">
        <f t="shared" si="42"/>
        <v>520.57872294045831</v>
      </c>
      <c r="T265" s="89">
        <f t="shared" si="42"/>
        <v>473.6803878767164</v>
      </c>
      <c r="U265" s="89">
        <f t="shared" si="42"/>
        <v>421.94671097815558</v>
      </c>
      <c r="V265" s="89">
        <f t="shared" si="42"/>
        <v>364.63994978461977</v>
      </c>
      <c r="W265" s="89">
        <f t="shared" si="42"/>
        <v>304.61881906899777</v>
      </c>
      <c r="X265" s="89">
        <f t="shared" si="42"/>
        <v>243.31069035822853</v>
      </c>
      <c r="Y265" s="89">
        <f t="shared" si="42"/>
        <v>253.30520312821221</v>
      </c>
      <c r="Z265" s="89">
        <f t="shared" si="42"/>
        <v>262.4276314688808</v>
      </c>
      <c r="AA265" s="89">
        <f t="shared" si="42"/>
        <v>273.77248898883107</v>
      </c>
      <c r="AB265" s="89">
        <f t="shared" si="42"/>
        <v>282.37837656699361</v>
      </c>
      <c r="AC265" s="89">
        <f t="shared" si="42"/>
        <v>291.35798164645547</v>
      </c>
      <c r="AD265" s="89">
        <f t="shared" si="42"/>
        <v>301.96267369760318</v>
      </c>
      <c r="AE265" s="89">
        <f t="shared" si="42"/>
        <v>309.85202179180038</v>
      </c>
      <c r="AF265" s="89">
        <f t="shared" si="42"/>
        <v>317.78481400463562</v>
      </c>
      <c r="AG265" s="89">
        <f t="shared" si="42"/>
        <v>324.81739561573079</v>
      </c>
      <c r="AH265" s="89">
        <f t="shared" si="42"/>
        <v>332.92751252794739</v>
      </c>
      <c r="AI265" s="89">
        <f t="shared" si="42"/>
        <v>341.64786641604098</v>
      </c>
      <c r="AJ265" s="89">
        <f t="shared" si="42"/>
        <v>349.87559400002908</v>
      </c>
    </row>
    <row r="266" spans="1:38" ht="17" x14ac:dyDescent="0.4">
      <c r="A266" s="28" t="s">
        <v>123</v>
      </c>
      <c r="B266" s="1411" t="s">
        <v>1389</v>
      </c>
      <c r="C266" s="89">
        <f t="shared" ref="C266:AJ266" si="43">C115*C$220</f>
        <v>23699.401109999999</v>
      </c>
      <c r="D266" s="89">
        <f t="shared" si="43"/>
        <v>23441.948838</v>
      </c>
      <c r="E266" s="89">
        <f t="shared" si="43"/>
        <v>23064.965153999998</v>
      </c>
      <c r="F266" s="89">
        <f t="shared" si="43"/>
        <v>21286.58735231563</v>
      </c>
      <c r="G266" s="89">
        <f t="shared" si="43"/>
        <v>20765.415354001459</v>
      </c>
      <c r="H266" s="89">
        <f t="shared" si="43"/>
        <v>19731.739273568568</v>
      </c>
      <c r="I266" s="89">
        <f t="shared" si="43"/>
        <v>18583.285991427707</v>
      </c>
      <c r="J266" s="89">
        <f t="shared" si="43"/>
        <v>17555.812581847327</v>
      </c>
      <c r="K266" s="89">
        <f t="shared" si="43"/>
        <v>16556.19868132077</v>
      </c>
      <c r="L266" s="89">
        <f t="shared" si="43"/>
        <v>15600.857959915162</v>
      </c>
      <c r="M266" s="89">
        <f t="shared" si="43"/>
        <v>14404.649635120913</v>
      </c>
      <c r="N266" s="89">
        <f t="shared" si="43"/>
        <v>13358.265256480056</v>
      </c>
      <c r="O266" s="89">
        <f t="shared" si="43"/>
        <v>12373.331169380494</v>
      </c>
      <c r="P266" s="89">
        <f t="shared" si="43"/>
        <v>11478.235052791255</v>
      </c>
      <c r="Q266" s="89">
        <f t="shared" si="43"/>
        <v>10551.548169422113</v>
      </c>
      <c r="R266" s="89">
        <f t="shared" si="43"/>
        <v>9630.4914576510255</v>
      </c>
      <c r="S266" s="89">
        <f t="shared" si="43"/>
        <v>8721.4376873926358</v>
      </c>
      <c r="T266" s="89">
        <f t="shared" si="43"/>
        <v>7873.5554789713478</v>
      </c>
      <c r="U266" s="89">
        <f t="shared" si="43"/>
        <v>7040.6125434189807</v>
      </c>
      <c r="V266" s="89">
        <f t="shared" si="43"/>
        <v>6178.4263652387835</v>
      </c>
      <c r="W266" s="89">
        <f t="shared" si="43"/>
        <v>5340.1030489890054</v>
      </c>
      <c r="X266" s="89">
        <f t="shared" si="43"/>
        <v>4514.8063310573816</v>
      </c>
      <c r="Y266" s="89">
        <f t="shared" si="43"/>
        <v>4387.8667428812087</v>
      </c>
      <c r="Z266" s="89">
        <f t="shared" si="43"/>
        <v>4271.6469297533631</v>
      </c>
      <c r="AA266" s="89">
        <f t="shared" si="43"/>
        <v>3973.1620090997421</v>
      </c>
      <c r="AB266" s="89">
        <f t="shared" si="43"/>
        <v>3836.5592317134297</v>
      </c>
      <c r="AC266" s="89">
        <f t="shared" si="43"/>
        <v>3695.7497845332405</v>
      </c>
      <c r="AD266" s="89">
        <f t="shared" si="43"/>
        <v>3528.633317338094</v>
      </c>
      <c r="AE266" s="89">
        <f t="shared" si="43"/>
        <v>3385.5602536195775</v>
      </c>
      <c r="AF266" s="89">
        <f t="shared" si="43"/>
        <v>3250.4086905170388</v>
      </c>
      <c r="AG266" s="89">
        <f t="shared" si="43"/>
        <v>3139.1176825204493</v>
      </c>
      <c r="AH266" s="89">
        <f t="shared" si="43"/>
        <v>2963.1076094474661</v>
      </c>
      <c r="AI266" s="89">
        <f t="shared" si="43"/>
        <v>2792.9996040357678</v>
      </c>
      <c r="AJ266" s="89">
        <f t="shared" si="43"/>
        <v>2622.0305911064224</v>
      </c>
    </row>
    <row r="267" spans="1:38" ht="17" x14ac:dyDescent="0.4">
      <c r="A267" s="28" t="s">
        <v>124</v>
      </c>
      <c r="B267" s="1411" t="s">
        <v>1389</v>
      </c>
      <c r="C267" s="89">
        <f t="shared" ref="C267:AJ267" si="44">C116*C$220</f>
        <v>59.765705999999994</v>
      </c>
      <c r="D267" s="89">
        <f t="shared" si="44"/>
        <v>59.765706000000009</v>
      </c>
      <c r="E267" s="89">
        <f t="shared" si="44"/>
        <v>59.765705999999994</v>
      </c>
      <c r="F267" s="89">
        <f t="shared" si="44"/>
        <v>57.411957589233026</v>
      </c>
      <c r="G267" s="89">
        <f t="shared" si="44"/>
        <v>55.058209178466036</v>
      </c>
      <c r="H267" s="89">
        <f t="shared" si="44"/>
        <v>52.704460767699075</v>
      </c>
      <c r="I267" s="89">
        <f t="shared" si="44"/>
        <v>50.350712356932092</v>
      </c>
      <c r="J267" s="89">
        <f t="shared" si="44"/>
        <v>47.996963946165138</v>
      </c>
      <c r="K267" s="89">
        <f t="shared" si="44"/>
        <v>45.643215535398156</v>
      </c>
      <c r="L267" s="89">
        <f t="shared" si="44"/>
        <v>43.289467124631187</v>
      </c>
      <c r="M267" s="89">
        <f t="shared" si="44"/>
        <v>40.935718713864219</v>
      </c>
      <c r="N267" s="89">
        <f t="shared" si="44"/>
        <v>8.9035316084070573</v>
      </c>
      <c r="O267" s="89">
        <f t="shared" si="44"/>
        <v>8.3603588982300625</v>
      </c>
      <c r="P267" s="89">
        <f t="shared" si="44"/>
        <v>7.8171861880530678</v>
      </c>
      <c r="Q267" s="89">
        <f t="shared" si="44"/>
        <v>7.2740134778760748</v>
      </c>
      <c r="R267" s="89">
        <f t="shared" si="44"/>
        <v>6.7308407676990827</v>
      </c>
      <c r="S267" s="89">
        <f t="shared" si="44"/>
        <v>4.1251120383480586</v>
      </c>
      <c r="T267" s="89">
        <f t="shared" si="44"/>
        <v>3.5748470533185595</v>
      </c>
      <c r="U267" s="89">
        <f t="shared" si="44"/>
        <v>3.264846487787584</v>
      </c>
      <c r="V267" s="89">
        <f t="shared" si="44"/>
        <v>2.9172159532743098</v>
      </c>
      <c r="W267" s="89">
        <f t="shared" si="44"/>
        <v>2.5428189039822713</v>
      </c>
      <c r="X267" s="89">
        <f t="shared" si="44"/>
        <v>2.1872368391813852</v>
      </c>
      <c r="Y267" s="89">
        <f t="shared" si="44"/>
        <v>2.1872368391813857</v>
      </c>
      <c r="Z267" s="89">
        <f t="shared" si="44"/>
        <v>1.2729949857669443</v>
      </c>
      <c r="AA267" s="89">
        <f t="shared" si="44"/>
        <v>1.7821929800737213</v>
      </c>
      <c r="AB267" s="89">
        <f t="shared" si="44"/>
        <v>2.0830827039822721</v>
      </c>
      <c r="AC267" s="89">
        <f t="shared" si="44"/>
        <v>2.0830827039822717</v>
      </c>
      <c r="AD267" s="89">
        <f t="shared" si="44"/>
        <v>1.5854573913642851</v>
      </c>
      <c r="AE267" s="89">
        <f t="shared" si="44"/>
        <v>1.5738847096754942</v>
      </c>
      <c r="AF267" s="89">
        <f t="shared" si="44"/>
        <v>1.7011842082521884</v>
      </c>
      <c r="AG267" s="89">
        <f t="shared" si="44"/>
        <v>1.2729949857669443</v>
      </c>
      <c r="AH267" s="89">
        <f t="shared" si="44"/>
        <v>1.2382769407005727</v>
      </c>
      <c r="AI267" s="89">
        <f t="shared" si="44"/>
        <v>0.85637844497048943</v>
      </c>
      <c r="AJ267" s="89">
        <f t="shared" si="44"/>
        <v>0.56706140275072947</v>
      </c>
    </row>
    <row r="268" spans="1:38" ht="17" x14ac:dyDescent="0.4">
      <c r="A268" s="28" t="s">
        <v>125</v>
      </c>
      <c r="B268" s="1411" t="s">
        <v>1389</v>
      </c>
      <c r="C268" s="587">
        <f t="shared" ref="C268:AJ268" si="45">C117*C$220</f>
        <v>0</v>
      </c>
      <c r="D268" s="587">
        <f t="shared" si="45"/>
        <v>0</v>
      </c>
      <c r="E268" s="587">
        <f t="shared" si="45"/>
        <v>0</v>
      </c>
      <c r="F268" s="587">
        <f t="shared" si="45"/>
        <v>0</v>
      </c>
      <c r="G268" s="587">
        <f t="shared" si="45"/>
        <v>0</v>
      </c>
      <c r="H268" s="587">
        <f t="shared" si="45"/>
        <v>0</v>
      </c>
      <c r="I268" s="587">
        <f t="shared" si="45"/>
        <v>0</v>
      </c>
      <c r="J268" s="587">
        <f t="shared" si="45"/>
        <v>0</v>
      </c>
      <c r="K268" s="587">
        <f t="shared" si="45"/>
        <v>0</v>
      </c>
      <c r="L268" s="587">
        <f t="shared" si="45"/>
        <v>0</v>
      </c>
      <c r="M268" s="587">
        <f t="shared" si="45"/>
        <v>0</v>
      </c>
      <c r="N268" s="587">
        <f t="shared" si="45"/>
        <v>0</v>
      </c>
      <c r="O268" s="587">
        <f t="shared" si="45"/>
        <v>5.573572598820042</v>
      </c>
      <c r="P268" s="587">
        <f t="shared" si="45"/>
        <v>0</v>
      </c>
      <c r="Q268" s="587">
        <f t="shared" si="45"/>
        <v>0</v>
      </c>
      <c r="R268" s="587">
        <f t="shared" si="45"/>
        <v>0</v>
      </c>
      <c r="S268" s="587">
        <f t="shared" si="45"/>
        <v>0.12169080513126772</v>
      </c>
      <c r="T268" s="587">
        <f t="shared" si="45"/>
        <v>0.11100840849778684</v>
      </c>
      <c r="U268" s="587">
        <f t="shared" si="45"/>
        <v>7.311895779940944E-2</v>
      </c>
      <c r="V268" s="587">
        <f t="shared" si="45"/>
        <v>6.5333482286872552E-2</v>
      </c>
      <c r="W268" s="587">
        <f t="shared" si="45"/>
        <v>8.6991173030972452E-2</v>
      </c>
      <c r="X268" s="587">
        <f t="shared" si="45"/>
        <v>7.5222430977137586E-2</v>
      </c>
      <c r="Y268" s="587">
        <f t="shared" si="45"/>
        <v>7.52224309771376E-2</v>
      </c>
      <c r="Z268" s="587">
        <f t="shared" si="45"/>
        <v>4.5133458586282559E-2</v>
      </c>
      <c r="AA268" s="587">
        <f t="shared" si="45"/>
        <v>6.9436090132742392E-2</v>
      </c>
      <c r="AB268" s="587">
        <f t="shared" si="45"/>
        <v>6.9436090132742406E-2</v>
      </c>
      <c r="AC268" s="587">
        <f t="shared" si="45"/>
        <v>6.9436090132742392E-2</v>
      </c>
      <c r="AD268" s="587">
        <f t="shared" si="45"/>
        <v>6.9436090132742406E-2</v>
      </c>
      <c r="AE268" s="587">
        <f t="shared" si="45"/>
        <v>3.2403508728613119E-2</v>
      </c>
      <c r="AF268" s="587">
        <f t="shared" si="45"/>
        <v>1.9673558870943679E-2</v>
      </c>
      <c r="AG268" s="587">
        <f t="shared" si="45"/>
        <v>1.9673558870943682E-2</v>
      </c>
      <c r="AH268" s="587">
        <f t="shared" si="45"/>
        <v>1.9673558870943679E-2</v>
      </c>
      <c r="AI268" s="587">
        <f t="shared" si="45"/>
        <v>1.9673558870943679E-2</v>
      </c>
      <c r="AJ268" s="587">
        <f t="shared" si="45"/>
        <v>1.9673558870943679E-2</v>
      </c>
    </row>
    <row r="269" spans="1:38" ht="17" x14ac:dyDescent="0.4">
      <c r="A269" s="28" t="s">
        <v>63</v>
      </c>
      <c r="B269" s="1411" t="s">
        <v>1389</v>
      </c>
      <c r="C269" s="587">
        <f t="shared" ref="C269:AJ269" si="46">C118*C$221</f>
        <v>0</v>
      </c>
      <c r="D269" s="587">
        <f t="shared" si="46"/>
        <v>0</v>
      </c>
      <c r="E269" s="587">
        <f t="shared" si="46"/>
        <v>0</v>
      </c>
      <c r="F269" s="587">
        <f t="shared" si="46"/>
        <v>0</v>
      </c>
      <c r="G269" s="587">
        <f t="shared" si="46"/>
        <v>0</v>
      </c>
      <c r="H269" s="587">
        <f t="shared" si="46"/>
        <v>0</v>
      </c>
      <c r="I269" s="587">
        <f t="shared" si="46"/>
        <v>0</v>
      </c>
      <c r="J269" s="587">
        <f t="shared" si="46"/>
        <v>7.1617317561812506</v>
      </c>
      <c r="K269" s="587">
        <f t="shared" si="46"/>
        <v>5.1722041785099533</v>
      </c>
      <c r="L269" s="587">
        <f t="shared" si="46"/>
        <v>0</v>
      </c>
      <c r="M269" s="587">
        <f t="shared" si="46"/>
        <v>0</v>
      </c>
      <c r="N269" s="587">
        <f t="shared" si="46"/>
        <v>13.724760787895987</v>
      </c>
      <c r="O269" s="587">
        <f t="shared" si="46"/>
        <v>80.223469773443512</v>
      </c>
      <c r="P269" s="587">
        <f t="shared" si="46"/>
        <v>12.715820803566984</v>
      </c>
      <c r="Q269" s="587">
        <f t="shared" si="46"/>
        <v>22.788766969337999</v>
      </c>
      <c r="R269" s="587">
        <f t="shared" si="46"/>
        <v>1.9295752989507258</v>
      </c>
      <c r="S269" s="587">
        <f t="shared" si="46"/>
        <v>0.15272307496542148</v>
      </c>
      <c r="T269" s="587">
        <f t="shared" si="46"/>
        <v>0</v>
      </c>
      <c r="U269" s="587">
        <f t="shared" si="46"/>
        <v>2.3329223809834039</v>
      </c>
      <c r="V269" s="587">
        <f t="shared" si="46"/>
        <v>0</v>
      </c>
      <c r="W269" s="587">
        <f t="shared" si="46"/>
        <v>0</v>
      </c>
      <c r="X269" s="587">
        <f t="shared" si="46"/>
        <v>0</v>
      </c>
      <c r="Y269" s="587">
        <f t="shared" si="46"/>
        <v>0</v>
      </c>
      <c r="Z269" s="587">
        <f t="shared" si="46"/>
        <v>0.55124776029272315</v>
      </c>
      <c r="AA269" s="587">
        <f t="shared" si="46"/>
        <v>0.68905970036590392</v>
      </c>
      <c r="AB269" s="587">
        <f t="shared" si="46"/>
        <v>0.6890597003659038</v>
      </c>
      <c r="AC269" s="587">
        <f t="shared" si="46"/>
        <v>0.68905970036590403</v>
      </c>
      <c r="AD269" s="587">
        <f t="shared" si="46"/>
        <v>0.68992102499136154</v>
      </c>
      <c r="AE269" s="587">
        <f t="shared" si="46"/>
        <v>0.68992102499136132</v>
      </c>
      <c r="AF269" s="587">
        <f t="shared" si="46"/>
        <v>0.60378856244562329</v>
      </c>
      <c r="AG269" s="587">
        <f t="shared" si="46"/>
        <v>0.60378856244562329</v>
      </c>
      <c r="AH269" s="587">
        <f t="shared" si="46"/>
        <v>0.60292723782016588</v>
      </c>
      <c r="AI269" s="587">
        <f t="shared" si="46"/>
        <v>0.602927237820166</v>
      </c>
      <c r="AJ269" s="587">
        <f t="shared" si="46"/>
        <v>0.602927237820166</v>
      </c>
    </row>
    <row r="270" spans="1:38" ht="17" x14ac:dyDescent="0.4">
      <c r="A270" s="1297" t="s">
        <v>1008</v>
      </c>
      <c r="B270" s="1411" t="s">
        <v>1389</v>
      </c>
      <c r="C270" s="89">
        <f>SUM(C261:C269)</f>
        <v>36512.94696500725</v>
      </c>
      <c r="D270" s="89">
        <f t="shared" ref="D270:AG270" si="47">SUM(D261:D269)</f>
        <v>36031.080791353575</v>
      </c>
      <c r="E270" s="89">
        <f t="shared" si="47"/>
        <v>35422.198846617051</v>
      </c>
      <c r="F270" s="89">
        <f t="shared" si="47"/>
        <v>33038.42040222136</v>
      </c>
      <c r="G270" s="89">
        <f t="shared" si="47"/>
        <v>31905.14107922063</v>
      </c>
      <c r="H270" s="89">
        <f t="shared" si="47"/>
        <v>30345.469218131078</v>
      </c>
      <c r="I270" s="89">
        <f t="shared" si="47"/>
        <v>28513.560483556805</v>
      </c>
      <c r="J270" s="89">
        <f t="shared" si="47"/>
        <v>27052.104582819102</v>
      </c>
      <c r="K270" s="89">
        <f t="shared" si="47"/>
        <v>25575.361399154106</v>
      </c>
      <c r="L270" s="89">
        <f t="shared" si="47"/>
        <v>24154.971506520647</v>
      </c>
      <c r="M270" s="89">
        <f t="shared" si="47"/>
        <v>23000.099409168488</v>
      </c>
      <c r="N270" s="89">
        <f t="shared" si="47"/>
        <v>20636.47274342502</v>
      </c>
      <c r="O270" s="89">
        <f t="shared" si="47"/>
        <v>19179.105727847251</v>
      </c>
      <c r="P270" s="89">
        <f t="shared" si="47"/>
        <v>17595.254405007803</v>
      </c>
      <c r="Q270" s="89">
        <f t="shared" si="47"/>
        <v>16330.028279890765</v>
      </c>
      <c r="R270" s="89">
        <f t="shared" si="47"/>
        <v>14764.984940253953</v>
      </c>
      <c r="S270" s="89">
        <f t="shared" si="47"/>
        <v>14072.677610559844</v>
      </c>
      <c r="T270" s="89">
        <f t="shared" si="47"/>
        <v>12763.075711166184</v>
      </c>
      <c r="U270" s="89">
        <f t="shared" si="47"/>
        <v>11559.82227417385</v>
      </c>
      <c r="V270" s="89">
        <f t="shared" si="47"/>
        <v>10299.597958318396</v>
      </c>
      <c r="W270" s="89">
        <f t="shared" si="47"/>
        <v>9065.1175620527101</v>
      </c>
      <c r="X270" s="89">
        <f t="shared" si="47"/>
        <v>7839.8660483975</v>
      </c>
      <c r="Y270" s="89">
        <f t="shared" si="47"/>
        <v>7615.5227717815715</v>
      </c>
      <c r="Z270" s="89">
        <f t="shared" si="47"/>
        <v>7422.5916978826262</v>
      </c>
      <c r="AA270" s="89">
        <f t="shared" si="47"/>
        <v>7072.4649503855126</v>
      </c>
      <c r="AB270" s="89">
        <f t="shared" si="47"/>
        <v>6876.5546779759916</v>
      </c>
      <c r="AC270" s="89">
        <f t="shared" si="47"/>
        <v>6638.2946497602243</v>
      </c>
      <c r="AD270" s="89">
        <f t="shared" si="47"/>
        <v>6342.7564694252587</v>
      </c>
      <c r="AE270" s="89">
        <f t="shared" si="47"/>
        <v>6125.2929214491596</v>
      </c>
      <c r="AF270" s="89">
        <f t="shared" si="47"/>
        <v>5909.5154048708528</v>
      </c>
      <c r="AG270" s="89">
        <f t="shared" si="47"/>
        <v>5729.373966778664</v>
      </c>
      <c r="AH270" s="89">
        <f t="shared" ref="AH270:AI270" si="48">SUM(AH261:AH269)</f>
        <v>5452.1205980805262</v>
      </c>
      <c r="AI270" s="89">
        <f t="shared" si="48"/>
        <v>5268.7852986581493</v>
      </c>
      <c r="AJ270" s="89">
        <f t="shared" ref="AJ270" si="49">SUM(AJ261:AJ269)</f>
        <v>5005.9623994119784</v>
      </c>
    </row>
    <row r="271" spans="1:38" x14ac:dyDescent="0.4">
      <c r="A271" s="581" t="s">
        <v>1063</v>
      </c>
      <c r="B271" s="581"/>
      <c r="C271" s="89"/>
      <c r="D271" s="89"/>
      <c r="E271" s="89"/>
      <c r="F271" s="89"/>
      <c r="G271" s="89"/>
      <c r="H271" s="89"/>
      <c r="I271" s="89"/>
      <c r="J271" s="89"/>
      <c r="K271" s="89"/>
      <c r="L271" s="89"/>
      <c r="M271" s="89"/>
      <c r="N271" s="89"/>
      <c r="O271" s="89"/>
      <c r="P271" s="89"/>
      <c r="Q271" s="89"/>
      <c r="R271" s="89"/>
      <c r="S271" s="89"/>
      <c r="T271" s="89"/>
      <c r="U271" s="89"/>
      <c r="V271" s="89"/>
      <c r="W271" s="89"/>
      <c r="X271" s="89"/>
      <c r="Y271" s="89"/>
      <c r="Z271" s="89"/>
      <c r="AA271" s="89"/>
      <c r="AB271" s="89"/>
      <c r="AC271" s="89"/>
      <c r="AD271" s="89"/>
      <c r="AE271" s="89"/>
      <c r="AF271" s="89"/>
      <c r="AG271" s="89"/>
      <c r="AH271" s="89"/>
      <c r="AI271" s="89"/>
      <c r="AJ271" s="89"/>
    </row>
    <row r="272" spans="1:38" x14ac:dyDescent="0.4">
      <c r="B272" s="581"/>
      <c r="C272" s="89"/>
      <c r="D272" s="89"/>
      <c r="E272" s="89"/>
      <c r="F272" s="89"/>
      <c r="G272" s="89"/>
      <c r="H272" s="89"/>
      <c r="I272" s="89"/>
      <c r="J272" s="89"/>
      <c r="K272" s="89"/>
      <c r="L272" s="89"/>
      <c r="M272" s="89"/>
      <c r="N272" s="89"/>
      <c r="O272" s="89"/>
      <c r="P272" s="89"/>
      <c r="Q272" s="89"/>
      <c r="R272" s="89"/>
      <c r="S272" s="89"/>
      <c r="T272" s="89"/>
      <c r="U272" s="89"/>
      <c r="V272" s="89"/>
      <c r="W272" s="89"/>
      <c r="X272" s="89"/>
      <c r="Y272" s="89"/>
      <c r="Z272" s="89"/>
      <c r="AA272" s="89"/>
      <c r="AB272" s="89"/>
      <c r="AC272" s="89"/>
      <c r="AD272" s="89"/>
      <c r="AE272" s="89"/>
      <c r="AF272" s="89"/>
      <c r="AG272" s="89"/>
      <c r="AH272" s="89"/>
      <c r="AI272" s="89"/>
      <c r="AJ272" s="89"/>
    </row>
    <row r="273" spans="1:38" ht="17" x14ac:dyDescent="0.45">
      <c r="A273" s="88" t="s">
        <v>1456</v>
      </c>
      <c r="B273" s="581"/>
      <c r="C273" s="89"/>
      <c r="D273" s="89"/>
      <c r="E273" s="89"/>
      <c r="F273" s="89"/>
      <c r="G273" s="89"/>
      <c r="H273" s="89"/>
      <c r="I273" s="89"/>
      <c r="J273" s="89"/>
      <c r="K273" s="89"/>
      <c r="L273" s="89"/>
      <c r="M273" s="89"/>
      <c r="N273" s="89"/>
      <c r="O273" s="89"/>
      <c r="P273" s="89"/>
      <c r="Q273" s="89"/>
      <c r="R273" s="89"/>
      <c r="S273" s="89"/>
      <c r="T273" s="89"/>
      <c r="U273" s="89"/>
      <c r="V273" s="89"/>
      <c r="W273" s="89"/>
      <c r="X273" s="89"/>
      <c r="Y273" s="89"/>
      <c r="Z273" s="89"/>
      <c r="AA273" s="89"/>
      <c r="AB273" s="89"/>
      <c r="AC273" s="89"/>
      <c r="AD273" s="89"/>
      <c r="AE273" s="89"/>
      <c r="AF273" s="89"/>
      <c r="AG273" s="89"/>
      <c r="AH273" s="89"/>
      <c r="AI273" s="89"/>
      <c r="AJ273" s="89"/>
    </row>
    <row r="274" spans="1:38" s="60" customFormat="1" x14ac:dyDescent="0.4">
      <c r="A274" s="90" t="s">
        <v>790</v>
      </c>
      <c r="B274" s="88" t="s">
        <v>136</v>
      </c>
      <c r="C274" s="230" t="s">
        <v>391</v>
      </c>
      <c r="D274" s="230" t="s">
        <v>392</v>
      </c>
      <c r="E274" s="230" t="s">
        <v>393</v>
      </c>
      <c r="F274" s="230" t="s">
        <v>394</v>
      </c>
      <c r="G274" s="230" t="s">
        <v>395</v>
      </c>
      <c r="H274" s="230" t="s">
        <v>396</v>
      </c>
      <c r="I274" s="230" t="s">
        <v>397</v>
      </c>
      <c r="J274" s="230" t="s">
        <v>398</v>
      </c>
      <c r="K274" s="230" t="s">
        <v>399</v>
      </c>
      <c r="L274" s="230" t="s">
        <v>400</v>
      </c>
      <c r="M274" s="230" t="s">
        <v>401</v>
      </c>
      <c r="N274" s="230" t="s">
        <v>402</v>
      </c>
      <c r="O274" s="230" t="s">
        <v>403</v>
      </c>
      <c r="P274" s="230" t="s">
        <v>404</v>
      </c>
      <c r="Q274" s="230" t="s">
        <v>405</v>
      </c>
      <c r="R274" s="230" t="s">
        <v>406</v>
      </c>
      <c r="S274" s="230" t="s">
        <v>407</v>
      </c>
      <c r="T274" s="230" t="s">
        <v>408</v>
      </c>
      <c r="U274" s="230" t="s">
        <v>409</v>
      </c>
      <c r="V274" s="230" t="s">
        <v>410</v>
      </c>
      <c r="W274" s="230" t="s">
        <v>411</v>
      </c>
      <c r="X274" s="230" t="s">
        <v>412</v>
      </c>
      <c r="Y274" s="230" t="s">
        <v>413</v>
      </c>
      <c r="Z274" s="230" t="s">
        <v>414</v>
      </c>
      <c r="AA274" s="230" t="s">
        <v>415</v>
      </c>
      <c r="AB274" s="230" t="s">
        <v>416</v>
      </c>
      <c r="AC274" s="230" t="s">
        <v>417</v>
      </c>
      <c r="AD274" s="230" t="s">
        <v>418</v>
      </c>
      <c r="AE274" s="230" t="s">
        <v>419</v>
      </c>
      <c r="AF274" s="230" t="s">
        <v>420</v>
      </c>
      <c r="AG274" s="230" t="s">
        <v>421</v>
      </c>
      <c r="AH274" s="230" t="s">
        <v>422</v>
      </c>
      <c r="AI274" s="230" t="s">
        <v>423</v>
      </c>
      <c r="AJ274" s="230" t="s">
        <v>424</v>
      </c>
      <c r="AK274" s="3"/>
      <c r="AL274" s="3"/>
    </row>
    <row r="275" spans="1:38" ht="17" x14ac:dyDescent="0.4">
      <c r="A275" s="28" t="s">
        <v>118</v>
      </c>
      <c r="B275" s="1411" t="s">
        <v>1389</v>
      </c>
      <c r="C275" s="89">
        <f t="shared" ref="C275:AJ275" si="50">C127*C$224</f>
        <v>15570.905099141453</v>
      </c>
      <c r="D275" s="89">
        <f t="shared" si="50"/>
        <v>15300.432323552126</v>
      </c>
      <c r="E275" s="89">
        <f t="shared" si="50"/>
        <v>14843.606196827075</v>
      </c>
      <c r="F275" s="89">
        <f t="shared" si="50"/>
        <v>14093.826310049153</v>
      </c>
      <c r="G275" s="89">
        <f t="shared" si="50"/>
        <v>13184.175792513586</v>
      </c>
      <c r="H275" s="89">
        <f t="shared" si="50"/>
        <v>12785.586537424022</v>
      </c>
      <c r="I275" s="89">
        <f t="shared" si="50"/>
        <v>12011.132456174091</v>
      </c>
      <c r="J275" s="89">
        <f t="shared" si="50"/>
        <v>11445.615863216681</v>
      </c>
      <c r="K275" s="89">
        <f t="shared" si="50"/>
        <v>10889.66078632724</v>
      </c>
      <c r="L275" s="89">
        <f t="shared" si="50"/>
        <v>10377.768127256733</v>
      </c>
      <c r="M275" s="89">
        <f t="shared" si="50"/>
        <v>7930.3563846627494</v>
      </c>
      <c r="N275" s="89">
        <f t="shared" si="50"/>
        <v>7469.8752964671821</v>
      </c>
      <c r="O275" s="89">
        <f t="shared" si="50"/>
        <v>7088.0895423041156</v>
      </c>
      <c r="P275" s="89">
        <f t="shared" si="50"/>
        <v>6647.2599441298134</v>
      </c>
      <c r="Q275" s="89">
        <f t="shared" si="50"/>
        <v>4681.6769001438715</v>
      </c>
      <c r="R275" s="89">
        <f t="shared" si="50"/>
        <v>4399.7619848173881</v>
      </c>
      <c r="S275" s="89">
        <f t="shared" si="50"/>
        <v>4344.6390672070947</v>
      </c>
      <c r="T275" s="89">
        <f t="shared" si="50"/>
        <v>4050.2547235331954</v>
      </c>
      <c r="U275" s="89">
        <f t="shared" si="50"/>
        <v>3735.8790256902462</v>
      </c>
      <c r="V275" s="89">
        <f t="shared" si="50"/>
        <v>3401.1011178707499</v>
      </c>
      <c r="W275" s="89">
        <f t="shared" si="50"/>
        <v>3100.9567403798819</v>
      </c>
      <c r="X275" s="89">
        <f t="shared" si="50"/>
        <v>2910.354997115935</v>
      </c>
      <c r="Y275" s="89">
        <f t="shared" si="50"/>
        <v>2786.5809957751694</v>
      </c>
      <c r="Z275" s="89">
        <f t="shared" si="50"/>
        <v>2731.3723441939828</v>
      </c>
      <c r="AA275" s="89">
        <f t="shared" si="50"/>
        <v>2616.4062305890761</v>
      </c>
      <c r="AB275" s="89">
        <f t="shared" si="50"/>
        <v>2500.4695109343302</v>
      </c>
      <c r="AC275" s="89">
        <f t="shared" si="50"/>
        <v>2381.6354597875243</v>
      </c>
      <c r="AD275" s="89">
        <f t="shared" si="50"/>
        <v>2245.4463930032857</v>
      </c>
      <c r="AE275" s="89">
        <f t="shared" si="50"/>
        <v>2130.4657927409194</v>
      </c>
      <c r="AF275" s="89">
        <f t="shared" si="50"/>
        <v>2036.577765740743</v>
      </c>
      <c r="AG275" s="89">
        <f t="shared" si="50"/>
        <v>1986.830584022088</v>
      </c>
      <c r="AH275" s="89">
        <f t="shared" si="50"/>
        <v>1885.7716615790653</v>
      </c>
      <c r="AI275" s="89">
        <f t="shared" si="50"/>
        <v>1775.9917713449449</v>
      </c>
      <c r="AJ275" s="89">
        <f t="shared" si="50"/>
        <v>1680.3798321069935</v>
      </c>
    </row>
    <row r="276" spans="1:38" ht="17" x14ac:dyDescent="0.4">
      <c r="A276" s="28" t="s">
        <v>119</v>
      </c>
      <c r="B276" s="1411" t="s">
        <v>1389</v>
      </c>
      <c r="C276" s="89">
        <f t="shared" ref="C276:AJ276" si="51">C128*C$224</f>
        <v>3268.2427320908223</v>
      </c>
      <c r="D276" s="89">
        <f t="shared" si="51"/>
        <v>3272.3373302437426</v>
      </c>
      <c r="E276" s="89">
        <f t="shared" si="51"/>
        <v>3146.2892207042332</v>
      </c>
      <c r="F276" s="89">
        <f t="shared" si="51"/>
        <v>3014.0259414962688</v>
      </c>
      <c r="G276" s="89">
        <f t="shared" si="51"/>
        <v>2852.5717880974912</v>
      </c>
      <c r="H276" s="89">
        <f t="shared" si="51"/>
        <v>2734.4555901452704</v>
      </c>
      <c r="I276" s="89">
        <f t="shared" si="51"/>
        <v>2610.9887967901859</v>
      </c>
      <c r="J276" s="89">
        <f t="shared" si="51"/>
        <v>2436.5673670328642</v>
      </c>
      <c r="K276" s="89">
        <f t="shared" si="51"/>
        <v>2298.020116619713</v>
      </c>
      <c r="L276" s="89">
        <f t="shared" si="51"/>
        <v>2095.2238385682558</v>
      </c>
      <c r="M276" s="89">
        <f t="shared" si="51"/>
        <v>1938.1065849578915</v>
      </c>
      <c r="N276" s="89">
        <f t="shared" si="51"/>
        <v>1857.0987173918397</v>
      </c>
      <c r="O276" s="89">
        <f t="shared" si="51"/>
        <v>1732.7233037407821</v>
      </c>
      <c r="P276" s="89">
        <f t="shared" si="51"/>
        <v>1636.7024251084081</v>
      </c>
      <c r="Q276" s="89">
        <f t="shared" si="51"/>
        <v>1540.4516055103145</v>
      </c>
      <c r="R276" s="89">
        <f t="shared" si="51"/>
        <v>1500.1112920896351</v>
      </c>
      <c r="S276" s="89">
        <f t="shared" si="51"/>
        <v>1398.0663938587886</v>
      </c>
      <c r="T276" s="89">
        <f t="shared" si="51"/>
        <v>1307.0512454987356</v>
      </c>
      <c r="U276" s="89">
        <f t="shared" si="51"/>
        <v>1216.016384700677</v>
      </c>
      <c r="V276" s="89">
        <f t="shared" si="51"/>
        <v>1096.8001375868243</v>
      </c>
      <c r="W276" s="89">
        <f t="shared" si="51"/>
        <v>1021.3605946745705</v>
      </c>
      <c r="X276" s="89">
        <f t="shared" si="51"/>
        <v>846.88999512888358</v>
      </c>
      <c r="Y276" s="89">
        <f t="shared" si="51"/>
        <v>812.49867031814165</v>
      </c>
      <c r="Z276" s="89">
        <f t="shared" si="51"/>
        <v>810.76027142290627</v>
      </c>
      <c r="AA276" s="89">
        <f t="shared" si="51"/>
        <v>783.97444177881948</v>
      </c>
      <c r="AB276" s="89">
        <f t="shared" si="51"/>
        <v>749.67003691283946</v>
      </c>
      <c r="AC276" s="89">
        <f t="shared" si="51"/>
        <v>709.68686232242328</v>
      </c>
      <c r="AD276" s="89">
        <f t="shared" si="51"/>
        <v>637.54330817015114</v>
      </c>
      <c r="AE276" s="89">
        <f t="shared" si="51"/>
        <v>615.26282899621651</v>
      </c>
      <c r="AF276" s="89">
        <f t="shared" si="51"/>
        <v>582.92860954483649</v>
      </c>
      <c r="AG276" s="89">
        <f t="shared" si="51"/>
        <v>573.71509540008856</v>
      </c>
      <c r="AH276" s="89">
        <f t="shared" si="51"/>
        <v>538.10689136268184</v>
      </c>
      <c r="AI276" s="89">
        <f t="shared" si="51"/>
        <v>503.81697315416204</v>
      </c>
      <c r="AJ276" s="89">
        <f t="shared" si="51"/>
        <v>471.39583375802033</v>
      </c>
    </row>
    <row r="277" spans="1:38" ht="17" x14ac:dyDescent="0.4">
      <c r="A277" s="28" t="s">
        <v>120</v>
      </c>
      <c r="B277" s="1411" t="s">
        <v>1389</v>
      </c>
      <c r="C277" s="89">
        <f t="shared" ref="C277:AJ277" si="52">C129*C$225</f>
        <v>1.5874769429036009</v>
      </c>
      <c r="D277" s="89">
        <f t="shared" si="52"/>
        <v>1.5738797099879382</v>
      </c>
      <c r="E277" s="89">
        <f t="shared" si="52"/>
        <v>1.5738797099879385</v>
      </c>
      <c r="F277" s="89">
        <f t="shared" si="52"/>
        <v>1.5028758723894873</v>
      </c>
      <c r="G277" s="89">
        <f t="shared" si="52"/>
        <v>1.4268452516189802</v>
      </c>
      <c r="H277" s="89">
        <f t="shared" si="52"/>
        <v>1.377123180036911</v>
      </c>
      <c r="I277" s="89">
        <f t="shared" si="52"/>
        <v>1.3274011084548416</v>
      </c>
      <c r="J277" s="89">
        <f t="shared" si="52"/>
        <v>1.277679036872772</v>
      </c>
      <c r="K277" s="89">
        <f t="shared" si="52"/>
        <v>1.2279569652907025</v>
      </c>
      <c r="L277" s="89">
        <f t="shared" si="52"/>
        <v>1.1782348937086327</v>
      </c>
      <c r="M277" s="89">
        <f t="shared" si="52"/>
        <v>1.128512822126563</v>
      </c>
      <c r="N277" s="89">
        <f t="shared" si="52"/>
        <v>1.0787907505444938</v>
      </c>
      <c r="O277" s="89">
        <f t="shared" si="52"/>
        <v>1.0290686789624242</v>
      </c>
      <c r="P277" s="89">
        <f t="shared" si="52"/>
        <v>0.97934660738035451</v>
      </c>
      <c r="Q277" s="89">
        <f t="shared" si="52"/>
        <v>0</v>
      </c>
      <c r="R277" s="89">
        <f t="shared" si="52"/>
        <v>0</v>
      </c>
      <c r="S277" s="89">
        <f t="shared" si="52"/>
        <v>0</v>
      </c>
      <c r="T277" s="89">
        <f t="shared" si="52"/>
        <v>0</v>
      </c>
      <c r="U277" s="89">
        <f t="shared" si="52"/>
        <v>0</v>
      </c>
      <c r="V277" s="89">
        <f t="shared" si="52"/>
        <v>0</v>
      </c>
      <c r="W277" s="89">
        <f t="shared" si="52"/>
        <v>6.3269810208828645E-2</v>
      </c>
      <c r="X277" s="89">
        <f t="shared" si="52"/>
        <v>0.43002505908307587</v>
      </c>
      <c r="Y277" s="89">
        <f t="shared" si="52"/>
        <v>0.43132031528513332</v>
      </c>
      <c r="Z277" s="89">
        <f t="shared" si="52"/>
        <v>8.8077421739907097E-2</v>
      </c>
      <c r="AA277" s="89">
        <f t="shared" si="52"/>
        <v>7.90106283255049E-2</v>
      </c>
      <c r="AB277" s="89">
        <f t="shared" si="52"/>
        <v>2.0724099232919319E-2</v>
      </c>
      <c r="AC277" s="89">
        <f t="shared" si="52"/>
        <v>1.424781822263203E-2</v>
      </c>
      <c r="AD277" s="89">
        <f t="shared" si="52"/>
        <v>1.424781822263203E-2</v>
      </c>
      <c r="AE277" s="89">
        <f t="shared" si="52"/>
        <v>1.4247818222632032E-2</v>
      </c>
      <c r="AF277" s="89">
        <f t="shared" si="52"/>
        <v>1.1657305818517117E-2</v>
      </c>
      <c r="AG277" s="89">
        <f t="shared" si="52"/>
        <v>0</v>
      </c>
      <c r="AH277" s="89">
        <f t="shared" si="52"/>
        <v>0</v>
      </c>
      <c r="AI277" s="89">
        <f t="shared" si="52"/>
        <v>0</v>
      </c>
      <c r="AJ277" s="89">
        <f t="shared" si="52"/>
        <v>0</v>
      </c>
    </row>
    <row r="278" spans="1:38" ht="17" x14ac:dyDescent="0.4">
      <c r="A278" s="28" t="s">
        <v>121</v>
      </c>
      <c r="B278" s="1411" t="s">
        <v>1389</v>
      </c>
      <c r="C278" s="89">
        <f t="shared" ref="C278:AJ278" si="53">C130*C$225</f>
        <v>510.07979698170647</v>
      </c>
      <c r="D278" s="89">
        <f t="shared" si="53"/>
        <v>517.2149449542004</v>
      </c>
      <c r="E278" s="89">
        <f t="shared" si="53"/>
        <v>523.5104637941522</v>
      </c>
      <c r="F278" s="89">
        <f t="shared" si="53"/>
        <v>506.25212346445261</v>
      </c>
      <c r="G278" s="89">
        <f t="shared" si="53"/>
        <v>502.35121910006325</v>
      </c>
      <c r="H278" s="89">
        <f t="shared" si="53"/>
        <v>483.74442111047136</v>
      </c>
      <c r="I278" s="89">
        <f t="shared" si="53"/>
        <v>446.92028456223551</v>
      </c>
      <c r="J278" s="89">
        <f t="shared" si="53"/>
        <v>430.00444494521133</v>
      </c>
      <c r="K278" s="89">
        <f t="shared" si="53"/>
        <v>413.27315571824334</v>
      </c>
      <c r="L278" s="89">
        <f t="shared" si="53"/>
        <v>403.55201142312268</v>
      </c>
      <c r="M278" s="89">
        <f t="shared" si="53"/>
        <v>552.95117570932757</v>
      </c>
      <c r="N278" s="89">
        <f t="shared" si="53"/>
        <v>528.58824655075659</v>
      </c>
      <c r="O278" s="89">
        <f t="shared" si="53"/>
        <v>502.31157051705486</v>
      </c>
      <c r="P278" s="89">
        <f t="shared" si="53"/>
        <v>475.55675303769249</v>
      </c>
      <c r="Q278" s="89">
        <f t="shared" si="53"/>
        <v>335.90916327939766</v>
      </c>
      <c r="R278" s="89">
        <f t="shared" si="53"/>
        <v>336.7988356516513</v>
      </c>
      <c r="S278" s="89">
        <f t="shared" si="53"/>
        <v>329.3967204653697</v>
      </c>
      <c r="T278" s="89">
        <f t="shared" si="53"/>
        <v>309.1988140839789</v>
      </c>
      <c r="U278" s="89">
        <f t="shared" si="53"/>
        <v>287.50484103034086</v>
      </c>
      <c r="V278" s="89">
        <f t="shared" si="53"/>
        <v>265.76085353083852</v>
      </c>
      <c r="W278" s="89">
        <f t="shared" si="53"/>
        <v>235.03890895110391</v>
      </c>
      <c r="X278" s="89">
        <f t="shared" si="53"/>
        <v>212.65386799759131</v>
      </c>
      <c r="Y278" s="89">
        <f t="shared" si="53"/>
        <v>209.79264704724639</v>
      </c>
      <c r="Z278" s="89">
        <f t="shared" si="53"/>
        <v>204.72819529720172</v>
      </c>
      <c r="AA278" s="89">
        <f t="shared" si="53"/>
        <v>201.67527642895229</v>
      </c>
      <c r="AB278" s="89">
        <f t="shared" si="53"/>
        <v>199.36842513308795</v>
      </c>
      <c r="AC278" s="89">
        <f t="shared" si="53"/>
        <v>196.7144451750722</v>
      </c>
      <c r="AD278" s="89">
        <f t="shared" si="53"/>
        <v>193.96591151430627</v>
      </c>
      <c r="AE278" s="89">
        <f t="shared" si="53"/>
        <v>190.06330457750718</v>
      </c>
      <c r="AF278" s="89">
        <f t="shared" si="53"/>
        <v>187.15934017249435</v>
      </c>
      <c r="AG278" s="89">
        <f t="shared" si="53"/>
        <v>185.45607826678881</v>
      </c>
      <c r="AH278" s="89">
        <f t="shared" si="53"/>
        <v>182.11820303408675</v>
      </c>
      <c r="AI278" s="89">
        <f t="shared" si="53"/>
        <v>179.57431985324587</v>
      </c>
      <c r="AJ278" s="89">
        <f t="shared" si="53"/>
        <v>177.09001845769967</v>
      </c>
    </row>
    <row r="279" spans="1:38" ht="17" x14ac:dyDescent="0.4">
      <c r="A279" s="28" t="s">
        <v>122</v>
      </c>
      <c r="B279" s="1411" t="s">
        <v>1389</v>
      </c>
      <c r="C279" s="89">
        <f t="shared" ref="C279:AJ279" si="54">C131*C$226</f>
        <v>42.338590555879264</v>
      </c>
      <c r="D279" s="89">
        <f t="shared" si="54"/>
        <v>44.954442819857483</v>
      </c>
      <c r="E279" s="89">
        <f t="shared" si="54"/>
        <v>49.449224498065817</v>
      </c>
      <c r="F279" s="89">
        <f t="shared" si="54"/>
        <v>55.08001606987343</v>
      </c>
      <c r="G279" s="89">
        <f t="shared" si="54"/>
        <v>61.683076900088146</v>
      </c>
      <c r="H279" s="89">
        <f t="shared" si="54"/>
        <v>66.721668333809589</v>
      </c>
      <c r="I279" s="89">
        <f t="shared" si="54"/>
        <v>73.945089703907158</v>
      </c>
      <c r="J279" s="89">
        <f t="shared" si="54"/>
        <v>80.718233861232733</v>
      </c>
      <c r="K279" s="89">
        <f t="shared" si="54"/>
        <v>88.215250612685537</v>
      </c>
      <c r="L279" s="89">
        <f t="shared" si="54"/>
        <v>94.4127666275037</v>
      </c>
      <c r="M279" s="89">
        <f t="shared" si="54"/>
        <v>102.30886793412981</v>
      </c>
      <c r="N279" s="89">
        <f t="shared" si="54"/>
        <v>109.18208676797265</v>
      </c>
      <c r="O279" s="89">
        <f t="shared" si="54"/>
        <v>116.70845611644836</v>
      </c>
      <c r="P279" s="89">
        <f t="shared" si="54"/>
        <v>124.00573415198843</v>
      </c>
      <c r="Q279" s="89">
        <f t="shared" si="54"/>
        <v>125.45321472662651</v>
      </c>
      <c r="R279" s="89">
        <f t="shared" si="54"/>
        <v>135.88192233197742</v>
      </c>
      <c r="S279" s="89">
        <f t="shared" si="54"/>
        <v>146.4272298512484</v>
      </c>
      <c r="T279" s="89">
        <f t="shared" si="54"/>
        <v>153.95776097233585</v>
      </c>
      <c r="U279" s="89">
        <f t="shared" si="54"/>
        <v>161.81512014511119</v>
      </c>
      <c r="V279" s="89">
        <f t="shared" si="54"/>
        <v>170.15785282247975</v>
      </c>
      <c r="W279" s="89">
        <f t="shared" si="54"/>
        <v>179.12988050402737</v>
      </c>
      <c r="X279" s="89">
        <f t="shared" si="54"/>
        <v>187.05895382231671</v>
      </c>
      <c r="Y279" s="89">
        <f t="shared" si="54"/>
        <v>195.08237479251662</v>
      </c>
      <c r="Z279" s="89">
        <f t="shared" si="54"/>
        <v>202.78915098599839</v>
      </c>
      <c r="AA279" s="89">
        <f t="shared" si="54"/>
        <v>209.51232961724901</v>
      </c>
      <c r="AB279" s="89">
        <f t="shared" si="54"/>
        <v>215.9919758039471</v>
      </c>
      <c r="AC279" s="89">
        <f t="shared" si="54"/>
        <v>221.84858920323205</v>
      </c>
      <c r="AD279" s="89">
        <f t="shared" si="54"/>
        <v>230.04532321982518</v>
      </c>
      <c r="AE279" s="89">
        <f t="shared" si="54"/>
        <v>235.64604345652958</v>
      </c>
      <c r="AF279" s="89">
        <f t="shared" si="54"/>
        <v>242.16198281531007</v>
      </c>
      <c r="AG279" s="89">
        <f t="shared" si="54"/>
        <v>245.86967223572043</v>
      </c>
      <c r="AH279" s="89">
        <f t="shared" si="54"/>
        <v>251.39017930224296</v>
      </c>
      <c r="AI279" s="89">
        <f t="shared" si="54"/>
        <v>256.15720855705626</v>
      </c>
      <c r="AJ279" s="89">
        <f t="shared" si="54"/>
        <v>260.5728778270726</v>
      </c>
    </row>
    <row r="280" spans="1:38" ht="17" x14ac:dyDescent="0.4">
      <c r="A280" s="28" t="s">
        <v>123</v>
      </c>
      <c r="B280" s="1411" t="s">
        <v>1389</v>
      </c>
      <c r="C280" s="89">
        <f t="shared" ref="C280:AJ280" si="55">C132*C$224</f>
        <v>242.85880564603005</v>
      </c>
      <c r="D280" s="89">
        <f t="shared" si="55"/>
        <v>239.02626177489631</v>
      </c>
      <c r="E280" s="89">
        <f t="shared" si="55"/>
        <v>237.12636823194111</v>
      </c>
      <c r="F280" s="89">
        <f t="shared" si="55"/>
        <v>209.62575064386201</v>
      </c>
      <c r="G280" s="89">
        <f t="shared" si="55"/>
        <v>200.54182467476716</v>
      </c>
      <c r="H280" s="89">
        <f t="shared" si="55"/>
        <v>189.62763506529652</v>
      </c>
      <c r="I280" s="89">
        <f t="shared" si="55"/>
        <v>178.2039677943896</v>
      </c>
      <c r="J280" s="89">
        <f t="shared" si="55"/>
        <v>172.20688157161939</v>
      </c>
      <c r="K280" s="89">
        <f t="shared" si="55"/>
        <v>166.32255236197966</v>
      </c>
      <c r="L280" s="89">
        <f t="shared" si="55"/>
        <v>160.3442484960006</v>
      </c>
      <c r="M280" s="89">
        <f t="shared" si="55"/>
        <v>106.14646286238356</v>
      </c>
      <c r="N280" s="89">
        <f t="shared" si="55"/>
        <v>101.5679947448308</v>
      </c>
      <c r="O280" s="89">
        <f t="shared" si="55"/>
        <v>96.150557942264641</v>
      </c>
      <c r="P280" s="89">
        <f t="shared" si="55"/>
        <v>90.824408906129648</v>
      </c>
      <c r="Q280" s="89">
        <f t="shared" si="55"/>
        <v>44.514854526881351</v>
      </c>
      <c r="R280" s="89">
        <f t="shared" si="55"/>
        <v>42.132836700736476</v>
      </c>
      <c r="S280" s="89">
        <f t="shared" si="55"/>
        <v>39.688963029679243</v>
      </c>
      <c r="T280" s="89">
        <f t="shared" si="55"/>
        <v>36.940995296724203</v>
      </c>
      <c r="U280" s="89">
        <f t="shared" si="55"/>
        <v>34.621229049705711</v>
      </c>
      <c r="V280" s="89">
        <f t="shared" si="55"/>
        <v>31.408412330428522</v>
      </c>
      <c r="W280" s="89">
        <f t="shared" si="55"/>
        <v>28.223940202230057</v>
      </c>
      <c r="X280" s="89">
        <f t="shared" si="55"/>
        <v>25.235757295835018</v>
      </c>
      <c r="Y280" s="89">
        <f t="shared" si="55"/>
        <v>23.72914491996427</v>
      </c>
      <c r="Z280" s="89">
        <f t="shared" si="55"/>
        <v>22.932378759648014</v>
      </c>
      <c r="AA280" s="89">
        <f t="shared" si="55"/>
        <v>22.294965831394997</v>
      </c>
      <c r="AB280" s="89">
        <f t="shared" si="55"/>
        <v>21.614092930761107</v>
      </c>
      <c r="AC280" s="89">
        <f t="shared" si="55"/>
        <v>20.91873337266691</v>
      </c>
      <c r="AD280" s="89">
        <f t="shared" si="55"/>
        <v>20.23786047203302</v>
      </c>
      <c r="AE280" s="89">
        <f t="shared" si="55"/>
        <v>19.890180692985926</v>
      </c>
      <c r="AF280" s="89">
        <f t="shared" si="55"/>
        <v>19.470067626637348</v>
      </c>
      <c r="AG280" s="89">
        <f t="shared" si="55"/>
        <v>19.194821134891736</v>
      </c>
      <c r="AH280" s="89">
        <f t="shared" si="55"/>
        <v>18.49946157679754</v>
      </c>
      <c r="AI280" s="89">
        <f t="shared" si="55"/>
        <v>18.224215085051924</v>
      </c>
      <c r="AJ280" s="89">
        <f t="shared" si="55"/>
        <v>17.586802156798914</v>
      </c>
    </row>
    <row r="281" spans="1:38" ht="17" x14ac:dyDescent="0.4">
      <c r="A281" s="28" t="s">
        <v>124</v>
      </c>
      <c r="B281" s="1411" t="s">
        <v>1389</v>
      </c>
      <c r="C281" s="89">
        <f t="shared" ref="C281:AJ281" si="56">C133*C$224</f>
        <v>43.337226850512238</v>
      </c>
      <c r="D281" s="89">
        <f t="shared" si="56"/>
        <v>0</v>
      </c>
      <c r="E281" s="89">
        <f t="shared" si="56"/>
        <v>0</v>
      </c>
      <c r="F281" s="89">
        <f t="shared" si="56"/>
        <v>0</v>
      </c>
      <c r="G281" s="89">
        <f t="shared" si="56"/>
        <v>0</v>
      </c>
      <c r="H281" s="89">
        <f t="shared" si="56"/>
        <v>0</v>
      </c>
      <c r="I281" s="89">
        <f t="shared" si="56"/>
        <v>0</v>
      </c>
      <c r="J281" s="89">
        <f t="shared" si="56"/>
        <v>0</v>
      </c>
      <c r="K281" s="89">
        <f t="shared" si="56"/>
        <v>0</v>
      </c>
      <c r="L281" s="89">
        <f t="shared" si="56"/>
        <v>0</v>
      </c>
      <c r="M281" s="89">
        <f t="shared" si="56"/>
        <v>0</v>
      </c>
      <c r="N281" s="89">
        <f t="shared" si="56"/>
        <v>0</v>
      </c>
      <c r="O281" s="89">
        <f t="shared" si="56"/>
        <v>0</v>
      </c>
      <c r="P281" s="89">
        <f t="shared" si="56"/>
        <v>0</v>
      </c>
      <c r="Q281" s="89">
        <f t="shared" si="56"/>
        <v>0</v>
      </c>
      <c r="R281" s="89">
        <f t="shared" si="56"/>
        <v>0</v>
      </c>
      <c r="S281" s="89">
        <f t="shared" si="56"/>
        <v>0</v>
      </c>
      <c r="T281" s="89">
        <f t="shared" si="56"/>
        <v>0</v>
      </c>
      <c r="U281" s="89">
        <f t="shared" si="56"/>
        <v>0</v>
      </c>
      <c r="V281" s="89">
        <f t="shared" si="56"/>
        <v>0</v>
      </c>
      <c r="W281" s="89">
        <f t="shared" si="56"/>
        <v>0</v>
      </c>
      <c r="X281" s="89">
        <f t="shared" si="56"/>
        <v>0</v>
      </c>
      <c r="Y281" s="89">
        <f t="shared" si="56"/>
        <v>0</v>
      </c>
      <c r="Z281" s="89">
        <f t="shared" si="56"/>
        <v>0</v>
      </c>
      <c r="AA281" s="89">
        <f t="shared" si="56"/>
        <v>0</v>
      </c>
      <c r="AB281" s="89">
        <f t="shared" si="56"/>
        <v>0</v>
      </c>
      <c r="AC281" s="89">
        <f t="shared" si="56"/>
        <v>0</v>
      </c>
      <c r="AD281" s="89">
        <f t="shared" si="56"/>
        <v>0</v>
      </c>
      <c r="AE281" s="89">
        <f t="shared" si="56"/>
        <v>0</v>
      </c>
      <c r="AF281" s="89">
        <f t="shared" si="56"/>
        <v>0</v>
      </c>
      <c r="AG281" s="89">
        <f t="shared" si="56"/>
        <v>0</v>
      </c>
      <c r="AH281" s="89">
        <f t="shared" si="56"/>
        <v>0</v>
      </c>
      <c r="AI281" s="89">
        <f t="shared" si="56"/>
        <v>0</v>
      </c>
      <c r="AJ281" s="89">
        <f t="shared" si="56"/>
        <v>0</v>
      </c>
    </row>
    <row r="282" spans="1:38" ht="17" x14ac:dyDescent="0.4">
      <c r="A282" s="28" t="s">
        <v>125</v>
      </c>
      <c r="B282" s="1411" t="s">
        <v>1389</v>
      </c>
      <c r="C282" s="89">
        <f t="shared" ref="C282:AJ282" si="57">C134*C$227</f>
        <v>69.05644875706507</v>
      </c>
      <c r="D282" s="89">
        <f t="shared" si="57"/>
        <v>74.47888376728433</v>
      </c>
      <c r="E282" s="89">
        <f t="shared" si="57"/>
        <v>97.4470840951236</v>
      </c>
      <c r="F282" s="89">
        <f t="shared" si="57"/>
        <v>72.455879558413002</v>
      </c>
      <c r="G282" s="89">
        <f t="shared" si="57"/>
        <v>71.809301942018294</v>
      </c>
      <c r="H282" s="89">
        <f t="shared" si="57"/>
        <v>70.932503507664876</v>
      </c>
      <c r="I282" s="89">
        <f t="shared" si="57"/>
        <v>70.447570295368848</v>
      </c>
      <c r="J282" s="89">
        <f t="shared" si="57"/>
        <v>69.952840452521386</v>
      </c>
      <c r="K282" s="89">
        <f t="shared" si="57"/>
        <v>69.460559767311764</v>
      </c>
      <c r="L282" s="89">
        <f t="shared" si="57"/>
        <v>69.164211693130866</v>
      </c>
      <c r="M282" s="89">
        <f t="shared" si="57"/>
        <v>78.774706264088579</v>
      </c>
      <c r="N282" s="89">
        <f t="shared" si="57"/>
        <v>78.490603978096942</v>
      </c>
      <c r="O282" s="89">
        <f t="shared" si="57"/>
        <v>77.927297721389451</v>
      </c>
      <c r="P282" s="89">
        <f t="shared" si="57"/>
        <v>77.270923474443293</v>
      </c>
      <c r="Q282" s="89">
        <f t="shared" si="57"/>
        <v>60.97422855213123</v>
      </c>
      <c r="R282" s="89">
        <f t="shared" si="57"/>
        <v>60.151311585810689</v>
      </c>
      <c r="S282" s="89">
        <f t="shared" si="57"/>
        <v>60.180701477465007</v>
      </c>
      <c r="T282" s="89">
        <f t="shared" si="57"/>
        <v>59.754548048477574</v>
      </c>
      <c r="U282" s="89">
        <f t="shared" si="57"/>
        <v>59.31369967366301</v>
      </c>
      <c r="V282" s="89">
        <f t="shared" si="57"/>
        <v>58.182188844972274</v>
      </c>
      <c r="W282" s="89">
        <f t="shared" si="57"/>
        <v>57.187830844001617</v>
      </c>
      <c r="X282" s="89">
        <f t="shared" si="57"/>
        <v>55.968150340347968</v>
      </c>
      <c r="Y282" s="89">
        <f t="shared" si="57"/>
        <v>54.817046250554363</v>
      </c>
      <c r="Z282" s="89">
        <f t="shared" si="57"/>
        <v>53.406331451147729</v>
      </c>
      <c r="AA282" s="89">
        <f t="shared" si="57"/>
        <v>52.583414484827188</v>
      </c>
      <c r="AB282" s="89">
        <f t="shared" si="57"/>
        <v>51.613548060235125</v>
      </c>
      <c r="AC282" s="89">
        <f t="shared" si="57"/>
        <v>50.633885005091628</v>
      </c>
      <c r="AD282" s="89">
        <f t="shared" si="57"/>
        <v>48.826406668351872</v>
      </c>
      <c r="AE282" s="89">
        <f t="shared" si="57"/>
        <v>47.763472253521179</v>
      </c>
      <c r="AF282" s="89">
        <f t="shared" si="57"/>
        <v>46.098045059777242</v>
      </c>
      <c r="AG282" s="89">
        <f t="shared" si="57"/>
        <v>45.480857335036838</v>
      </c>
      <c r="AH282" s="89">
        <f t="shared" si="57"/>
        <v>44.398329659103268</v>
      </c>
      <c r="AI282" s="89">
        <f t="shared" si="57"/>
        <v>43.487243017819814</v>
      </c>
      <c r="AJ282" s="89">
        <f t="shared" si="57"/>
        <v>41.880595607384478</v>
      </c>
    </row>
    <row r="283" spans="1:38" ht="17" x14ac:dyDescent="0.4">
      <c r="A283" s="28" t="s">
        <v>63</v>
      </c>
      <c r="B283" s="1411" t="s">
        <v>1389</v>
      </c>
      <c r="C283" s="89">
        <f t="shared" ref="C283:AJ283" si="58">C135*C$224</f>
        <v>0</v>
      </c>
      <c r="D283" s="89">
        <f t="shared" si="58"/>
        <v>0</v>
      </c>
      <c r="E283" s="89">
        <f t="shared" si="58"/>
        <v>0</v>
      </c>
      <c r="F283" s="89">
        <f t="shared" si="58"/>
        <v>0</v>
      </c>
      <c r="G283" s="89">
        <f t="shared" si="58"/>
        <v>0</v>
      </c>
      <c r="H283" s="89">
        <f t="shared" si="58"/>
        <v>0</v>
      </c>
      <c r="I283" s="89">
        <f t="shared" si="58"/>
        <v>0</v>
      </c>
      <c r="J283" s="89">
        <f t="shared" si="58"/>
        <v>0</v>
      </c>
      <c r="K283" s="89">
        <f t="shared" si="58"/>
        <v>0</v>
      </c>
      <c r="L283" s="89">
        <f t="shared" si="58"/>
        <v>0</v>
      </c>
      <c r="M283" s="89">
        <f t="shared" si="58"/>
        <v>1991.3176689382553</v>
      </c>
      <c r="N283" s="89">
        <f t="shared" si="58"/>
        <v>1858.0146129305924</v>
      </c>
      <c r="O283" s="89">
        <f t="shared" si="58"/>
        <v>2083.7943301047044</v>
      </c>
      <c r="P283" s="89">
        <f t="shared" si="58"/>
        <v>1994.166893567527</v>
      </c>
      <c r="Q283" s="89">
        <f t="shared" si="58"/>
        <v>5193.5340739315197</v>
      </c>
      <c r="R283" s="89">
        <f t="shared" si="58"/>
        <v>3490.6852644845262</v>
      </c>
      <c r="S283" s="89">
        <f t="shared" si="58"/>
        <v>2402.6390045249286</v>
      </c>
      <c r="T283" s="89">
        <f t="shared" si="58"/>
        <v>2172.2038554479723</v>
      </c>
      <c r="U283" s="89">
        <f t="shared" si="58"/>
        <v>2029.7629243918032</v>
      </c>
      <c r="V283" s="89">
        <f t="shared" si="58"/>
        <v>1849.9620501937616</v>
      </c>
      <c r="W283" s="89">
        <f t="shared" si="58"/>
        <v>1630.3457871825678</v>
      </c>
      <c r="X283" s="89">
        <f t="shared" si="58"/>
        <v>1502.4547051796424</v>
      </c>
      <c r="Y283" s="89">
        <f t="shared" si="58"/>
        <v>1453.7071028257476</v>
      </c>
      <c r="Z283" s="89">
        <f t="shared" si="58"/>
        <v>1381.5345753585548</v>
      </c>
      <c r="AA283" s="89">
        <f t="shared" si="58"/>
        <v>1386.2282523756903</v>
      </c>
      <c r="AB283" s="89">
        <f t="shared" si="58"/>
        <v>1417.8381389540555</v>
      </c>
      <c r="AC283" s="89">
        <f t="shared" si="58"/>
        <v>1491.763551973944</v>
      </c>
      <c r="AD283" s="89">
        <f t="shared" si="58"/>
        <v>1475.0894092371441</v>
      </c>
      <c r="AE283" s="89">
        <f t="shared" si="58"/>
        <v>1526.3287166742098</v>
      </c>
      <c r="AF283" s="89">
        <f t="shared" si="58"/>
        <v>1391.7621555255234</v>
      </c>
      <c r="AG283" s="89">
        <f t="shared" si="58"/>
        <v>1390.7191161883823</v>
      </c>
      <c r="AH283" s="89">
        <f t="shared" si="58"/>
        <v>1360.963521764935</v>
      </c>
      <c r="AI283" s="89">
        <f t="shared" si="58"/>
        <v>1341.7107540002019</v>
      </c>
      <c r="AJ283" s="89">
        <f t="shared" si="58"/>
        <v>1331.5990670929157</v>
      </c>
    </row>
    <row r="284" spans="1:38" ht="17" x14ac:dyDescent="0.4">
      <c r="A284" s="1297" t="s">
        <v>1007</v>
      </c>
      <c r="B284" s="1411" t="s">
        <v>1389</v>
      </c>
      <c r="C284" s="89">
        <f>SUM(C275:C283)</f>
        <v>19748.406176966371</v>
      </c>
      <c r="D284" s="89">
        <f t="shared" ref="D284:AG284" si="59">SUM(D275:D283)</f>
        <v>19450.018066822096</v>
      </c>
      <c r="E284" s="89">
        <f t="shared" si="59"/>
        <v>18899.002437860578</v>
      </c>
      <c r="F284" s="89">
        <f t="shared" si="59"/>
        <v>17952.768897154412</v>
      </c>
      <c r="G284" s="89">
        <f t="shared" si="59"/>
        <v>16874.559848479636</v>
      </c>
      <c r="H284" s="89">
        <f t="shared" si="59"/>
        <v>16332.445478766575</v>
      </c>
      <c r="I284" s="89">
        <f t="shared" si="59"/>
        <v>15392.965566428633</v>
      </c>
      <c r="J284" s="89">
        <f t="shared" si="59"/>
        <v>14636.343310117003</v>
      </c>
      <c r="K284" s="89">
        <f t="shared" si="59"/>
        <v>13926.180378372466</v>
      </c>
      <c r="L284" s="89">
        <f t="shared" si="59"/>
        <v>13201.643438958456</v>
      </c>
      <c r="M284" s="89">
        <f t="shared" si="59"/>
        <v>12701.09036415095</v>
      </c>
      <c r="N284" s="89">
        <f t="shared" si="59"/>
        <v>12003.896349581815</v>
      </c>
      <c r="O284" s="89">
        <f t="shared" si="59"/>
        <v>11698.734127125721</v>
      </c>
      <c r="P284" s="89">
        <f t="shared" si="59"/>
        <v>11046.766428983381</v>
      </c>
      <c r="Q284" s="89">
        <f t="shared" si="59"/>
        <v>11982.514040670743</v>
      </c>
      <c r="R284" s="89">
        <f t="shared" si="59"/>
        <v>9965.5234476617261</v>
      </c>
      <c r="S284" s="89">
        <f t="shared" si="59"/>
        <v>8721.0380804145752</v>
      </c>
      <c r="T284" s="89">
        <f t="shared" si="59"/>
        <v>8089.36194288142</v>
      </c>
      <c r="U284" s="89">
        <f t="shared" si="59"/>
        <v>7524.9132246815479</v>
      </c>
      <c r="V284" s="89">
        <f t="shared" si="59"/>
        <v>6873.3726131800549</v>
      </c>
      <c r="W284" s="89">
        <f t="shared" si="59"/>
        <v>6252.3069525485917</v>
      </c>
      <c r="X284" s="89">
        <f t="shared" si="59"/>
        <v>5741.0464519396355</v>
      </c>
      <c r="Y284" s="89">
        <f t="shared" si="59"/>
        <v>5536.6393022446255</v>
      </c>
      <c r="Z284" s="89">
        <f t="shared" si="59"/>
        <v>5407.6113248911788</v>
      </c>
      <c r="AA284" s="89">
        <f t="shared" si="59"/>
        <v>5272.7539217343347</v>
      </c>
      <c r="AB284" s="89">
        <f t="shared" si="59"/>
        <v>5156.5864528284892</v>
      </c>
      <c r="AC284" s="89">
        <f t="shared" si="59"/>
        <v>5073.215774658177</v>
      </c>
      <c r="AD284" s="89">
        <f t="shared" si="59"/>
        <v>4851.1688601033202</v>
      </c>
      <c r="AE284" s="89">
        <f t="shared" si="59"/>
        <v>4765.4345872101112</v>
      </c>
      <c r="AF284" s="89">
        <f t="shared" si="59"/>
        <v>4506.169623791141</v>
      </c>
      <c r="AG284" s="89">
        <f t="shared" si="59"/>
        <v>4447.2662245829961</v>
      </c>
      <c r="AH284" s="89">
        <f t="shared" ref="AH284:AI284" si="60">SUM(AH275:AH283)</f>
        <v>4281.2482482789128</v>
      </c>
      <c r="AI284" s="89">
        <f t="shared" si="60"/>
        <v>4118.9624850124828</v>
      </c>
      <c r="AJ284" s="89">
        <f t="shared" ref="AJ284" si="61">SUM(AJ275:AJ283)</f>
        <v>3980.505027006885</v>
      </c>
    </row>
    <row r="285" spans="1:38" x14ac:dyDescent="0.4">
      <c r="A285" s="581" t="s">
        <v>1063</v>
      </c>
      <c r="B285" s="581"/>
      <c r="C285" s="89"/>
      <c r="D285" s="89"/>
      <c r="E285" s="89"/>
      <c r="F285" s="89"/>
      <c r="G285" s="89"/>
      <c r="H285" s="89"/>
      <c r="I285" s="89"/>
      <c r="J285" s="89"/>
      <c r="K285" s="89"/>
      <c r="L285" s="89"/>
      <c r="M285" s="89"/>
      <c r="N285" s="89"/>
      <c r="O285" s="89"/>
      <c r="P285" s="89"/>
      <c r="Q285" s="89"/>
      <c r="R285" s="89"/>
      <c r="S285" s="89"/>
      <c r="T285" s="89"/>
      <c r="U285" s="89"/>
      <c r="V285" s="89"/>
      <c r="W285" s="89"/>
      <c r="X285" s="89"/>
      <c r="Y285" s="89"/>
      <c r="Z285" s="89"/>
      <c r="AA285" s="89"/>
      <c r="AB285" s="89"/>
      <c r="AC285" s="89"/>
      <c r="AD285" s="89"/>
      <c r="AE285" s="89"/>
      <c r="AF285" s="89"/>
      <c r="AG285" s="89"/>
      <c r="AH285" s="89"/>
      <c r="AI285" s="89"/>
      <c r="AJ285" s="89"/>
    </row>
    <row r="286" spans="1:38" x14ac:dyDescent="0.4">
      <c r="B286" s="581"/>
      <c r="C286" s="89"/>
      <c r="D286" s="89"/>
      <c r="E286" s="89"/>
      <c r="F286" s="89"/>
      <c r="G286" s="89"/>
      <c r="H286" s="89"/>
      <c r="I286" s="89"/>
      <c r="J286" s="89"/>
      <c r="K286" s="89"/>
      <c r="L286" s="89"/>
      <c r="M286" s="89"/>
      <c r="N286" s="89"/>
      <c r="O286" s="89"/>
      <c r="P286" s="89"/>
      <c r="Q286" s="89"/>
      <c r="R286" s="89"/>
      <c r="S286" s="89"/>
      <c r="T286" s="89"/>
      <c r="U286" s="89"/>
      <c r="V286" s="89"/>
      <c r="W286" s="89"/>
      <c r="X286" s="89"/>
      <c r="Y286" s="89"/>
      <c r="Z286" s="89"/>
      <c r="AA286" s="89"/>
      <c r="AB286" s="89"/>
      <c r="AC286" s="89"/>
      <c r="AD286" s="89"/>
      <c r="AE286" s="89"/>
      <c r="AF286" s="89"/>
      <c r="AG286" s="89"/>
      <c r="AH286" s="89"/>
      <c r="AI286" s="89"/>
      <c r="AJ286" s="89"/>
    </row>
    <row r="287" spans="1:38" ht="17" x14ac:dyDescent="0.45">
      <c r="A287" s="88" t="s">
        <v>1457</v>
      </c>
      <c r="B287" s="581"/>
      <c r="C287" s="89"/>
      <c r="D287" s="89"/>
      <c r="E287" s="89"/>
      <c r="F287" s="89"/>
      <c r="G287" s="89"/>
      <c r="H287" s="89"/>
      <c r="I287" s="89"/>
      <c r="J287" s="89"/>
      <c r="K287" s="89"/>
      <c r="L287" s="89"/>
      <c r="M287" s="89"/>
      <c r="N287" s="89"/>
      <c r="O287" s="89"/>
      <c r="P287" s="89"/>
      <c r="Q287" s="89"/>
      <c r="R287" s="89"/>
      <c r="S287" s="89"/>
      <c r="T287" s="89"/>
      <c r="U287" s="89"/>
      <c r="V287" s="89"/>
      <c r="W287" s="89"/>
      <c r="X287" s="89"/>
      <c r="Y287" s="89"/>
      <c r="Z287" s="89"/>
      <c r="AA287" s="89"/>
      <c r="AB287" s="89"/>
      <c r="AC287" s="89"/>
      <c r="AD287" s="89"/>
      <c r="AE287" s="89"/>
      <c r="AF287" s="89"/>
      <c r="AG287" s="89"/>
      <c r="AH287" s="89"/>
      <c r="AI287" s="89"/>
      <c r="AJ287" s="89"/>
    </row>
    <row r="288" spans="1:38" s="60" customFormat="1" x14ac:dyDescent="0.4">
      <c r="A288" s="90" t="s">
        <v>795</v>
      </c>
      <c r="B288" s="88" t="s">
        <v>136</v>
      </c>
      <c r="C288" s="230" t="s">
        <v>391</v>
      </c>
      <c r="D288" s="230" t="s">
        <v>392</v>
      </c>
      <c r="E288" s="230" t="s">
        <v>393</v>
      </c>
      <c r="F288" s="230" t="s">
        <v>394</v>
      </c>
      <c r="G288" s="230" t="s">
        <v>395</v>
      </c>
      <c r="H288" s="230" t="s">
        <v>396</v>
      </c>
      <c r="I288" s="230" t="s">
        <v>397</v>
      </c>
      <c r="J288" s="230" t="s">
        <v>398</v>
      </c>
      <c r="K288" s="230" t="s">
        <v>399</v>
      </c>
      <c r="L288" s="230" t="s">
        <v>400</v>
      </c>
      <c r="M288" s="230" t="s">
        <v>401</v>
      </c>
      <c r="N288" s="230" t="s">
        <v>402</v>
      </c>
      <c r="O288" s="230" t="s">
        <v>403</v>
      </c>
      <c r="P288" s="230" t="s">
        <v>404</v>
      </c>
      <c r="Q288" s="230" t="s">
        <v>405</v>
      </c>
      <c r="R288" s="230" t="s">
        <v>406</v>
      </c>
      <c r="S288" s="230" t="s">
        <v>407</v>
      </c>
      <c r="T288" s="230" t="s">
        <v>408</v>
      </c>
      <c r="U288" s="230" t="s">
        <v>409</v>
      </c>
      <c r="V288" s="230" t="s">
        <v>410</v>
      </c>
      <c r="W288" s="230" t="s">
        <v>411</v>
      </c>
      <c r="X288" s="230" t="s">
        <v>412</v>
      </c>
      <c r="Y288" s="230" t="s">
        <v>413</v>
      </c>
      <c r="Z288" s="230" t="s">
        <v>414</v>
      </c>
      <c r="AA288" s="230" t="s">
        <v>415</v>
      </c>
      <c r="AB288" s="230" t="s">
        <v>416</v>
      </c>
      <c r="AC288" s="230" t="s">
        <v>417</v>
      </c>
      <c r="AD288" s="230" t="s">
        <v>418</v>
      </c>
      <c r="AE288" s="230" t="s">
        <v>419</v>
      </c>
      <c r="AF288" s="230" t="s">
        <v>420</v>
      </c>
      <c r="AG288" s="230" t="s">
        <v>421</v>
      </c>
      <c r="AH288" s="230" t="s">
        <v>422</v>
      </c>
      <c r="AI288" s="230" t="s">
        <v>423</v>
      </c>
      <c r="AJ288" s="230" t="s">
        <v>424</v>
      </c>
      <c r="AK288" s="3"/>
      <c r="AL288" s="3"/>
    </row>
    <row r="289" spans="1:38" ht="17" x14ac:dyDescent="0.4">
      <c r="A289" s="646" t="s">
        <v>993</v>
      </c>
      <c r="B289" s="1411" t="s">
        <v>1389</v>
      </c>
      <c r="C289" s="89">
        <f t="shared" ref="C289:C298" si="62">C152*C232</f>
        <v>1638.1129219200004</v>
      </c>
      <c r="D289" s="280">
        <f>$C289+((D$260-$C$260)*($C289-$AA289)/($C$260-$AA$260))</f>
        <v>1578.0719520000005</v>
      </c>
      <c r="E289" s="280">
        <f t="shared" ref="E289:Z299" si="63">$C289+((E$260-$C$260)*($C289-$AA289)/($C$260-$AA$260))</f>
        <v>1518.0309820800003</v>
      </c>
      <c r="F289" s="280">
        <f t="shared" si="63"/>
        <v>1457.9900121600003</v>
      </c>
      <c r="G289" s="280">
        <f t="shared" si="63"/>
        <v>1397.9490422400004</v>
      </c>
      <c r="H289" s="280">
        <f t="shared" si="63"/>
        <v>1337.9080723200004</v>
      </c>
      <c r="I289" s="280">
        <f t="shared" si="63"/>
        <v>1277.8671024000002</v>
      </c>
      <c r="J289" s="280">
        <f t="shared" si="63"/>
        <v>1217.8261324800003</v>
      </c>
      <c r="K289" s="280">
        <f t="shared" si="63"/>
        <v>1157.7851625600003</v>
      </c>
      <c r="L289" s="280">
        <f t="shared" si="63"/>
        <v>1097.7441926400002</v>
      </c>
      <c r="M289" s="280">
        <f t="shared" si="63"/>
        <v>1037.7032227200002</v>
      </c>
      <c r="N289" s="280">
        <f t="shared" si="63"/>
        <v>977.66225280000015</v>
      </c>
      <c r="O289" s="280">
        <f t="shared" si="63"/>
        <v>917.62128288000019</v>
      </c>
      <c r="P289" s="280">
        <f t="shared" si="63"/>
        <v>857.58031296000013</v>
      </c>
      <c r="Q289" s="280">
        <f t="shared" si="63"/>
        <v>797.53934304000018</v>
      </c>
      <c r="R289" s="280">
        <f t="shared" si="63"/>
        <v>737.49837312000011</v>
      </c>
      <c r="S289" s="280">
        <f t="shared" si="63"/>
        <v>677.45740320000016</v>
      </c>
      <c r="T289" s="280">
        <f t="shared" si="63"/>
        <v>617.41643328000021</v>
      </c>
      <c r="U289" s="280">
        <f t="shared" si="63"/>
        <v>557.37546336000014</v>
      </c>
      <c r="V289" s="280">
        <f t="shared" si="63"/>
        <v>497.33449344000019</v>
      </c>
      <c r="W289" s="280">
        <f t="shared" si="63"/>
        <v>437.29352352000001</v>
      </c>
      <c r="X289" s="280">
        <f t="shared" si="63"/>
        <v>377.25255360000006</v>
      </c>
      <c r="Y289" s="280">
        <f t="shared" si="63"/>
        <v>317.21158367999988</v>
      </c>
      <c r="Z289" s="291">
        <f t="shared" si="63"/>
        <v>257.17061375999992</v>
      </c>
      <c r="AA289" s="589">
        <f t="shared" ref="AA289:AJ289" si="64">AA152*AA232</f>
        <v>197.12964384</v>
      </c>
      <c r="AB289" s="89">
        <f t="shared" si="64"/>
        <v>184.27336271999999</v>
      </c>
      <c r="AC289" s="89">
        <f t="shared" si="64"/>
        <v>201.41507088</v>
      </c>
      <c r="AD289" s="89">
        <f t="shared" si="64"/>
        <v>201.41507088</v>
      </c>
      <c r="AE289" s="89">
        <f t="shared" si="64"/>
        <v>201.41507088</v>
      </c>
      <c r="AF289" s="89">
        <f t="shared" si="64"/>
        <v>201.41507088</v>
      </c>
      <c r="AG289" s="89">
        <f t="shared" si="64"/>
        <v>205.70049792000003</v>
      </c>
      <c r="AH289" s="89">
        <f t="shared" si="64"/>
        <v>203.55778439999997</v>
      </c>
      <c r="AI289" s="89">
        <f t="shared" si="64"/>
        <v>203.55778440000006</v>
      </c>
      <c r="AJ289" s="89">
        <f t="shared" si="64"/>
        <v>199.27235736000006</v>
      </c>
    </row>
    <row r="290" spans="1:38" ht="17" x14ac:dyDescent="0.4">
      <c r="A290" s="644" t="s">
        <v>994</v>
      </c>
      <c r="B290" s="1411" t="s">
        <v>1389</v>
      </c>
      <c r="C290" s="89">
        <f t="shared" si="62"/>
        <v>32.258805120000005</v>
      </c>
      <c r="D290" s="280">
        <f t="shared" ref="D290:S299" si="65">$C290+((D$260-$C$260)*($C290-$AA290)/($C$260-$AA$260))</f>
        <v>30.997641060000007</v>
      </c>
      <c r="E290" s="280">
        <f t="shared" si="65"/>
        <v>29.736477000000004</v>
      </c>
      <c r="F290" s="280">
        <f t="shared" si="65"/>
        <v>28.475312940000006</v>
      </c>
      <c r="G290" s="280">
        <f t="shared" si="65"/>
        <v>27.214148880000003</v>
      </c>
      <c r="H290" s="280">
        <f t="shared" si="65"/>
        <v>25.952984820000005</v>
      </c>
      <c r="I290" s="280">
        <f t="shared" si="65"/>
        <v>24.691820760000002</v>
      </c>
      <c r="J290" s="280">
        <f t="shared" si="65"/>
        <v>23.430656700000004</v>
      </c>
      <c r="K290" s="280">
        <f t="shared" si="65"/>
        <v>22.169492640000001</v>
      </c>
      <c r="L290" s="280">
        <f t="shared" si="65"/>
        <v>20.908328580000003</v>
      </c>
      <c r="M290" s="280">
        <f t="shared" si="65"/>
        <v>19.647164520000004</v>
      </c>
      <c r="N290" s="280">
        <f t="shared" si="65"/>
        <v>18.386000460000005</v>
      </c>
      <c r="O290" s="280">
        <f t="shared" si="65"/>
        <v>17.1248364</v>
      </c>
      <c r="P290" s="280">
        <f t="shared" si="65"/>
        <v>15.863672340000004</v>
      </c>
      <c r="Q290" s="280">
        <f t="shared" si="65"/>
        <v>14.602508280000002</v>
      </c>
      <c r="R290" s="280">
        <f t="shared" si="65"/>
        <v>13.341344220000003</v>
      </c>
      <c r="S290" s="280">
        <f t="shared" si="65"/>
        <v>12.080180160000001</v>
      </c>
      <c r="T290" s="280">
        <f t="shared" si="63"/>
        <v>10.819016100000002</v>
      </c>
      <c r="U290" s="280">
        <f t="shared" si="63"/>
        <v>9.5578520400000002</v>
      </c>
      <c r="V290" s="280">
        <f t="shared" si="63"/>
        <v>8.2966879800000015</v>
      </c>
      <c r="W290" s="280">
        <f t="shared" si="63"/>
        <v>7.0355239200000028</v>
      </c>
      <c r="X290" s="280">
        <f t="shared" si="63"/>
        <v>5.7743598600000006</v>
      </c>
      <c r="Y290" s="280">
        <f t="shared" si="63"/>
        <v>4.5131958000000019</v>
      </c>
      <c r="Z290" s="291">
        <f t="shared" si="63"/>
        <v>3.2520317400000032</v>
      </c>
      <c r="AA290" s="589">
        <f t="shared" ref="AA290:AJ290" si="66">AA153*AA233</f>
        <v>1.9908676799999998</v>
      </c>
      <c r="AB290" s="89">
        <f t="shared" si="66"/>
        <v>6.9680368799999997</v>
      </c>
      <c r="AC290" s="89">
        <f t="shared" si="66"/>
        <v>1.9908676800000003</v>
      </c>
      <c r="AD290" s="89">
        <f t="shared" si="66"/>
        <v>1.9908676799999996</v>
      </c>
      <c r="AE290" s="89">
        <f t="shared" si="66"/>
        <v>1.99086768</v>
      </c>
      <c r="AF290" s="89">
        <f t="shared" si="66"/>
        <v>1.99086768</v>
      </c>
      <c r="AG290" s="89">
        <f t="shared" si="66"/>
        <v>1.9908676799999998</v>
      </c>
      <c r="AH290" s="89">
        <f t="shared" si="66"/>
        <v>1.9908676799999998</v>
      </c>
      <c r="AI290" s="89">
        <f t="shared" si="66"/>
        <v>1.99086768</v>
      </c>
      <c r="AJ290" s="89">
        <f t="shared" si="66"/>
        <v>1.99086768</v>
      </c>
    </row>
    <row r="291" spans="1:38" ht="17" x14ac:dyDescent="0.4">
      <c r="A291" s="644" t="s">
        <v>995</v>
      </c>
      <c r="B291" s="1411" t="s">
        <v>1389</v>
      </c>
      <c r="C291" s="89">
        <f t="shared" si="62"/>
        <v>0</v>
      </c>
      <c r="D291" s="280">
        <f t="shared" si="65"/>
        <v>0</v>
      </c>
      <c r="E291" s="280">
        <f t="shared" si="63"/>
        <v>0</v>
      </c>
      <c r="F291" s="280">
        <f t="shared" si="63"/>
        <v>0</v>
      </c>
      <c r="G291" s="280">
        <f t="shared" si="63"/>
        <v>0</v>
      </c>
      <c r="H291" s="280">
        <f t="shared" si="63"/>
        <v>0</v>
      </c>
      <c r="I291" s="280">
        <f t="shared" si="63"/>
        <v>0</v>
      </c>
      <c r="J291" s="280">
        <f t="shared" si="63"/>
        <v>0</v>
      </c>
      <c r="K291" s="280">
        <f t="shared" si="63"/>
        <v>0</v>
      </c>
      <c r="L291" s="280">
        <f t="shared" si="63"/>
        <v>0</v>
      </c>
      <c r="M291" s="280">
        <f t="shared" si="63"/>
        <v>0</v>
      </c>
      <c r="N291" s="280">
        <f t="shared" si="63"/>
        <v>0</v>
      </c>
      <c r="O291" s="280">
        <f t="shared" si="63"/>
        <v>0</v>
      </c>
      <c r="P291" s="280">
        <f t="shared" si="63"/>
        <v>0</v>
      </c>
      <c r="Q291" s="280">
        <f t="shared" si="63"/>
        <v>0</v>
      </c>
      <c r="R291" s="280">
        <f t="shared" si="63"/>
        <v>0</v>
      </c>
      <c r="S291" s="280">
        <f t="shared" si="63"/>
        <v>0</v>
      </c>
      <c r="T291" s="280">
        <f t="shared" si="63"/>
        <v>0</v>
      </c>
      <c r="U291" s="280">
        <f t="shared" si="63"/>
        <v>0</v>
      </c>
      <c r="V291" s="280">
        <f t="shared" si="63"/>
        <v>0</v>
      </c>
      <c r="W291" s="280">
        <f t="shared" si="63"/>
        <v>0</v>
      </c>
      <c r="X291" s="280">
        <f t="shared" si="63"/>
        <v>0</v>
      </c>
      <c r="Y291" s="280">
        <f t="shared" si="63"/>
        <v>0</v>
      </c>
      <c r="Z291" s="291">
        <f t="shared" si="63"/>
        <v>0</v>
      </c>
      <c r="AA291" s="589">
        <f t="shared" ref="AA291:AJ291" si="67">AA154*AA234</f>
        <v>0</v>
      </c>
      <c r="AB291" s="89">
        <f t="shared" si="67"/>
        <v>0</v>
      </c>
      <c r="AC291" s="89">
        <f t="shared" si="67"/>
        <v>0</v>
      </c>
      <c r="AD291" s="89">
        <f t="shared" si="67"/>
        <v>0</v>
      </c>
      <c r="AE291" s="89">
        <f t="shared" si="67"/>
        <v>0</v>
      </c>
      <c r="AF291" s="89">
        <f t="shared" si="67"/>
        <v>0</v>
      </c>
      <c r="AG291" s="89">
        <f t="shared" si="67"/>
        <v>0</v>
      </c>
      <c r="AH291" s="89">
        <f t="shared" si="67"/>
        <v>0</v>
      </c>
      <c r="AI291" s="89">
        <f t="shared" si="67"/>
        <v>0</v>
      </c>
      <c r="AJ291" s="89">
        <f t="shared" si="67"/>
        <v>0</v>
      </c>
    </row>
    <row r="292" spans="1:38" ht="17" x14ac:dyDescent="0.4">
      <c r="A292" s="581" t="s">
        <v>148</v>
      </c>
      <c r="B292" s="1411" t="s">
        <v>1389</v>
      </c>
      <c r="C292" s="89">
        <f t="shared" si="62"/>
        <v>163.89227664000001</v>
      </c>
      <c r="D292" s="280">
        <f t="shared" si="65"/>
        <v>157.42547163</v>
      </c>
      <c r="E292" s="280">
        <f t="shared" si="63"/>
        <v>150.95866662</v>
      </c>
      <c r="F292" s="280">
        <f t="shared" si="63"/>
        <v>144.49186161</v>
      </c>
      <c r="G292" s="280">
        <f t="shared" si="63"/>
        <v>138.0250566</v>
      </c>
      <c r="H292" s="280">
        <f t="shared" si="63"/>
        <v>131.55825159</v>
      </c>
      <c r="I292" s="280">
        <f t="shared" si="63"/>
        <v>125.09144658</v>
      </c>
      <c r="J292" s="280">
        <f t="shared" si="63"/>
        <v>118.62464156999999</v>
      </c>
      <c r="K292" s="280">
        <f t="shared" si="63"/>
        <v>112.15783655999999</v>
      </c>
      <c r="L292" s="280">
        <f t="shared" si="63"/>
        <v>105.69103154999999</v>
      </c>
      <c r="M292" s="280">
        <f t="shared" si="63"/>
        <v>99.224226540000004</v>
      </c>
      <c r="N292" s="280">
        <f t="shared" si="63"/>
        <v>92.757421530000002</v>
      </c>
      <c r="O292" s="280">
        <f t="shared" si="63"/>
        <v>86.29061652</v>
      </c>
      <c r="P292" s="280">
        <f t="shared" si="63"/>
        <v>79.823811509999999</v>
      </c>
      <c r="Q292" s="280">
        <f t="shared" si="63"/>
        <v>73.357006499999997</v>
      </c>
      <c r="R292" s="280">
        <f t="shared" si="63"/>
        <v>66.890201489999995</v>
      </c>
      <c r="S292" s="280">
        <f t="shared" si="63"/>
        <v>60.423396479999994</v>
      </c>
      <c r="T292" s="280">
        <f t="shared" si="63"/>
        <v>53.956591470000006</v>
      </c>
      <c r="U292" s="280">
        <f t="shared" si="63"/>
        <v>47.489786459999991</v>
      </c>
      <c r="V292" s="280">
        <f t="shared" si="63"/>
        <v>41.022981450000003</v>
      </c>
      <c r="W292" s="280">
        <f t="shared" si="63"/>
        <v>34.556176440000002</v>
      </c>
      <c r="X292" s="280">
        <f t="shared" si="63"/>
        <v>28.08937143</v>
      </c>
      <c r="Y292" s="280">
        <f t="shared" si="63"/>
        <v>21.622566419999998</v>
      </c>
      <c r="Z292" s="291">
        <f t="shared" si="63"/>
        <v>15.155761409999997</v>
      </c>
      <c r="AA292" s="589">
        <f t="shared" ref="AA292:AJ292" si="68">AA155*AA235</f>
        <v>8.6889564000000004</v>
      </c>
      <c r="AB292" s="89">
        <f t="shared" si="68"/>
        <v>15.640121520000001</v>
      </c>
      <c r="AC292" s="89">
        <f t="shared" si="68"/>
        <v>10.42674768</v>
      </c>
      <c r="AD292" s="89">
        <f t="shared" si="68"/>
        <v>10.42674768</v>
      </c>
      <c r="AE292" s="89">
        <f t="shared" si="68"/>
        <v>8.6889564000000004</v>
      </c>
      <c r="AF292" s="89">
        <f t="shared" si="68"/>
        <v>8.6889564000000004</v>
      </c>
      <c r="AG292" s="89">
        <f t="shared" si="68"/>
        <v>11.29564332</v>
      </c>
      <c r="AH292" s="89">
        <f t="shared" si="68"/>
        <v>8.6889564000000021</v>
      </c>
      <c r="AI292" s="89">
        <f t="shared" si="68"/>
        <v>7.8200607600000005</v>
      </c>
      <c r="AJ292" s="89">
        <f t="shared" si="68"/>
        <v>13.902330240000001</v>
      </c>
    </row>
    <row r="293" spans="1:38" ht="17" x14ac:dyDescent="0.4">
      <c r="A293" s="581" t="s">
        <v>149</v>
      </c>
      <c r="B293" s="1411" t="s">
        <v>1389</v>
      </c>
      <c r="C293" s="89">
        <f t="shared" si="62"/>
        <v>0.65799863999999997</v>
      </c>
      <c r="D293" s="280">
        <f t="shared" si="65"/>
        <v>0.63901790999999997</v>
      </c>
      <c r="E293" s="280">
        <f t="shared" si="63"/>
        <v>0.62003717999999997</v>
      </c>
      <c r="F293" s="280">
        <f t="shared" si="63"/>
        <v>0.60105644999999996</v>
      </c>
      <c r="G293" s="280">
        <f t="shared" si="63"/>
        <v>0.58207571999999996</v>
      </c>
      <c r="H293" s="280">
        <f t="shared" si="63"/>
        <v>0.56309498999999996</v>
      </c>
      <c r="I293" s="280">
        <f t="shared" si="63"/>
        <v>0.54411425999999996</v>
      </c>
      <c r="J293" s="280">
        <f t="shared" si="63"/>
        <v>0.52513352999999996</v>
      </c>
      <c r="K293" s="280">
        <f t="shared" si="63"/>
        <v>0.50615279999999996</v>
      </c>
      <c r="L293" s="280">
        <f t="shared" si="63"/>
        <v>0.48717206999999996</v>
      </c>
      <c r="M293" s="280">
        <f t="shared" si="63"/>
        <v>0.46819133999999996</v>
      </c>
      <c r="N293" s="280">
        <f t="shared" si="63"/>
        <v>0.44921060999999995</v>
      </c>
      <c r="O293" s="280">
        <f t="shared" si="63"/>
        <v>0.43022987999999995</v>
      </c>
      <c r="P293" s="280">
        <f t="shared" si="63"/>
        <v>0.41124914999999995</v>
      </c>
      <c r="Q293" s="280">
        <f t="shared" si="63"/>
        <v>0.39226842000000001</v>
      </c>
      <c r="R293" s="280">
        <f t="shared" si="63"/>
        <v>0.37328769000000001</v>
      </c>
      <c r="S293" s="280">
        <f t="shared" si="63"/>
        <v>0.35430696</v>
      </c>
      <c r="T293" s="280">
        <f t="shared" si="63"/>
        <v>0.33532623</v>
      </c>
      <c r="U293" s="280">
        <f t="shared" si="63"/>
        <v>0.3163455</v>
      </c>
      <c r="V293" s="280">
        <f t="shared" si="63"/>
        <v>0.29736477</v>
      </c>
      <c r="W293" s="280">
        <f t="shared" si="63"/>
        <v>0.27838404</v>
      </c>
      <c r="X293" s="280">
        <f t="shared" si="63"/>
        <v>0.25940331</v>
      </c>
      <c r="Y293" s="280">
        <f t="shared" si="63"/>
        <v>0.24042258</v>
      </c>
      <c r="Z293" s="291">
        <f t="shared" si="63"/>
        <v>0.22144185</v>
      </c>
      <c r="AA293" s="589">
        <f t="shared" ref="AA293:AJ293" si="69">AA156*AA236</f>
        <v>0.20246111999999999</v>
      </c>
      <c r="AB293" s="89">
        <f t="shared" si="69"/>
        <v>0.20246111999999997</v>
      </c>
      <c r="AC293" s="89">
        <f t="shared" si="69"/>
        <v>0.20246111999999999</v>
      </c>
      <c r="AD293" s="89">
        <f t="shared" si="69"/>
        <v>0.25307639999999998</v>
      </c>
      <c r="AE293" s="89">
        <f t="shared" si="69"/>
        <v>0.20246111999999999</v>
      </c>
      <c r="AF293" s="89">
        <f t="shared" si="69"/>
        <v>0.20246111999999999</v>
      </c>
      <c r="AG293" s="89">
        <f t="shared" si="69"/>
        <v>0.20246111999999997</v>
      </c>
      <c r="AH293" s="89">
        <f t="shared" si="69"/>
        <v>0.20246111999999999</v>
      </c>
      <c r="AI293" s="89">
        <f t="shared" si="69"/>
        <v>0.20246111999999999</v>
      </c>
      <c r="AJ293" s="89">
        <f t="shared" si="69"/>
        <v>0.20246111999999999</v>
      </c>
    </row>
    <row r="294" spans="1:38" ht="17" x14ac:dyDescent="0.4">
      <c r="A294" s="581" t="s">
        <v>150</v>
      </c>
      <c r="B294" s="1411" t="s">
        <v>1389</v>
      </c>
      <c r="C294" s="89">
        <f t="shared" si="62"/>
        <v>355.31926559999994</v>
      </c>
      <c r="D294" s="280">
        <f t="shared" si="65"/>
        <v>340.96842773999992</v>
      </c>
      <c r="E294" s="280">
        <f t="shared" si="63"/>
        <v>326.61758987999997</v>
      </c>
      <c r="F294" s="280">
        <f t="shared" si="63"/>
        <v>312.26675201999996</v>
      </c>
      <c r="G294" s="280">
        <f t="shared" si="63"/>
        <v>297.91591415999994</v>
      </c>
      <c r="H294" s="280">
        <f t="shared" si="63"/>
        <v>283.56507629999993</v>
      </c>
      <c r="I294" s="280">
        <f t="shared" si="63"/>
        <v>269.21423843999992</v>
      </c>
      <c r="J294" s="280">
        <f t="shared" si="63"/>
        <v>254.86340057999996</v>
      </c>
      <c r="K294" s="280">
        <f t="shared" si="63"/>
        <v>240.51256271999995</v>
      </c>
      <c r="L294" s="280">
        <f t="shared" si="63"/>
        <v>226.16172485999996</v>
      </c>
      <c r="M294" s="280">
        <f t="shared" si="63"/>
        <v>211.81088699999995</v>
      </c>
      <c r="N294" s="280">
        <f t="shared" si="63"/>
        <v>197.46004913999994</v>
      </c>
      <c r="O294" s="280">
        <f t="shared" si="63"/>
        <v>183.10921127999993</v>
      </c>
      <c r="P294" s="280">
        <f t="shared" si="63"/>
        <v>168.75837341999994</v>
      </c>
      <c r="Q294" s="280">
        <f t="shared" si="63"/>
        <v>154.40753555999996</v>
      </c>
      <c r="R294" s="280">
        <f t="shared" si="63"/>
        <v>140.05669769999994</v>
      </c>
      <c r="S294" s="280">
        <f t="shared" si="63"/>
        <v>125.70585983999996</v>
      </c>
      <c r="T294" s="280">
        <f t="shared" si="63"/>
        <v>111.35502197999998</v>
      </c>
      <c r="U294" s="280">
        <f t="shared" si="63"/>
        <v>97.004184119999991</v>
      </c>
      <c r="V294" s="280">
        <f t="shared" si="63"/>
        <v>82.653346259999978</v>
      </c>
      <c r="W294" s="280">
        <f t="shared" si="63"/>
        <v>68.302508399999965</v>
      </c>
      <c r="X294" s="280">
        <f t="shared" si="63"/>
        <v>53.951670539999952</v>
      </c>
      <c r="Y294" s="280">
        <f t="shared" si="63"/>
        <v>39.60083267999994</v>
      </c>
      <c r="Z294" s="291">
        <f t="shared" si="63"/>
        <v>25.249994819999984</v>
      </c>
      <c r="AA294" s="589">
        <f t="shared" ref="AA294:AJ294" si="70">AA157*AA237</f>
        <v>10.899156959999997</v>
      </c>
      <c r="AB294" s="89">
        <f t="shared" si="70"/>
        <v>10.325517119999999</v>
      </c>
      <c r="AC294" s="89">
        <f t="shared" si="70"/>
        <v>13.767356159999999</v>
      </c>
      <c r="AD294" s="89">
        <f t="shared" si="70"/>
        <v>14.197586039999997</v>
      </c>
      <c r="AE294" s="89">
        <f t="shared" si="70"/>
        <v>14.771225879999998</v>
      </c>
      <c r="AF294" s="89">
        <f t="shared" si="70"/>
        <v>14.771225879999998</v>
      </c>
      <c r="AG294" s="89">
        <f t="shared" si="70"/>
        <v>14.197586039999997</v>
      </c>
      <c r="AH294" s="89">
        <f t="shared" si="70"/>
        <v>15.918505559999998</v>
      </c>
      <c r="AI294" s="89">
        <f t="shared" si="70"/>
        <v>13.91076612</v>
      </c>
      <c r="AJ294" s="89">
        <f t="shared" si="70"/>
        <v>14.48440596</v>
      </c>
    </row>
    <row r="295" spans="1:38" ht="17" x14ac:dyDescent="0.4">
      <c r="A295" s="581" t="s">
        <v>151</v>
      </c>
      <c r="B295" s="1411" t="s">
        <v>1389</v>
      </c>
      <c r="C295" s="89">
        <f t="shared" si="62"/>
        <v>2.2473184319999997</v>
      </c>
      <c r="D295" s="280">
        <f t="shared" si="65"/>
        <v>2.4953333039999999</v>
      </c>
      <c r="E295" s="280">
        <f t="shared" si="63"/>
        <v>2.7433481759999996</v>
      </c>
      <c r="F295" s="280">
        <f t="shared" si="63"/>
        <v>2.9913630479999997</v>
      </c>
      <c r="G295" s="280">
        <f t="shared" si="63"/>
        <v>3.2393779199999999</v>
      </c>
      <c r="H295" s="280">
        <f t="shared" si="63"/>
        <v>3.4873927919999996</v>
      </c>
      <c r="I295" s="280">
        <f t="shared" si="63"/>
        <v>3.7354076639999998</v>
      </c>
      <c r="J295" s="280">
        <f t="shared" si="63"/>
        <v>3.983422536</v>
      </c>
      <c r="K295" s="280">
        <f t="shared" si="63"/>
        <v>4.2314374079999997</v>
      </c>
      <c r="L295" s="280">
        <f t="shared" si="63"/>
        <v>4.4794522800000003</v>
      </c>
      <c r="M295" s="280">
        <f t="shared" si="63"/>
        <v>4.727467152</v>
      </c>
      <c r="N295" s="280">
        <f t="shared" si="63"/>
        <v>4.9754820239999997</v>
      </c>
      <c r="O295" s="280">
        <f t="shared" si="63"/>
        <v>5.2234968960000003</v>
      </c>
      <c r="P295" s="280">
        <f t="shared" si="63"/>
        <v>5.4715117680000001</v>
      </c>
      <c r="Q295" s="280">
        <f t="shared" si="63"/>
        <v>5.7195266399999998</v>
      </c>
      <c r="R295" s="280">
        <f t="shared" si="63"/>
        <v>5.9675415120000004</v>
      </c>
      <c r="S295" s="280">
        <f t="shared" si="63"/>
        <v>6.2155563840000001</v>
      </c>
      <c r="T295" s="280">
        <f t="shared" si="63"/>
        <v>6.4635712559999998</v>
      </c>
      <c r="U295" s="280">
        <f t="shared" si="63"/>
        <v>6.7115861280000004</v>
      </c>
      <c r="V295" s="280">
        <f t="shared" si="63"/>
        <v>6.9596009999999993</v>
      </c>
      <c r="W295" s="280">
        <f t="shared" si="63"/>
        <v>7.2076158719999999</v>
      </c>
      <c r="X295" s="280">
        <f t="shared" si="63"/>
        <v>7.4556307440000005</v>
      </c>
      <c r="Y295" s="280">
        <f t="shared" si="63"/>
        <v>7.7036456159999993</v>
      </c>
      <c r="Z295" s="291">
        <f t="shared" si="63"/>
        <v>7.9516604879999999</v>
      </c>
      <c r="AA295" s="589">
        <f t="shared" ref="AA295:AJ295" si="71">AA158*AA238</f>
        <v>8.1996753600000005</v>
      </c>
      <c r="AB295" s="89">
        <f t="shared" si="71"/>
        <v>8.3515212000000005</v>
      </c>
      <c r="AC295" s="89">
        <f t="shared" si="71"/>
        <v>9.3132115199999976</v>
      </c>
      <c r="AD295" s="89">
        <f t="shared" si="71"/>
        <v>9.0095198399999994</v>
      </c>
      <c r="AE295" s="89">
        <f t="shared" si="71"/>
        <v>9.0095198399999994</v>
      </c>
      <c r="AF295" s="89">
        <f t="shared" si="71"/>
        <v>8.9589045599999988</v>
      </c>
      <c r="AG295" s="89">
        <f t="shared" si="71"/>
        <v>9.3132115199999994</v>
      </c>
      <c r="AH295" s="89">
        <f t="shared" si="71"/>
        <v>9.5662879199999971</v>
      </c>
      <c r="AI295" s="89">
        <f t="shared" si="71"/>
        <v>8.5033670400000005</v>
      </c>
      <c r="AJ295" s="89">
        <f t="shared" si="71"/>
        <v>8.2502906399999993</v>
      </c>
    </row>
    <row r="296" spans="1:38" ht="17" x14ac:dyDescent="0.4">
      <c r="A296" s="581" t="s">
        <v>152</v>
      </c>
      <c r="B296" s="1411" t="s">
        <v>1389</v>
      </c>
      <c r="C296" s="89">
        <f t="shared" si="62"/>
        <v>17.195697792000001</v>
      </c>
      <c r="D296" s="280">
        <f t="shared" si="65"/>
        <v>17.270214731999999</v>
      </c>
      <c r="E296" s="280">
        <f t="shared" si="63"/>
        <v>17.344731672000002</v>
      </c>
      <c r="F296" s="280">
        <f t="shared" si="63"/>
        <v>17.419248612000001</v>
      </c>
      <c r="G296" s="280">
        <f t="shared" si="63"/>
        <v>17.493765551999999</v>
      </c>
      <c r="H296" s="280">
        <f t="shared" si="63"/>
        <v>17.568282492000002</v>
      </c>
      <c r="I296" s="280">
        <f t="shared" si="63"/>
        <v>17.642799432</v>
      </c>
      <c r="J296" s="280">
        <f t="shared" si="63"/>
        <v>17.717316371999999</v>
      </c>
      <c r="K296" s="280">
        <f t="shared" si="63"/>
        <v>17.791833312000001</v>
      </c>
      <c r="L296" s="280">
        <f t="shared" si="63"/>
        <v>17.866350252</v>
      </c>
      <c r="M296" s="280">
        <f t="shared" si="63"/>
        <v>17.940867191999999</v>
      </c>
      <c r="N296" s="280">
        <f t="shared" si="63"/>
        <v>18.015384132000001</v>
      </c>
      <c r="O296" s="280">
        <f t="shared" si="63"/>
        <v>18.089901072</v>
      </c>
      <c r="P296" s="280">
        <f t="shared" si="63"/>
        <v>18.164418011999999</v>
      </c>
      <c r="Q296" s="280">
        <f t="shared" si="63"/>
        <v>18.238934952000001</v>
      </c>
      <c r="R296" s="280">
        <f t="shared" si="63"/>
        <v>18.313451892</v>
      </c>
      <c r="S296" s="280">
        <f t="shared" si="63"/>
        <v>18.387968831999999</v>
      </c>
      <c r="T296" s="280">
        <f t="shared" si="63"/>
        <v>18.462485772000001</v>
      </c>
      <c r="U296" s="280">
        <f t="shared" si="63"/>
        <v>18.537002712</v>
      </c>
      <c r="V296" s="280">
        <f t="shared" si="63"/>
        <v>18.611519651999998</v>
      </c>
      <c r="W296" s="280">
        <f t="shared" si="63"/>
        <v>18.686036592000001</v>
      </c>
      <c r="X296" s="280">
        <f t="shared" si="63"/>
        <v>18.760553531999999</v>
      </c>
      <c r="Y296" s="280">
        <f t="shared" si="63"/>
        <v>18.835070471999998</v>
      </c>
      <c r="Z296" s="291">
        <f t="shared" si="63"/>
        <v>18.909587412</v>
      </c>
      <c r="AA296" s="589">
        <f t="shared" ref="AA296:AJ296" si="72">AA159*AA239</f>
        <v>18.984104351999999</v>
      </c>
      <c r="AB296" s="89">
        <f t="shared" si="72"/>
        <v>18.656792207999999</v>
      </c>
      <c r="AC296" s="89">
        <f t="shared" si="72"/>
        <v>17.674855776000001</v>
      </c>
      <c r="AD296" s="89">
        <f t="shared" si="72"/>
        <v>18.002167919999998</v>
      </c>
      <c r="AE296" s="89">
        <f t="shared" si="72"/>
        <v>18.329480063999998</v>
      </c>
      <c r="AF296" s="89">
        <f t="shared" si="72"/>
        <v>18.493136135999997</v>
      </c>
      <c r="AG296" s="89">
        <f t="shared" si="72"/>
        <v>18.002167919999998</v>
      </c>
      <c r="AH296" s="89">
        <f t="shared" si="72"/>
        <v>16.529263271999998</v>
      </c>
      <c r="AI296" s="89">
        <f t="shared" si="72"/>
        <v>16.529263271999998</v>
      </c>
      <c r="AJ296" s="89">
        <f t="shared" si="72"/>
        <v>16.038295055999999</v>
      </c>
    </row>
    <row r="297" spans="1:38" ht="17" x14ac:dyDescent="0.4">
      <c r="A297" s="581" t="s">
        <v>153</v>
      </c>
      <c r="B297" s="1411" t="s">
        <v>1389</v>
      </c>
      <c r="C297" s="89">
        <f t="shared" si="62"/>
        <v>4.3636276475999987</v>
      </c>
      <c r="D297" s="280">
        <f t="shared" si="65"/>
        <v>5.1392822089499992</v>
      </c>
      <c r="E297" s="280">
        <f t="shared" si="63"/>
        <v>5.9149367702999989</v>
      </c>
      <c r="F297" s="280">
        <f t="shared" si="63"/>
        <v>6.6905913316499994</v>
      </c>
      <c r="G297" s="280">
        <f t="shared" si="63"/>
        <v>7.466245893</v>
      </c>
      <c r="H297" s="280">
        <f t="shared" si="63"/>
        <v>8.2419004543499987</v>
      </c>
      <c r="I297" s="280">
        <f t="shared" si="63"/>
        <v>9.0175550157000011</v>
      </c>
      <c r="J297" s="280">
        <f t="shared" si="63"/>
        <v>9.7932095770499998</v>
      </c>
      <c r="K297" s="280">
        <f t="shared" si="63"/>
        <v>10.5688641384</v>
      </c>
      <c r="L297" s="280">
        <f t="shared" si="63"/>
        <v>11.344518699750001</v>
      </c>
      <c r="M297" s="280">
        <f t="shared" si="63"/>
        <v>12.1201732611</v>
      </c>
      <c r="N297" s="280">
        <f t="shared" si="63"/>
        <v>12.895827822450002</v>
      </c>
      <c r="O297" s="280">
        <f t="shared" si="63"/>
        <v>13.671482383800001</v>
      </c>
      <c r="P297" s="280">
        <f t="shared" si="63"/>
        <v>14.447136945150003</v>
      </c>
      <c r="Q297" s="280">
        <f t="shared" si="63"/>
        <v>15.222791506500002</v>
      </c>
      <c r="R297" s="280">
        <f t="shared" si="63"/>
        <v>15.998446067850004</v>
      </c>
      <c r="S297" s="280">
        <f t="shared" si="63"/>
        <v>16.774100629200003</v>
      </c>
      <c r="T297" s="280">
        <f t="shared" si="63"/>
        <v>17.549755190550002</v>
      </c>
      <c r="U297" s="280">
        <f t="shared" si="63"/>
        <v>18.325409751900004</v>
      </c>
      <c r="V297" s="280">
        <f t="shared" si="63"/>
        <v>19.101064313250003</v>
      </c>
      <c r="W297" s="280">
        <f t="shared" si="63"/>
        <v>19.876718874600002</v>
      </c>
      <c r="X297" s="280">
        <f t="shared" si="63"/>
        <v>20.652373435950004</v>
      </c>
      <c r="Y297" s="280">
        <f t="shared" si="63"/>
        <v>21.428027997300003</v>
      </c>
      <c r="Z297" s="291">
        <f t="shared" si="63"/>
        <v>22.203682558650005</v>
      </c>
      <c r="AA297" s="589">
        <f t="shared" ref="AA297:AJ297" si="73">AA160*AA240</f>
        <v>22.979337120000004</v>
      </c>
      <c r="AB297" s="89">
        <f t="shared" si="73"/>
        <v>23.485489920000003</v>
      </c>
      <c r="AC297" s="89">
        <f t="shared" si="73"/>
        <v>23.637335760000003</v>
      </c>
      <c r="AD297" s="89">
        <f t="shared" si="73"/>
        <v>23.43487464</v>
      </c>
      <c r="AE297" s="89">
        <f t="shared" si="73"/>
        <v>22.422569039999996</v>
      </c>
      <c r="AF297" s="89">
        <f t="shared" si="73"/>
        <v>22.321338480000001</v>
      </c>
      <c r="AG297" s="89">
        <f t="shared" si="73"/>
        <v>22.979337119999997</v>
      </c>
      <c r="AH297" s="89">
        <f t="shared" si="73"/>
        <v>20.752264799999999</v>
      </c>
      <c r="AI297" s="89">
        <f t="shared" si="73"/>
        <v>21.916416239999997</v>
      </c>
      <c r="AJ297" s="89">
        <f t="shared" si="73"/>
        <v>19.183191119999996</v>
      </c>
    </row>
    <row r="298" spans="1:38" ht="17" x14ac:dyDescent="0.4">
      <c r="A298" s="581" t="s">
        <v>154</v>
      </c>
      <c r="B298" s="1411" t="s">
        <v>1389</v>
      </c>
      <c r="C298" s="89">
        <f t="shared" si="62"/>
        <v>4.5103276008000002</v>
      </c>
      <c r="D298" s="280">
        <f t="shared" si="65"/>
        <v>4.5832557834000003</v>
      </c>
      <c r="E298" s="280">
        <f t="shared" si="63"/>
        <v>4.6561839660000004</v>
      </c>
      <c r="F298" s="280">
        <f t="shared" si="63"/>
        <v>4.7291121486000005</v>
      </c>
      <c r="G298" s="280">
        <f t="shared" si="63"/>
        <v>4.8020403312000006</v>
      </c>
      <c r="H298" s="280">
        <f t="shared" si="63"/>
        <v>4.8749685138000007</v>
      </c>
      <c r="I298" s="280">
        <f t="shared" si="63"/>
        <v>4.9478966964000008</v>
      </c>
      <c r="J298" s="280">
        <f t="shared" si="63"/>
        <v>5.0208248790000001</v>
      </c>
      <c r="K298" s="280">
        <f t="shared" si="63"/>
        <v>5.0937530616000002</v>
      </c>
      <c r="L298" s="280">
        <f t="shared" si="63"/>
        <v>5.1666812442000003</v>
      </c>
      <c r="M298" s="280">
        <f t="shared" si="63"/>
        <v>5.2396094268000004</v>
      </c>
      <c r="N298" s="280">
        <f t="shared" si="63"/>
        <v>5.3125376094000005</v>
      </c>
      <c r="O298" s="280">
        <f t="shared" si="63"/>
        <v>5.3854657920000006</v>
      </c>
      <c r="P298" s="280">
        <f t="shared" si="63"/>
        <v>5.4583939746000008</v>
      </c>
      <c r="Q298" s="280">
        <f t="shared" si="63"/>
        <v>5.5313221572000009</v>
      </c>
      <c r="R298" s="280">
        <f t="shared" si="63"/>
        <v>5.604250339800001</v>
      </c>
      <c r="S298" s="280">
        <f t="shared" si="63"/>
        <v>5.6771785224000011</v>
      </c>
      <c r="T298" s="280">
        <f t="shared" si="63"/>
        <v>5.7501067050000012</v>
      </c>
      <c r="U298" s="280">
        <f t="shared" si="63"/>
        <v>5.8230348876000004</v>
      </c>
      <c r="V298" s="280">
        <f t="shared" si="63"/>
        <v>5.8959630702000005</v>
      </c>
      <c r="W298" s="280">
        <f t="shared" si="63"/>
        <v>5.9688912528000007</v>
      </c>
      <c r="X298" s="280">
        <f t="shared" si="63"/>
        <v>6.0418194354000008</v>
      </c>
      <c r="Y298" s="280">
        <f t="shared" si="63"/>
        <v>6.1147476180000009</v>
      </c>
      <c r="Z298" s="291">
        <f t="shared" si="63"/>
        <v>6.187675800600001</v>
      </c>
      <c r="AA298" s="589">
        <f t="shared" ref="AA298:AJ298" si="74">AA161*AA241</f>
        <v>6.2606039832000011</v>
      </c>
      <c r="AB298" s="89">
        <f t="shared" si="74"/>
        <v>5.9464518119999994</v>
      </c>
      <c r="AC298" s="89">
        <f t="shared" si="74"/>
        <v>4.8693586536</v>
      </c>
      <c r="AD298" s="89">
        <f t="shared" si="74"/>
        <v>4.8469192128000005</v>
      </c>
      <c r="AE298" s="89">
        <f t="shared" si="74"/>
        <v>4.824479772000001</v>
      </c>
      <c r="AF298" s="89">
        <f t="shared" si="74"/>
        <v>4.824479772000001</v>
      </c>
      <c r="AG298" s="89">
        <f t="shared" si="74"/>
        <v>4.9142375352000007</v>
      </c>
      <c r="AH298" s="89">
        <f t="shared" si="74"/>
        <v>4.8693586536</v>
      </c>
      <c r="AI298" s="89">
        <f t="shared" si="74"/>
        <v>4.8244797720000001</v>
      </c>
      <c r="AJ298" s="89">
        <f t="shared" si="74"/>
        <v>6.2381645424000007</v>
      </c>
    </row>
    <row r="299" spans="1:38" ht="17" x14ac:dyDescent="0.4">
      <c r="A299" s="1296" t="s">
        <v>1006</v>
      </c>
      <c r="B299" s="1411" t="s">
        <v>1389</v>
      </c>
      <c r="C299" s="89">
        <f>SUM(C289:C298)</f>
        <v>2218.5582393924005</v>
      </c>
      <c r="D299" s="89">
        <f t="shared" si="65"/>
        <v>2137.5905963683504</v>
      </c>
      <c r="E299" s="89">
        <f t="shared" si="63"/>
        <v>2056.6229533443006</v>
      </c>
      <c r="F299" s="89">
        <f t="shared" si="63"/>
        <v>1975.6553103202505</v>
      </c>
      <c r="G299" s="89">
        <f t="shared" si="63"/>
        <v>1894.6876672962005</v>
      </c>
      <c r="H299" s="89">
        <f t="shared" si="63"/>
        <v>1813.7200242721503</v>
      </c>
      <c r="I299" s="89">
        <f t="shared" si="63"/>
        <v>1732.7523812481004</v>
      </c>
      <c r="J299" s="89">
        <f t="shared" si="63"/>
        <v>1651.7847382240502</v>
      </c>
      <c r="K299" s="89">
        <f t="shared" si="63"/>
        <v>1570.8170952000005</v>
      </c>
      <c r="L299" s="89">
        <f t="shared" si="63"/>
        <v>1489.8494521759503</v>
      </c>
      <c r="M299" s="89">
        <f t="shared" si="63"/>
        <v>1408.8818091519001</v>
      </c>
      <c r="N299" s="89">
        <f t="shared" si="63"/>
        <v>1327.9141661278504</v>
      </c>
      <c r="O299" s="89">
        <f t="shared" si="63"/>
        <v>1246.9465231038002</v>
      </c>
      <c r="P299" s="89">
        <f t="shared" si="63"/>
        <v>1165.9788800797503</v>
      </c>
      <c r="Q299" s="89">
        <f t="shared" si="63"/>
        <v>1085.0112370557001</v>
      </c>
      <c r="R299" s="89">
        <f t="shared" si="63"/>
        <v>1004.0435940316502</v>
      </c>
      <c r="S299" s="89">
        <f t="shared" si="63"/>
        <v>923.07595100760022</v>
      </c>
      <c r="T299" s="89">
        <f t="shared" si="63"/>
        <v>842.10830798355005</v>
      </c>
      <c r="U299" s="89">
        <f t="shared" si="63"/>
        <v>761.1406649595001</v>
      </c>
      <c r="V299" s="89">
        <f t="shared" si="63"/>
        <v>680.17302193545015</v>
      </c>
      <c r="W299" s="89">
        <f t="shared" si="63"/>
        <v>599.20537891139998</v>
      </c>
      <c r="X299" s="89">
        <f t="shared" si="63"/>
        <v>518.23773588735003</v>
      </c>
      <c r="Y299" s="89">
        <f t="shared" si="63"/>
        <v>437.27009286330008</v>
      </c>
      <c r="Z299" s="589">
        <f t="shared" si="63"/>
        <v>356.3024498392499</v>
      </c>
      <c r="AA299" s="589">
        <f>SUM(AA289:AA298)</f>
        <v>275.33480681520001</v>
      </c>
      <c r="AB299" s="89">
        <f t="shared" ref="AB299:AG299" si="75">SUM(AB289:AB298)</f>
        <v>273.84975450000007</v>
      </c>
      <c r="AC299" s="89">
        <f t="shared" si="75"/>
        <v>283.29726522959999</v>
      </c>
      <c r="AD299" s="89">
        <f t="shared" si="75"/>
        <v>283.57683029280003</v>
      </c>
      <c r="AE299" s="89">
        <f t="shared" si="75"/>
        <v>281.65463067600001</v>
      </c>
      <c r="AF299" s="89">
        <f t="shared" si="75"/>
        <v>281.66644090800003</v>
      </c>
      <c r="AG299" s="89">
        <f t="shared" si="75"/>
        <v>288.59601017520009</v>
      </c>
      <c r="AH299" s="89">
        <f t="shared" ref="AH299:AI299" si="76">SUM(AH289:AH298)</f>
        <v>282.07574980559997</v>
      </c>
      <c r="AI299" s="89">
        <f t="shared" si="76"/>
        <v>279.25546640400012</v>
      </c>
      <c r="AJ299" s="89">
        <f t="shared" ref="AJ299" si="77">SUM(AJ289:AJ298)</f>
        <v>279.56236371840009</v>
      </c>
    </row>
    <row r="300" spans="1:38" x14ac:dyDescent="0.4">
      <c r="A300" s="581" t="s">
        <v>1063</v>
      </c>
      <c r="B300" s="581"/>
      <c r="C300" s="89"/>
      <c r="D300" s="89"/>
      <c r="E300" s="89"/>
      <c r="F300" s="89"/>
      <c r="G300" s="89"/>
      <c r="H300" s="89"/>
      <c r="I300" s="89"/>
      <c r="J300" s="89"/>
      <c r="K300" s="89"/>
      <c r="L300" s="89"/>
      <c r="M300" s="89"/>
      <c r="N300" s="89"/>
      <c r="O300" s="89"/>
      <c r="P300" s="89"/>
      <c r="Q300" s="89"/>
      <c r="R300" s="89"/>
      <c r="S300" s="89"/>
      <c r="T300" s="89"/>
      <c r="U300" s="89"/>
      <c r="V300" s="89"/>
      <c r="W300" s="89"/>
      <c r="X300" s="89"/>
      <c r="Y300" s="89"/>
      <c r="Z300" s="589"/>
      <c r="AA300" s="589"/>
      <c r="AB300" s="89"/>
      <c r="AC300" s="89"/>
      <c r="AD300" s="89"/>
      <c r="AE300" s="89"/>
      <c r="AF300" s="89"/>
      <c r="AG300" s="89"/>
      <c r="AH300" s="89"/>
      <c r="AI300" s="89"/>
      <c r="AJ300" s="89"/>
    </row>
    <row r="301" spans="1:38" x14ac:dyDescent="0.4">
      <c r="A301" s="1294" t="s">
        <v>1009</v>
      </c>
      <c r="B301" s="581"/>
      <c r="C301" s="89"/>
      <c r="D301" s="648"/>
      <c r="E301" s="648"/>
      <c r="F301" s="648"/>
      <c r="G301" s="648"/>
      <c r="H301" s="648"/>
      <c r="I301" s="648"/>
      <c r="J301" s="648"/>
      <c r="K301" s="648"/>
      <c r="L301" s="648"/>
      <c r="M301" s="648"/>
      <c r="N301" s="648"/>
      <c r="O301" s="648"/>
      <c r="P301" s="648"/>
      <c r="Q301" s="648"/>
      <c r="R301" s="648"/>
      <c r="S301" s="648"/>
      <c r="T301" s="648"/>
      <c r="U301" s="648"/>
      <c r="V301" s="648"/>
      <c r="W301" s="648"/>
      <c r="X301" s="648"/>
      <c r="Y301" s="648"/>
      <c r="Z301" s="649"/>
      <c r="AA301" s="589"/>
      <c r="AB301" s="89"/>
      <c r="AC301" s="89"/>
      <c r="AD301" s="89"/>
      <c r="AE301" s="89"/>
      <c r="AF301" s="89"/>
      <c r="AG301" s="89"/>
      <c r="AH301" s="89"/>
      <c r="AI301" s="89"/>
      <c r="AJ301" s="89"/>
    </row>
    <row r="302" spans="1:38" x14ac:dyDescent="0.4">
      <c r="A302" s="581"/>
      <c r="B302" s="581"/>
      <c r="C302" s="89"/>
      <c r="D302" s="89"/>
      <c r="E302" s="89"/>
      <c r="F302" s="89"/>
      <c r="G302" s="89"/>
      <c r="H302" s="89"/>
      <c r="I302" s="89"/>
      <c r="J302" s="89"/>
      <c r="K302" s="89"/>
      <c r="L302" s="89"/>
      <c r="M302" s="89"/>
      <c r="N302" s="89"/>
      <c r="O302" s="89"/>
      <c r="P302" s="89"/>
      <c r="Q302" s="89"/>
      <c r="R302" s="89"/>
      <c r="S302" s="89"/>
      <c r="T302" s="89"/>
      <c r="U302" s="89"/>
      <c r="V302" s="89"/>
      <c r="W302" s="89"/>
      <c r="X302" s="89"/>
      <c r="Y302" s="89"/>
      <c r="Z302" s="589"/>
      <c r="AA302" s="589"/>
      <c r="AB302" s="89"/>
      <c r="AC302" s="89"/>
      <c r="AD302" s="89"/>
      <c r="AE302" s="89"/>
      <c r="AF302" s="89"/>
      <c r="AG302" s="89"/>
      <c r="AH302" s="89"/>
      <c r="AI302" s="89"/>
      <c r="AJ302" s="89"/>
    </row>
    <row r="303" spans="1:38" ht="17" x14ac:dyDescent="0.45">
      <c r="A303" s="88" t="s">
        <v>1458</v>
      </c>
      <c r="B303" s="581"/>
      <c r="C303" s="89"/>
      <c r="D303" s="89"/>
      <c r="E303" s="89"/>
      <c r="F303" s="89"/>
      <c r="G303" s="89"/>
      <c r="H303" s="89"/>
      <c r="I303" s="89"/>
      <c r="J303" s="89"/>
      <c r="K303" s="89"/>
      <c r="L303" s="89"/>
      <c r="M303" s="89"/>
      <c r="N303" s="89"/>
      <c r="O303" s="89"/>
      <c r="P303" s="89"/>
      <c r="Q303" s="89"/>
      <c r="R303" s="89"/>
      <c r="S303" s="89"/>
      <c r="T303" s="89"/>
      <c r="U303" s="89"/>
      <c r="V303" s="89"/>
      <c r="W303" s="89"/>
      <c r="X303" s="89"/>
      <c r="Y303" s="89"/>
      <c r="Z303" s="589"/>
      <c r="AA303" s="589"/>
      <c r="AB303" s="89"/>
      <c r="AC303" s="89"/>
      <c r="AD303" s="89"/>
      <c r="AE303" s="89"/>
      <c r="AF303" s="89"/>
      <c r="AG303" s="89"/>
      <c r="AH303" s="89"/>
      <c r="AI303" s="89"/>
      <c r="AJ303" s="89"/>
    </row>
    <row r="304" spans="1:38" s="28" customFormat="1" x14ac:dyDescent="0.4">
      <c r="A304" s="90" t="s">
        <v>536</v>
      </c>
      <c r="B304" s="88" t="s">
        <v>136</v>
      </c>
      <c r="C304" s="230" t="s">
        <v>391</v>
      </c>
      <c r="D304" s="230" t="s">
        <v>392</v>
      </c>
      <c r="E304" s="230" t="s">
        <v>393</v>
      </c>
      <c r="F304" s="230" t="s">
        <v>394</v>
      </c>
      <c r="G304" s="230" t="s">
        <v>395</v>
      </c>
      <c r="H304" s="230" t="s">
        <v>396</v>
      </c>
      <c r="I304" s="230" t="s">
        <v>397</v>
      </c>
      <c r="J304" s="230" t="s">
        <v>398</v>
      </c>
      <c r="K304" s="230" t="s">
        <v>399</v>
      </c>
      <c r="L304" s="230" t="s">
        <v>400</v>
      </c>
      <c r="M304" s="230" t="s">
        <v>401</v>
      </c>
      <c r="N304" s="230" t="s">
        <v>402</v>
      </c>
      <c r="O304" s="230" t="s">
        <v>403</v>
      </c>
      <c r="P304" s="230" t="s">
        <v>404</v>
      </c>
      <c r="Q304" s="230" t="s">
        <v>405</v>
      </c>
      <c r="R304" s="230" t="s">
        <v>406</v>
      </c>
      <c r="S304" s="230" t="s">
        <v>407</v>
      </c>
      <c r="T304" s="230" t="s">
        <v>408</v>
      </c>
      <c r="U304" s="230" t="s">
        <v>409</v>
      </c>
      <c r="V304" s="230" t="s">
        <v>410</v>
      </c>
      <c r="W304" s="230" t="s">
        <v>411</v>
      </c>
      <c r="X304" s="230" t="s">
        <v>412</v>
      </c>
      <c r="Y304" s="230" t="s">
        <v>413</v>
      </c>
      <c r="Z304" s="230" t="s">
        <v>414</v>
      </c>
      <c r="AA304" s="230" t="s">
        <v>415</v>
      </c>
      <c r="AB304" s="230" t="s">
        <v>416</v>
      </c>
      <c r="AC304" s="230" t="s">
        <v>417</v>
      </c>
      <c r="AD304" s="230" t="s">
        <v>418</v>
      </c>
      <c r="AE304" s="230" t="s">
        <v>419</v>
      </c>
      <c r="AF304" s="230" t="s">
        <v>420</v>
      </c>
      <c r="AG304" s="230" t="s">
        <v>421</v>
      </c>
      <c r="AH304" s="230" t="s">
        <v>422</v>
      </c>
      <c r="AI304" s="230" t="s">
        <v>423</v>
      </c>
      <c r="AJ304" s="230" t="s">
        <v>424</v>
      </c>
      <c r="AK304" s="3"/>
      <c r="AL304" s="3"/>
    </row>
    <row r="305" spans="1:38" ht="17" x14ac:dyDescent="0.4">
      <c r="A305" s="581" t="s">
        <v>59</v>
      </c>
      <c r="B305" s="1411" t="s">
        <v>1389</v>
      </c>
      <c r="C305" s="89">
        <f t="shared" ref="C305:AJ305" si="78">C169*C246</f>
        <v>1665.3784200222694</v>
      </c>
      <c r="D305" s="89">
        <f t="shared" si="78"/>
        <v>1678.9390495044652</v>
      </c>
      <c r="E305" s="89">
        <f t="shared" si="78"/>
        <v>1694.3877736592672</v>
      </c>
      <c r="F305" s="89">
        <f t="shared" si="78"/>
        <v>1720.4935116719889</v>
      </c>
      <c r="G305" s="89">
        <f t="shared" si="78"/>
        <v>1756.8646476917668</v>
      </c>
      <c r="H305" s="89">
        <f t="shared" si="78"/>
        <v>1758.3402800423603</v>
      </c>
      <c r="I305" s="89">
        <f t="shared" si="78"/>
        <v>1769.4440039963229</v>
      </c>
      <c r="J305" s="89">
        <f t="shared" si="78"/>
        <v>1793.532101408586</v>
      </c>
      <c r="K305" s="89">
        <f t="shared" si="78"/>
        <v>1805.4324583671569</v>
      </c>
      <c r="L305" s="89">
        <f t="shared" si="78"/>
        <v>1835.8102339316988</v>
      </c>
      <c r="M305" s="89">
        <f t="shared" si="78"/>
        <v>1904.1479444242755</v>
      </c>
      <c r="N305" s="89">
        <f t="shared" si="78"/>
        <v>1910.4420896775139</v>
      </c>
      <c r="O305" s="89">
        <f t="shared" si="78"/>
        <v>1929.7161412880923</v>
      </c>
      <c r="P305" s="89">
        <f t="shared" si="78"/>
        <v>1972.5452162629908</v>
      </c>
      <c r="Q305" s="89">
        <f t="shared" si="78"/>
        <v>1944.8893942170016</v>
      </c>
      <c r="R305" s="89">
        <f t="shared" si="78"/>
        <v>1932.0330776528995</v>
      </c>
      <c r="S305" s="89">
        <f t="shared" si="78"/>
        <v>2008.4800654223009</v>
      </c>
      <c r="T305" s="89">
        <f t="shared" si="78"/>
        <v>2027.2746481964607</v>
      </c>
      <c r="U305" s="89">
        <f t="shared" si="78"/>
        <v>2033.8881911683695</v>
      </c>
      <c r="V305" s="89">
        <f t="shared" si="78"/>
        <v>2040.5017341402779</v>
      </c>
      <c r="W305" s="89">
        <f t="shared" si="78"/>
        <v>2069.1492525994813</v>
      </c>
      <c r="X305" s="89">
        <f t="shared" si="78"/>
        <v>2097.0269406598381</v>
      </c>
      <c r="Y305" s="89">
        <f t="shared" si="78"/>
        <v>2156.041811448009</v>
      </c>
      <c r="Z305" s="89">
        <f t="shared" si="78"/>
        <v>2185.2730310993747</v>
      </c>
      <c r="AA305" s="89">
        <f t="shared" si="78"/>
        <v>2175.9993295055328</v>
      </c>
      <c r="AB305" s="89">
        <f t="shared" si="78"/>
        <v>2200.8989502589402</v>
      </c>
      <c r="AC305" s="89">
        <f t="shared" si="78"/>
        <v>2225.4620494066617</v>
      </c>
      <c r="AD305" s="89">
        <f t="shared" si="78"/>
        <v>2249.7392540929163</v>
      </c>
      <c r="AE305" s="89">
        <f t="shared" si="78"/>
        <v>2282.2895297578775</v>
      </c>
      <c r="AF305" s="89">
        <f t="shared" si="78"/>
        <v>2305.2132028531237</v>
      </c>
      <c r="AG305" s="89">
        <f t="shared" si="78"/>
        <v>2778.3670475476515</v>
      </c>
      <c r="AH305" s="89">
        <f t="shared" si="78"/>
        <v>2355.5708319799901</v>
      </c>
      <c r="AI305" s="89">
        <f t="shared" si="78"/>
        <v>2665.6040180036512</v>
      </c>
      <c r="AJ305" s="89">
        <f t="shared" si="78"/>
        <v>2387.2455558567085</v>
      </c>
    </row>
    <row r="306" spans="1:38" ht="17" x14ac:dyDescent="0.4">
      <c r="A306" s="581" t="s">
        <v>156</v>
      </c>
      <c r="B306" s="1411" t="s">
        <v>1389</v>
      </c>
      <c r="C306" s="89">
        <f t="shared" ref="C306:AJ306" si="79">C170*C247</f>
        <v>2007.135</v>
      </c>
      <c r="D306" s="89">
        <f t="shared" si="79"/>
        <v>2076.6563999999998</v>
      </c>
      <c r="E306" s="89">
        <f t="shared" si="79"/>
        <v>2009.4282000000001</v>
      </c>
      <c r="F306" s="89">
        <f t="shared" si="79"/>
        <v>2391.1758</v>
      </c>
      <c r="G306" s="89">
        <f t="shared" si="79"/>
        <v>2170.2096000000001</v>
      </c>
      <c r="H306" s="89">
        <f t="shared" si="79"/>
        <v>2444.2002000000002</v>
      </c>
      <c r="I306" s="89">
        <f t="shared" si="79"/>
        <v>2477.8026</v>
      </c>
      <c r="J306" s="89">
        <f t="shared" si="79"/>
        <v>2525.4684000000002</v>
      </c>
      <c r="K306" s="89">
        <f t="shared" si="79"/>
        <v>2546.6687999999999</v>
      </c>
      <c r="L306" s="89">
        <f t="shared" si="79"/>
        <v>2648.3418000000001</v>
      </c>
      <c r="M306" s="89">
        <f t="shared" si="79"/>
        <v>2761.0362</v>
      </c>
      <c r="N306" s="89">
        <f t="shared" si="79"/>
        <v>2831.0255999999999</v>
      </c>
      <c r="O306" s="89">
        <f t="shared" si="79"/>
        <v>2865.2598000000003</v>
      </c>
      <c r="P306" s="89">
        <f t="shared" si="79"/>
        <v>2878.3404</v>
      </c>
      <c r="Q306" s="89">
        <f t="shared" si="79"/>
        <v>2927.5038</v>
      </c>
      <c r="R306" s="89">
        <f t="shared" si="79"/>
        <v>2811.9078</v>
      </c>
      <c r="S306" s="89">
        <f t="shared" si="79"/>
        <v>2965.0842000000002</v>
      </c>
      <c r="T306" s="89">
        <f t="shared" si="79"/>
        <v>3017.7809999999999</v>
      </c>
      <c r="U306" s="89">
        <f t="shared" si="79"/>
        <v>3138.8525999999997</v>
      </c>
      <c r="V306" s="89">
        <f t="shared" si="79"/>
        <v>3259.9241999999999</v>
      </c>
      <c r="W306" s="89">
        <f t="shared" si="79"/>
        <v>3380.9958000000001</v>
      </c>
      <c r="X306" s="89">
        <f t="shared" si="79"/>
        <v>3234.4650000000001</v>
      </c>
      <c r="Y306" s="89">
        <f t="shared" si="79"/>
        <v>3342.1049999999996</v>
      </c>
      <c r="Z306" s="89">
        <f t="shared" si="79"/>
        <v>3375.3564000000001</v>
      </c>
      <c r="AA306" s="89">
        <f t="shared" si="79"/>
        <v>3265.6104000000005</v>
      </c>
      <c r="AB306" s="89">
        <f t="shared" si="79"/>
        <v>3288.9401999999995</v>
      </c>
      <c r="AC306" s="89">
        <f t="shared" si="79"/>
        <v>3319.7579999999998</v>
      </c>
      <c r="AD306" s="89">
        <f t="shared" si="79"/>
        <v>3342.9942000000005</v>
      </c>
      <c r="AE306" s="89">
        <f t="shared" si="79"/>
        <v>3383.4527999999996</v>
      </c>
      <c r="AF306" s="89">
        <f t="shared" si="79"/>
        <v>3387.5946000000008</v>
      </c>
      <c r="AG306" s="89">
        <f t="shared" si="79"/>
        <v>4122.2610000000004</v>
      </c>
      <c r="AH306" s="89">
        <f t="shared" si="79"/>
        <v>3414.6918000000001</v>
      </c>
      <c r="AI306" s="89">
        <f t="shared" si="79"/>
        <v>3848.3406</v>
      </c>
      <c r="AJ306" s="89">
        <f t="shared" si="79"/>
        <v>3405.5424000000003</v>
      </c>
    </row>
    <row r="307" spans="1:38" ht="17" x14ac:dyDescent="0.4">
      <c r="A307" s="581" t="s">
        <v>76</v>
      </c>
      <c r="B307" s="1411" t="s">
        <v>1389</v>
      </c>
      <c r="C307" s="89">
        <f t="shared" ref="C307:AJ307" si="80">C171*C248</f>
        <v>686.59500000000003</v>
      </c>
      <c r="D307" s="89">
        <f t="shared" si="80"/>
        <v>525.63</v>
      </c>
      <c r="E307" s="89">
        <f t="shared" si="80"/>
        <v>915.91499999999996</v>
      </c>
      <c r="F307" s="89">
        <f t="shared" si="80"/>
        <v>764.71499999999992</v>
      </c>
      <c r="G307" s="89">
        <f t="shared" si="80"/>
        <v>841.995</v>
      </c>
      <c r="H307" s="89">
        <f t="shared" si="80"/>
        <v>1096.9349999999999</v>
      </c>
      <c r="I307" s="89">
        <f t="shared" si="80"/>
        <v>1149.96</v>
      </c>
      <c r="J307" s="89">
        <f t="shared" si="80"/>
        <v>1161.0899999999999</v>
      </c>
      <c r="K307" s="89">
        <f t="shared" si="80"/>
        <v>1180.7249999999999</v>
      </c>
      <c r="L307" s="89">
        <f t="shared" si="80"/>
        <v>842.83499999999992</v>
      </c>
      <c r="M307" s="89">
        <f t="shared" si="80"/>
        <v>923.36999999999989</v>
      </c>
      <c r="N307" s="89">
        <f t="shared" si="80"/>
        <v>1023.75</v>
      </c>
      <c r="O307" s="89">
        <f t="shared" si="80"/>
        <v>954.44999999999993</v>
      </c>
      <c r="P307" s="89">
        <f t="shared" si="80"/>
        <v>1183.56</v>
      </c>
      <c r="Q307" s="89">
        <f t="shared" si="80"/>
        <v>1149.645</v>
      </c>
      <c r="R307" s="89">
        <f t="shared" si="80"/>
        <v>1261.9950000000001</v>
      </c>
      <c r="S307" s="89">
        <f t="shared" si="80"/>
        <v>1307.8799999999999</v>
      </c>
      <c r="T307" s="89">
        <f t="shared" si="80"/>
        <v>1331.19</v>
      </c>
      <c r="U307" s="89">
        <f t="shared" si="80"/>
        <v>1333.7450000000001</v>
      </c>
      <c r="V307" s="89">
        <f t="shared" si="80"/>
        <v>1336.3</v>
      </c>
      <c r="W307" s="89">
        <f t="shared" si="80"/>
        <v>1338.855</v>
      </c>
      <c r="X307" s="89">
        <f t="shared" si="80"/>
        <v>1125.7049999999997</v>
      </c>
      <c r="Y307" s="89">
        <f t="shared" si="80"/>
        <v>1138.2</v>
      </c>
      <c r="Z307" s="89">
        <f t="shared" si="80"/>
        <v>1161.615</v>
      </c>
      <c r="AA307" s="89">
        <f t="shared" si="80"/>
        <v>1149.33</v>
      </c>
      <c r="AB307" s="89">
        <f t="shared" si="80"/>
        <v>1182.93</v>
      </c>
      <c r="AC307" s="89">
        <f t="shared" si="80"/>
        <v>1190.0699999999997</v>
      </c>
      <c r="AD307" s="89">
        <f t="shared" si="80"/>
        <v>1175.58</v>
      </c>
      <c r="AE307" s="89">
        <f t="shared" si="80"/>
        <v>1176.5249999999999</v>
      </c>
      <c r="AF307" s="89">
        <f t="shared" si="80"/>
        <v>1175.58</v>
      </c>
      <c r="AG307" s="89">
        <f t="shared" si="80"/>
        <v>1285.2</v>
      </c>
      <c r="AH307" s="89">
        <f t="shared" si="80"/>
        <v>1164.345</v>
      </c>
      <c r="AI307" s="89">
        <f t="shared" si="80"/>
        <v>1241.4150000000002</v>
      </c>
      <c r="AJ307" s="89">
        <f t="shared" si="80"/>
        <v>1165.1850000000002</v>
      </c>
    </row>
    <row r="308" spans="1:38" ht="17" x14ac:dyDescent="0.4">
      <c r="A308" s="1296" t="s">
        <v>1004</v>
      </c>
      <c r="B308" s="1411" t="s">
        <v>1389</v>
      </c>
      <c r="C308" s="89">
        <f>SUM(C305:C307)</f>
        <v>4359.1084200222695</v>
      </c>
      <c r="D308" s="89">
        <f t="shared" ref="D308:AG308" si="81">SUM(D305:D307)</f>
        <v>4281.2254495044654</v>
      </c>
      <c r="E308" s="89">
        <f t="shared" si="81"/>
        <v>4619.730973659267</v>
      </c>
      <c r="F308" s="89">
        <f t="shared" si="81"/>
        <v>4876.3843116719891</v>
      </c>
      <c r="G308" s="89">
        <f t="shared" si="81"/>
        <v>4769.0692476917666</v>
      </c>
      <c r="H308" s="89">
        <f t="shared" si="81"/>
        <v>5299.4754800423598</v>
      </c>
      <c r="I308" s="89">
        <f t="shared" si="81"/>
        <v>5397.2066039963229</v>
      </c>
      <c r="J308" s="89">
        <f t="shared" si="81"/>
        <v>5480.0905014085865</v>
      </c>
      <c r="K308" s="89">
        <f t="shared" si="81"/>
        <v>5532.8262583671567</v>
      </c>
      <c r="L308" s="89">
        <f t="shared" si="81"/>
        <v>5326.9870339316994</v>
      </c>
      <c r="M308" s="89">
        <f t="shared" si="81"/>
        <v>5588.5541444242754</v>
      </c>
      <c r="N308" s="89">
        <f t="shared" si="81"/>
        <v>5765.2176896775136</v>
      </c>
      <c r="O308" s="89">
        <f t="shared" si="81"/>
        <v>5749.425941288092</v>
      </c>
      <c r="P308" s="89">
        <f t="shared" si="81"/>
        <v>6034.4456162629904</v>
      </c>
      <c r="Q308" s="89">
        <f t="shared" si="81"/>
        <v>6022.0381942170025</v>
      </c>
      <c r="R308" s="89">
        <f t="shared" si="81"/>
        <v>6005.9358776528998</v>
      </c>
      <c r="S308" s="89">
        <f t="shared" si="81"/>
        <v>6281.4442654223012</v>
      </c>
      <c r="T308" s="89">
        <f t="shared" si="81"/>
        <v>6376.24564819646</v>
      </c>
      <c r="U308" s="89">
        <f t="shared" si="81"/>
        <v>6506.4857911683694</v>
      </c>
      <c r="V308" s="89">
        <f t="shared" si="81"/>
        <v>6636.7259341402778</v>
      </c>
      <c r="W308" s="89">
        <f t="shared" si="81"/>
        <v>6789.0000525994819</v>
      </c>
      <c r="X308" s="89">
        <f t="shared" si="81"/>
        <v>6457.1969406598382</v>
      </c>
      <c r="Y308" s="89">
        <f t="shared" si="81"/>
        <v>6636.3468114480083</v>
      </c>
      <c r="Z308" s="89">
        <f t="shared" si="81"/>
        <v>6722.2444310993742</v>
      </c>
      <c r="AA308" s="89">
        <f t="shared" si="81"/>
        <v>6590.9397295055333</v>
      </c>
      <c r="AB308" s="89">
        <f t="shared" si="81"/>
        <v>6672.7691502589405</v>
      </c>
      <c r="AC308" s="89">
        <f t="shared" si="81"/>
        <v>6735.2900494066616</v>
      </c>
      <c r="AD308" s="89">
        <f t="shared" si="81"/>
        <v>6768.3134540929168</v>
      </c>
      <c r="AE308" s="89">
        <f t="shared" si="81"/>
        <v>6842.2673297578767</v>
      </c>
      <c r="AF308" s="89">
        <f t="shared" si="81"/>
        <v>6868.3878028531244</v>
      </c>
      <c r="AG308" s="89">
        <f t="shared" si="81"/>
        <v>8185.8280475476522</v>
      </c>
      <c r="AH308" s="89">
        <f t="shared" ref="AH308:AI308" si="82">SUM(AH305:AH307)</f>
        <v>6934.6076319799904</v>
      </c>
      <c r="AI308" s="89">
        <f t="shared" si="82"/>
        <v>7755.3596180036511</v>
      </c>
      <c r="AJ308" s="89">
        <f t="shared" ref="AJ308" si="83">SUM(AJ305:AJ307)</f>
        <v>6957.9729558567096</v>
      </c>
    </row>
    <row r="309" spans="1:38" x14ac:dyDescent="0.4">
      <c r="A309" s="581" t="s">
        <v>1063</v>
      </c>
      <c r="B309" s="581"/>
      <c r="C309" s="89"/>
      <c r="D309" s="89"/>
      <c r="E309" s="89"/>
      <c r="F309" s="89"/>
      <c r="G309" s="89"/>
      <c r="H309" s="89"/>
      <c r="I309" s="89"/>
      <c r="J309" s="89"/>
      <c r="K309" s="89"/>
      <c r="L309" s="89"/>
      <c r="M309" s="89"/>
      <c r="N309" s="89"/>
      <c r="O309" s="89"/>
      <c r="P309" s="89"/>
      <c r="Q309" s="89"/>
      <c r="R309" s="89"/>
      <c r="S309" s="89"/>
      <c r="T309" s="89"/>
      <c r="U309" s="89"/>
      <c r="V309" s="89"/>
      <c r="W309" s="89"/>
      <c r="X309" s="89"/>
      <c r="Y309" s="89"/>
      <c r="Z309" s="89"/>
      <c r="AA309" s="89"/>
      <c r="AB309" s="89"/>
      <c r="AC309" s="89"/>
      <c r="AD309" s="89"/>
      <c r="AE309" s="89"/>
      <c r="AF309" s="89"/>
      <c r="AG309" s="89"/>
      <c r="AH309" s="89"/>
      <c r="AI309" s="89"/>
      <c r="AJ309" s="89"/>
    </row>
    <row r="310" spans="1:38" x14ac:dyDescent="0.4">
      <c r="A310" s="581"/>
      <c r="B310" s="581"/>
      <c r="C310" s="89"/>
      <c r="D310" s="89"/>
      <c r="E310" s="89"/>
      <c r="F310" s="89"/>
      <c r="G310" s="89"/>
      <c r="H310" s="89"/>
      <c r="I310" s="89"/>
      <c r="J310" s="89"/>
      <c r="K310" s="89"/>
      <c r="L310" s="89"/>
      <c r="M310" s="89"/>
      <c r="N310" s="89"/>
      <c r="O310" s="89"/>
      <c r="P310" s="89"/>
      <c r="Q310" s="89"/>
      <c r="R310" s="89"/>
      <c r="S310" s="89"/>
      <c r="T310" s="89"/>
      <c r="U310" s="89"/>
      <c r="V310" s="89"/>
      <c r="W310" s="89"/>
      <c r="X310" s="89"/>
      <c r="Y310" s="89"/>
      <c r="Z310" s="89"/>
      <c r="AA310" s="89"/>
      <c r="AB310" s="89"/>
      <c r="AC310" s="89"/>
      <c r="AD310" s="89"/>
      <c r="AE310" s="89"/>
      <c r="AF310" s="89"/>
      <c r="AG310" s="89"/>
      <c r="AH310" s="89"/>
      <c r="AI310" s="89"/>
      <c r="AJ310" s="89"/>
    </row>
    <row r="311" spans="1:38" ht="17" x14ac:dyDescent="0.45">
      <c r="A311" s="88" t="s">
        <v>1463</v>
      </c>
      <c r="B311" s="581"/>
      <c r="C311" s="89"/>
      <c r="D311" s="89"/>
      <c r="E311" s="89"/>
      <c r="F311" s="89"/>
      <c r="G311" s="89"/>
      <c r="H311" s="89"/>
      <c r="I311" s="89"/>
      <c r="J311" s="89"/>
      <c r="K311" s="89"/>
      <c r="L311" s="89"/>
      <c r="M311" s="89"/>
      <c r="N311" s="89"/>
      <c r="O311" s="89"/>
      <c r="P311" s="89"/>
      <c r="Q311" s="89"/>
      <c r="R311" s="89"/>
      <c r="S311" s="89"/>
      <c r="T311" s="89"/>
      <c r="U311" s="89"/>
      <c r="V311" s="89"/>
      <c r="W311" s="89"/>
      <c r="X311" s="89"/>
      <c r="Y311" s="89"/>
      <c r="Z311" s="89"/>
      <c r="AA311" s="89"/>
      <c r="AB311" s="89"/>
      <c r="AC311" s="89"/>
      <c r="AD311" s="89"/>
      <c r="AE311" s="89"/>
      <c r="AF311" s="89"/>
      <c r="AG311" s="89"/>
      <c r="AH311" s="89"/>
      <c r="AI311" s="89"/>
      <c r="AJ311" s="89"/>
    </row>
    <row r="312" spans="1:38" s="28" customFormat="1" x14ac:dyDescent="0.4">
      <c r="A312" s="90" t="s">
        <v>390</v>
      </c>
      <c r="B312" s="88" t="s">
        <v>136</v>
      </c>
      <c r="C312" s="230" t="s">
        <v>391</v>
      </c>
      <c r="D312" s="230" t="s">
        <v>392</v>
      </c>
      <c r="E312" s="230" t="s">
        <v>393</v>
      </c>
      <c r="F312" s="230" t="s">
        <v>394</v>
      </c>
      <c r="G312" s="230" t="s">
        <v>395</v>
      </c>
      <c r="H312" s="230" t="s">
        <v>396</v>
      </c>
      <c r="I312" s="230" t="s">
        <v>397</v>
      </c>
      <c r="J312" s="230" t="s">
        <v>398</v>
      </c>
      <c r="K312" s="230" t="s">
        <v>399</v>
      </c>
      <c r="L312" s="230" t="s">
        <v>400</v>
      </c>
      <c r="M312" s="230" t="s">
        <v>401</v>
      </c>
      <c r="N312" s="230" t="s">
        <v>402</v>
      </c>
      <c r="O312" s="230" t="s">
        <v>403</v>
      </c>
      <c r="P312" s="230" t="s">
        <v>404</v>
      </c>
      <c r="Q312" s="230" t="s">
        <v>405</v>
      </c>
      <c r="R312" s="230" t="s">
        <v>406</v>
      </c>
      <c r="S312" s="230" t="s">
        <v>407</v>
      </c>
      <c r="T312" s="230" t="s">
        <v>408</v>
      </c>
      <c r="U312" s="230" t="s">
        <v>409</v>
      </c>
      <c r="V312" s="230" t="s">
        <v>410</v>
      </c>
      <c r="W312" s="230" t="s">
        <v>411</v>
      </c>
      <c r="X312" s="230" t="s">
        <v>412</v>
      </c>
      <c r="Y312" s="230" t="s">
        <v>413</v>
      </c>
      <c r="Z312" s="230" t="s">
        <v>414</v>
      </c>
      <c r="AA312" s="230" t="s">
        <v>415</v>
      </c>
      <c r="AB312" s="230" t="s">
        <v>416</v>
      </c>
      <c r="AC312" s="230" t="s">
        <v>417</v>
      </c>
      <c r="AD312" s="230" t="s">
        <v>418</v>
      </c>
      <c r="AE312" s="230" t="s">
        <v>419</v>
      </c>
      <c r="AF312" s="230" t="s">
        <v>420</v>
      </c>
      <c r="AG312" s="230" t="s">
        <v>421</v>
      </c>
      <c r="AH312" s="230" t="s">
        <v>422</v>
      </c>
      <c r="AI312" s="230" t="s">
        <v>423</v>
      </c>
      <c r="AJ312" s="230" t="s">
        <v>424</v>
      </c>
      <c r="AK312" s="3"/>
      <c r="AL312" s="3"/>
    </row>
    <row r="313" spans="1:38" ht="17" x14ac:dyDescent="0.4">
      <c r="A313" s="581" t="s">
        <v>157</v>
      </c>
      <c r="B313" s="1411" t="s">
        <v>1389</v>
      </c>
      <c r="C313" s="89">
        <f>C$119*C$253</f>
        <v>16.977689999999999</v>
      </c>
      <c r="D313" s="89">
        <f t="shared" ref="D313:AJ313" si="84">D119*D$253</f>
        <v>17.041248000000003</v>
      </c>
      <c r="E313" s="89">
        <f t="shared" si="84"/>
        <v>17.296924499999999</v>
      </c>
      <c r="F313" s="89">
        <f t="shared" si="84"/>
        <v>17.405262</v>
      </c>
      <c r="G313" s="89">
        <f t="shared" si="84"/>
        <v>17.690310000000004</v>
      </c>
      <c r="H313" s="89">
        <f t="shared" si="84"/>
        <v>17.935875000000003</v>
      </c>
      <c r="I313" s="89">
        <f t="shared" si="84"/>
        <v>18.107729388435356</v>
      </c>
      <c r="J313" s="89">
        <f t="shared" si="84"/>
        <v>18.336421705404089</v>
      </c>
      <c r="K313" s="89">
        <f t="shared" si="84"/>
        <v>14.9210045914008</v>
      </c>
      <c r="L313" s="89">
        <f t="shared" si="84"/>
        <v>18.782782595708859</v>
      </c>
      <c r="M313" s="89">
        <f t="shared" si="84"/>
        <v>18.994688583899624</v>
      </c>
      <c r="N313" s="89">
        <f t="shared" si="84"/>
        <v>19.29518950945879</v>
      </c>
      <c r="O313" s="89">
        <f t="shared" si="84"/>
        <v>0</v>
      </c>
      <c r="P313" s="89">
        <f t="shared" si="84"/>
        <v>19.623211496790002</v>
      </c>
      <c r="Q313" s="89">
        <f t="shared" si="84"/>
        <v>19.920971745209997</v>
      </c>
      <c r="R313" s="89">
        <f t="shared" si="84"/>
        <v>20.161698951795213</v>
      </c>
      <c r="S313" s="89">
        <f t="shared" si="84"/>
        <v>19.840570788492748</v>
      </c>
      <c r="T313" s="89">
        <f t="shared" si="84"/>
        <v>20.129603445000004</v>
      </c>
      <c r="U313" s="89">
        <f t="shared" si="84"/>
        <v>17.752069909325737</v>
      </c>
      <c r="V313" s="89">
        <f t="shared" si="84"/>
        <v>20.288820170250641</v>
      </c>
      <c r="W313" s="89">
        <f t="shared" si="84"/>
        <v>20.349900019684636</v>
      </c>
      <c r="X313" s="89">
        <f t="shared" si="84"/>
        <v>20.407895999999997</v>
      </c>
      <c r="Y313" s="89">
        <f t="shared" si="84"/>
        <v>20.497129505999997</v>
      </c>
      <c r="Z313" s="89">
        <f t="shared" si="84"/>
        <v>20.591363871000009</v>
      </c>
      <c r="AA313" s="89">
        <f t="shared" si="84"/>
        <v>20.729485642561905</v>
      </c>
      <c r="AB313" s="89">
        <f t="shared" si="84"/>
        <v>20.778110377897665</v>
      </c>
      <c r="AC313" s="89">
        <f t="shared" si="84"/>
        <v>20.830890861</v>
      </c>
      <c r="AD313" s="89">
        <f t="shared" si="84"/>
        <v>7.6458736303981292</v>
      </c>
      <c r="AE313" s="89">
        <f t="shared" si="84"/>
        <v>20.045285280182963</v>
      </c>
      <c r="AF313" s="89">
        <f t="shared" si="84"/>
        <v>20.172988866983431</v>
      </c>
      <c r="AG313" s="89">
        <f t="shared" si="84"/>
        <v>20.365247288732512</v>
      </c>
      <c r="AH313" s="89">
        <f t="shared" si="84"/>
        <v>20.245721912680324</v>
      </c>
      <c r="AI313" s="89">
        <f t="shared" si="84"/>
        <v>20.312213211296669</v>
      </c>
      <c r="AJ313" s="89">
        <f t="shared" si="84"/>
        <v>20.332142266302611</v>
      </c>
    </row>
    <row r="314" spans="1:38" ht="17" x14ac:dyDescent="0.4">
      <c r="A314" s="581" t="s">
        <v>158</v>
      </c>
      <c r="B314" s="1411" t="s">
        <v>1389</v>
      </c>
      <c r="C314" s="89">
        <f t="shared" ref="C314:AJ314" si="85">C$144*C$254</f>
        <v>59.2392662268457</v>
      </c>
      <c r="D314" s="89">
        <f t="shared" si="85"/>
        <v>59.646080928077595</v>
      </c>
      <c r="E314" s="89">
        <f t="shared" si="85"/>
        <v>61.138934819638948</v>
      </c>
      <c r="F314" s="89">
        <f t="shared" si="85"/>
        <v>42.812753434757354</v>
      </c>
      <c r="G314" s="89">
        <f t="shared" si="85"/>
        <v>29.337286342515732</v>
      </c>
      <c r="H314" s="89">
        <f t="shared" si="85"/>
        <v>39.552180579429375</v>
      </c>
      <c r="I314" s="89">
        <f t="shared" si="85"/>
        <v>34.186172984870915</v>
      </c>
      <c r="J314" s="89">
        <f t="shared" si="85"/>
        <v>0</v>
      </c>
      <c r="K314" s="89">
        <f t="shared" si="85"/>
        <v>39.00274978404196</v>
      </c>
      <c r="L314" s="89">
        <f t="shared" si="85"/>
        <v>37.098464158275661</v>
      </c>
      <c r="M314" s="89">
        <f t="shared" si="85"/>
        <v>36.077595065102152</v>
      </c>
      <c r="N314" s="89">
        <f t="shared" si="85"/>
        <v>35.543917418699294</v>
      </c>
      <c r="O314" s="89">
        <f t="shared" si="85"/>
        <v>11.010874460588251</v>
      </c>
      <c r="P314" s="89">
        <f t="shared" si="85"/>
        <v>17.934948173579187</v>
      </c>
      <c r="Q314" s="89">
        <f t="shared" si="85"/>
        <v>3.0420962147396504</v>
      </c>
      <c r="R314" s="89">
        <f t="shared" si="85"/>
        <v>0</v>
      </c>
      <c r="S314" s="89">
        <f t="shared" si="85"/>
        <v>0</v>
      </c>
      <c r="T314" s="89">
        <f t="shared" si="85"/>
        <v>17.346600024849462</v>
      </c>
      <c r="U314" s="89">
        <f t="shared" si="85"/>
        <v>17.905484596869758</v>
      </c>
      <c r="V314" s="89">
        <f t="shared" si="85"/>
        <v>24.550461665830397</v>
      </c>
      <c r="W314" s="89">
        <f t="shared" si="85"/>
        <v>18.686294931785621</v>
      </c>
      <c r="X314" s="89">
        <f t="shared" si="85"/>
        <v>32.935465531464118</v>
      </c>
      <c r="Y314" s="89">
        <f t="shared" si="85"/>
        <v>37.133661947700368</v>
      </c>
      <c r="Z314" s="89">
        <f t="shared" si="85"/>
        <v>34.597961168849544</v>
      </c>
      <c r="AA314" s="89">
        <f t="shared" si="85"/>
        <v>40.320201696572028</v>
      </c>
      <c r="AB314" s="89">
        <f t="shared" si="85"/>
        <v>33.955288946430237</v>
      </c>
      <c r="AC314" s="89">
        <f t="shared" si="85"/>
        <v>38.869990728656227</v>
      </c>
      <c r="AD314" s="89">
        <f t="shared" si="85"/>
        <v>34.03709409072551</v>
      </c>
      <c r="AE314" s="89">
        <f t="shared" si="85"/>
        <v>13.28847201926026</v>
      </c>
      <c r="AF314" s="89">
        <f t="shared" si="85"/>
        <v>34.087304686107345</v>
      </c>
      <c r="AG314" s="89">
        <f t="shared" si="85"/>
        <v>32.459573964940184</v>
      </c>
      <c r="AH314" s="89">
        <f t="shared" si="85"/>
        <v>28.113948530868786</v>
      </c>
      <c r="AI314" s="89">
        <f t="shared" si="85"/>
        <v>28.723108867390735</v>
      </c>
      <c r="AJ314" s="89">
        <f t="shared" si="85"/>
        <v>31.197323141268566</v>
      </c>
    </row>
    <row r="315" spans="1:38" ht="17" x14ac:dyDescent="0.4">
      <c r="A315" s="581" t="s">
        <v>159</v>
      </c>
      <c r="B315" s="1411" t="s">
        <v>1389</v>
      </c>
      <c r="C315" s="89">
        <f t="shared" ref="C315:AJ315" si="86">C$144*C$255</f>
        <v>923.43562059494752</v>
      </c>
      <c r="D315" s="89">
        <f t="shared" si="86"/>
        <v>929.7771438788568</v>
      </c>
      <c r="E315" s="89">
        <f t="shared" si="86"/>
        <v>953.0481016002542</v>
      </c>
      <c r="F315" s="89">
        <f t="shared" si="86"/>
        <v>958.7464720836341</v>
      </c>
      <c r="G315" s="89">
        <f t="shared" si="86"/>
        <v>974.11744334298862</v>
      </c>
      <c r="H315" s="89">
        <f t="shared" si="86"/>
        <v>988.94320389667666</v>
      </c>
      <c r="I315" s="89">
        <f t="shared" si="86"/>
        <v>999.29619882454438</v>
      </c>
      <c r="J315" s="89">
        <f t="shared" si="86"/>
        <v>1013.8845841927711</v>
      </c>
      <c r="K315" s="89">
        <f t="shared" si="86"/>
        <v>1031.3147931644476</v>
      </c>
      <c r="L315" s="89">
        <f t="shared" si="86"/>
        <v>1044.8859239024357</v>
      </c>
      <c r="M315" s="89">
        <f t="shared" si="86"/>
        <v>982.44232309255972</v>
      </c>
      <c r="N315" s="89">
        <f t="shared" si="86"/>
        <v>997.71368366646686</v>
      </c>
      <c r="O315" s="89">
        <f t="shared" si="86"/>
        <v>1030.9304306899955</v>
      </c>
      <c r="P315" s="89">
        <f t="shared" si="86"/>
        <v>992.72281791264493</v>
      </c>
      <c r="Q315" s="89">
        <f t="shared" si="86"/>
        <v>1021.6546036661667</v>
      </c>
      <c r="R315" s="89">
        <f t="shared" si="86"/>
        <v>1104.4887501229325</v>
      </c>
      <c r="S315" s="89">
        <f t="shared" si="86"/>
        <v>1056.4580556984106</v>
      </c>
      <c r="T315" s="89">
        <f t="shared" si="86"/>
        <v>1082.8427697888319</v>
      </c>
      <c r="U315" s="89">
        <f t="shared" si="86"/>
        <v>1072.6930322251053</v>
      </c>
      <c r="V315" s="89">
        <f t="shared" si="86"/>
        <v>1058.4695739104272</v>
      </c>
      <c r="W315" s="89">
        <f t="shared" si="86"/>
        <v>1057.2776173253715</v>
      </c>
      <c r="X315" s="89">
        <f t="shared" si="86"/>
        <v>996.63059097409496</v>
      </c>
      <c r="Y315" s="89">
        <f t="shared" si="86"/>
        <v>1075.2119463487459</v>
      </c>
      <c r="Z315" s="89">
        <f t="shared" si="86"/>
        <v>1077.4813643535153</v>
      </c>
      <c r="AA315" s="89">
        <f t="shared" si="86"/>
        <v>1085.656911707435</v>
      </c>
      <c r="AB315" s="89">
        <f t="shared" si="86"/>
        <v>1093.7029341709363</v>
      </c>
      <c r="AC315" s="89">
        <f t="shared" si="86"/>
        <v>1096.6696917969155</v>
      </c>
      <c r="AD315" s="89">
        <f t="shared" si="86"/>
        <v>1116.4723164741224</v>
      </c>
      <c r="AE315" s="89">
        <f t="shared" si="86"/>
        <v>1123.0140747532823</v>
      </c>
      <c r="AF315" s="89">
        <f t="shared" si="86"/>
        <v>1127.7152830345217</v>
      </c>
      <c r="AG315" s="89">
        <f t="shared" si="86"/>
        <v>1113.4084450451574</v>
      </c>
      <c r="AH315" s="89">
        <f t="shared" si="86"/>
        <v>1115.7686874174124</v>
      </c>
      <c r="AI315" s="89">
        <f t="shared" si="86"/>
        <v>1123.3564562341558</v>
      </c>
      <c r="AJ315" s="89">
        <f t="shared" si="86"/>
        <v>1198.0229264461163</v>
      </c>
    </row>
    <row r="316" spans="1:38" ht="17" x14ac:dyDescent="0.4">
      <c r="A316" s="1296" t="s">
        <v>1005</v>
      </c>
      <c r="B316" s="1411" t="s">
        <v>1389</v>
      </c>
      <c r="C316" s="89">
        <f>SUM(C313:C315)</f>
        <v>999.65257682179322</v>
      </c>
      <c r="D316" s="89">
        <f t="shared" ref="D316:AJ316" si="87">SUM(D313:D315)</f>
        <v>1006.4644728069344</v>
      </c>
      <c r="E316" s="89">
        <f t="shared" si="87"/>
        <v>1031.4839609198932</v>
      </c>
      <c r="F316" s="89">
        <f t="shared" si="87"/>
        <v>1018.9644875183915</v>
      </c>
      <c r="G316" s="89">
        <f t="shared" si="87"/>
        <v>1021.1450396855043</v>
      </c>
      <c r="H316" s="89">
        <f t="shared" si="87"/>
        <v>1046.4312594761061</v>
      </c>
      <c r="I316" s="89">
        <f t="shared" si="87"/>
        <v>1051.5901011978506</v>
      </c>
      <c r="J316" s="89">
        <f t="shared" si="87"/>
        <v>1032.2210058981752</v>
      </c>
      <c r="K316" s="89">
        <f t="shared" si="87"/>
        <v>1085.2385475398903</v>
      </c>
      <c r="L316" s="89">
        <f t="shared" si="87"/>
        <v>1100.7671706564201</v>
      </c>
      <c r="M316" s="89">
        <f t="shared" si="87"/>
        <v>1037.5146067415615</v>
      </c>
      <c r="N316" s="89">
        <f t="shared" si="87"/>
        <v>1052.5527905946249</v>
      </c>
      <c r="O316" s="89">
        <f t="shared" si="87"/>
        <v>1041.9413051505837</v>
      </c>
      <c r="P316" s="89">
        <f t="shared" si="87"/>
        <v>1030.2809775830142</v>
      </c>
      <c r="Q316" s="89">
        <f t="shared" si="87"/>
        <v>1044.6176716261164</v>
      </c>
      <c r="R316" s="89">
        <f t="shared" si="87"/>
        <v>1124.6504490747277</v>
      </c>
      <c r="S316" s="89">
        <f t="shared" si="87"/>
        <v>1076.2986264869032</v>
      </c>
      <c r="T316" s="89">
        <f t="shared" si="87"/>
        <v>1120.3189732586814</v>
      </c>
      <c r="U316" s="89">
        <f t="shared" si="87"/>
        <v>1108.3505867313008</v>
      </c>
      <c r="V316" s="89">
        <f t="shared" si="87"/>
        <v>1103.3088557465082</v>
      </c>
      <c r="W316" s="89">
        <f t="shared" si="87"/>
        <v>1096.3138122768416</v>
      </c>
      <c r="X316" s="89">
        <f t="shared" si="87"/>
        <v>1049.9739525055591</v>
      </c>
      <c r="Y316" s="89">
        <f t="shared" si="87"/>
        <v>1132.8427378024462</v>
      </c>
      <c r="Z316" s="89">
        <f t="shared" si="87"/>
        <v>1132.6706893933649</v>
      </c>
      <c r="AA316" s="89">
        <f t="shared" si="87"/>
        <v>1146.706599046569</v>
      </c>
      <c r="AB316" s="89">
        <f t="shared" si="87"/>
        <v>1148.4363334952641</v>
      </c>
      <c r="AC316" s="89">
        <f t="shared" si="87"/>
        <v>1156.3705733865718</v>
      </c>
      <c r="AD316" s="89">
        <f t="shared" si="87"/>
        <v>1158.1552841952459</v>
      </c>
      <c r="AE316" s="89">
        <f t="shared" si="87"/>
        <v>1156.3478320527256</v>
      </c>
      <c r="AF316" s="89">
        <f t="shared" si="87"/>
        <v>1181.9755765876125</v>
      </c>
      <c r="AG316" s="89">
        <f t="shared" si="87"/>
        <v>1166.2332662988301</v>
      </c>
      <c r="AH316" s="89">
        <f t="shared" si="87"/>
        <v>1164.1283578609614</v>
      </c>
      <c r="AI316" s="89">
        <f t="shared" si="87"/>
        <v>1172.3917783128431</v>
      </c>
      <c r="AJ316" s="89">
        <f t="shared" si="87"/>
        <v>1249.5523918536876</v>
      </c>
    </row>
    <row r="317" spans="1:38" x14ac:dyDescent="0.4">
      <c r="A317" s="581" t="s">
        <v>1063</v>
      </c>
      <c r="B317" s="581"/>
      <c r="C317" s="89"/>
      <c r="D317" s="89"/>
      <c r="E317" s="89"/>
      <c r="F317" s="89"/>
      <c r="G317" s="89"/>
      <c r="H317" s="89"/>
      <c r="I317" s="89"/>
      <c r="J317" s="89"/>
      <c r="K317" s="89"/>
      <c r="L317" s="89"/>
      <c r="M317" s="89"/>
      <c r="N317" s="89"/>
      <c r="O317" s="89"/>
      <c r="P317" s="89"/>
      <c r="Q317" s="89"/>
      <c r="R317" s="89"/>
      <c r="S317" s="89"/>
      <c r="T317" s="89"/>
      <c r="U317" s="89"/>
      <c r="V317" s="89"/>
      <c r="W317" s="89"/>
      <c r="X317" s="89"/>
      <c r="Y317" s="89"/>
      <c r="Z317" s="89"/>
      <c r="AA317" s="89"/>
      <c r="AB317" s="89"/>
      <c r="AC317" s="89"/>
      <c r="AD317" s="89"/>
      <c r="AE317" s="89"/>
      <c r="AF317" s="89"/>
      <c r="AG317" s="89"/>
      <c r="AH317" s="89"/>
      <c r="AI317" s="89"/>
      <c r="AJ317" s="89"/>
    </row>
    <row r="318" spans="1:38" x14ac:dyDescent="0.4">
      <c r="A318" s="581"/>
      <c r="B318" s="581"/>
      <c r="C318" s="89"/>
      <c r="D318" s="89"/>
      <c r="E318" s="89"/>
      <c r="F318" s="89"/>
      <c r="G318" s="89"/>
      <c r="H318" s="89"/>
      <c r="I318" s="89"/>
      <c r="J318" s="89"/>
      <c r="K318" s="89"/>
      <c r="L318" s="89"/>
      <c r="M318" s="89"/>
      <c r="N318" s="89"/>
      <c r="O318" s="89"/>
      <c r="P318" s="89"/>
      <c r="Q318" s="89"/>
      <c r="R318" s="89"/>
      <c r="S318" s="89"/>
      <c r="T318" s="89"/>
      <c r="U318" s="89"/>
      <c r="V318" s="89"/>
      <c r="W318" s="89"/>
      <c r="X318" s="89"/>
      <c r="Y318" s="89"/>
      <c r="Z318" s="89"/>
      <c r="AA318" s="89"/>
      <c r="AB318" s="89"/>
      <c r="AC318" s="89"/>
      <c r="AD318" s="89"/>
      <c r="AE318" s="89"/>
      <c r="AF318" s="89"/>
      <c r="AG318" s="89"/>
      <c r="AH318" s="89"/>
      <c r="AI318" s="89"/>
      <c r="AJ318" s="89"/>
    </row>
    <row r="319" spans="1:38" ht="17" x14ac:dyDescent="0.45">
      <c r="A319" s="88" t="s">
        <v>1464</v>
      </c>
      <c r="C319" s="545"/>
      <c r="D319" s="354"/>
      <c r="E319" s="354"/>
      <c r="F319" s="354"/>
      <c r="G319" s="354"/>
      <c r="H319" s="354"/>
      <c r="I319" s="354"/>
      <c r="J319" s="354"/>
      <c r="K319" s="354"/>
      <c r="L319" s="354"/>
      <c r="M319" s="354"/>
      <c r="N319" s="354"/>
      <c r="O319" s="354"/>
      <c r="P319" s="354"/>
      <c r="Q319" s="354"/>
      <c r="R319" s="354"/>
      <c r="S319" s="354"/>
      <c r="T319" s="354"/>
      <c r="U319" s="354"/>
      <c r="V319" s="354"/>
      <c r="W319" s="354"/>
      <c r="X319" s="354"/>
      <c r="Y319" s="354"/>
      <c r="Z319" s="354"/>
      <c r="AA319" s="44"/>
      <c r="AB319" s="44"/>
      <c r="AC319" s="44"/>
      <c r="AD319" s="44"/>
      <c r="AE319" s="44"/>
      <c r="AF319" s="44"/>
      <c r="AG319" s="44"/>
      <c r="AH319" s="44"/>
    </row>
    <row r="320" spans="1:38" s="60" customFormat="1" x14ac:dyDescent="0.4">
      <c r="A320" s="1215" t="s">
        <v>390</v>
      </c>
      <c r="B320" s="1231" t="s">
        <v>136</v>
      </c>
      <c r="C320" s="1216" t="s">
        <v>391</v>
      </c>
      <c r="D320" s="1216" t="s">
        <v>392</v>
      </c>
      <c r="E320" s="1216" t="s">
        <v>393</v>
      </c>
      <c r="F320" s="1216" t="s">
        <v>394</v>
      </c>
      <c r="G320" s="1216" t="s">
        <v>395</v>
      </c>
      <c r="H320" s="1216" t="s">
        <v>396</v>
      </c>
      <c r="I320" s="1216" t="s">
        <v>397</v>
      </c>
      <c r="J320" s="1216" t="s">
        <v>398</v>
      </c>
      <c r="K320" s="1216" t="s">
        <v>399</v>
      </c>
      <c r="L320" s="1216" t="s">
        <v>400</v>
      </c>
      <c r="M320" s="1216" t="s">
        <v>401</v>
      </c>
      <c r="N320" s="1216" t="s">
        <v>402</v>
      </c>
      <c r="O320" s="1216" t="s">
        <v>403</v>
      </c>
      <c r="P320" s="1216" t="s">
        <v>404</v>
      </c>
      <c r="Q320" s="1216" t="s">
        <v>405</v>
      </c>
      <c r="R320" s="1216" t="s">
        <v>406</v>
      </c>
      <c r="S320" s="1216" t="s">
        <v>407</v>
      </c>
      <c r="T320" s="1216" t="s">
        <v>408</v>
      </c>
      <c r="U320" s="1216" t="s">
        <v>409</v>
      </c>
      <c r="V320" s="1216" t="s">
        <v>410</v>
      </c>
      <c r="W320" s="1216" t="s">
        <v>411</v>
      </c>
      <c r="X320" s="1216" t="s">
        <v>412</v>
      </c>
      <c r="Y320" s="1216" t="s">
        <v>413</v>
      </c>
      <c r="Z320" s="1216" t="s">
        <v>414</v>
      </c>
      <c r="AA320" s="1216" t="s">
        <v>415</v>
      </c>
      <c r="AB320" s="1216" t="s">
        <v>416</v>
      </c>
      <c r="AC320" s="1216" t="s">
        <v>417</v>
      </c>
      <c r="AD320" s="1216" t="s">
        <v>418</v>
      </c>
      <c r="AE320" s="1216" t="s">
        <v>419</v>
      </c>
      <c r="AF320" s="1216" t="s">
        <v>420</v>
      </c>
      <c r="AG320" s="1216" t="s">
        <v>421</v>
      </c>
      <c r="AH320" s="1216" t="s">
        <v>422</v>
      </c>
      <c r="AI320" s="1216" t="s">
        <v>423</v>
      </c>
      <c r="AJ320" s="1216" t="s">
        <v>424</v>
      </c>
      <c r="AK320" s="3"/>
      <c r="AL320" s="3"/>
    </row>
    <row r="321" spans="1:38" ht="17" x14ac:dyDescent="0.45">
      <c r="A321" s="90" t="s">
        <v>1461</v>
      </c>
      <c r="B321" s="659" t="s">
        <v>1459</v>
      </c>
      <c r="C321" s="706">
        <f t="shared" ref="C321:AJ321" si="88">C270+C284+C299+C308+C316</f>
        <v>63838.672378210082</v>
      </c>
      <c r="D321" s="706">
        <f t="shared" si="88"/>
        <v>62906.37937685541</v>
      </c>
      <c r="E321" s="706">
        <f t="shared" si="88"/>
        <v>62029.039172401091</v>
      </c>
      <c r="F321" s="706">
        <f t="shared" si="88"/>
        <v>58862.193408886407</v>
      </c>
      <c r="G321" s="706">
        <f t="shared" si="88"/>
        <v>56464.602882373743</v>
      </c>
      <c r="H321" s="706">
        <f t="shared" si="88"/>
        <v>54837.541460688277</v>
      </c>
      <c r="I321" s="706">
        <f t="shared" si="88"/>
        <v>52088.075136427709</v>
      </c>
      <c r="J321" s="706">
        <f t="shared" si="88"/>
        <v>49852.544138466918</v>
      </c>
      <c r="K321" s="706">
        <f t="shared" si="88"/>
        <v>47690.423678633626</v>
      </c>
      <c r="L321" s="706">
        <f t="shared" si="88"/>
        <v>45274.218602243171</v>
      </c>
      <c r="M321" s="706">
        <f t="shared" si="88"/>
        <v>43736.140333637173</v>
      </c>
      <c r="N321" s="706">
        <f t="shared" si="88"/>
        <v>40786.053739406816</v>
      </c>
      <c r="O321" s="706">
        <f t="shared" si="88"/>
        <v>38916.153624515449</v>
      </c>
      <c r="P321" s="706">
        <f t="shared" si="88"/>
        <v>36872.726307916942</v>
      </c>
      <c r="Q321" s="706">
        <f t="shared" si="88"/>
        <v>36464.209423460328</v>
      </c>
      <c r="R321" s="706">
        <f t="shared" si="88"/>
        <v>32865.138308674956</v>
      </c>
      <c r="S321" s="706">
        <f t="shared" si="88"/>
        <v>31074.534533891223</v>
      </c>
      <c r="T321" s="706">
        <f t="shared" si="88"/>
        <v>29191.110583486294</v>
      </c>
      <c r="U321" s="706">
        <f t="shared" si="88"/>
        <v>27460.712541714569</v>
      </c>
      <c r="V321" s="706">
        <f t="shared" si="88"/>
        <v>25593.17838332069</v>
      </c>
      <c r="W321" s="706">
        <f t="shared" si="88"/>
        <v>23801.943758389025</v>
      </c>
      <c r="X321" s="706">
        <f t="shared" si="88"/>
        <v>21606.321129389882</v>
      </c>
      <c r="Y321" s="706">
        <f t="shared" si="88"/>
        <v>21358.621716139951</v>
      </c>
      <c r="Z321" s="706">
        <f t="shared" si="88"/>
        <v>21041.420593105795</v>
      </c>
      <c r="AA321" s="706">
        <f t="shared" si="88"/>
        <v>20358.200007487154</v>
      </c>
      <c r="AB321" s="706">
        <f t="shared" si="88"/>
        <v>20128.196369058685</v>
      </c>
      <c r="AC321" s="706">
        <f t="shared" si="88"/>
        <v>19886.468312441233</v>
      </c>
      <c r="AD321" s="706">
        <f t="shared" si="88"/>
        <v>19403.970898109543</v>
      </c>
      <c r="AE321" s="706">
        <f t="shared" si="88"/>
        <v>19170.997301145871</v>
      </c>
      <c r="AF321" s="706">
        <f t="shared" si="88"/>
        <v>18747.714849010728</v>
      </c>
      <c r="AG321" s="706">
        <f t="shared" si="88"/>
        <v>19817.297515383343</v>
      </c>
      <c r="AH321" s="706">
        <f t="shared" si="88"/>
        <v>18114.18058600599</v>
      </c>
      <c r="AI321" s="706">
        <f t="shared" si="88"/>
        <v>18594.754646391124</v>
      </c>
      <c r="AJ321" s="706">
        <f t="shared" si="88"/>
        <v>17473.555137847663</v>
      </c>
    </row>
    <row r="322" spans="1:38" ht="17" x14ac:dyDescent="0.45">
      <c r="A322" s="90" t="s">
        <v>1462</v>
      </c>
      <c r="B322" s="108" t="s">
        <v>1460</v>
      </c>
      <c r="C322" s="33">
        <f t="shared" ref="C322:AJ322" si="89">(C321*$B$540)/1000000</f>
        <v>1.5959668094552519</v>
      </c>
      <c r="D322" s="33">
        <f t="shared" si="89"/>
        <v>1.5726594844213853</v>
      </c>
      <c r="E322" s="33">
        <f t="shared" si="89"/>
        <v>1.5507259793100274</v>
      </c>
      <c r="F322" s="33">
        <f t="shared" si="89"/>
        <v>1.4715548352221601</v>
      </c>
      <c r="G322" s="33">
        <f t="shared" si="89"/>
        <v>1.4116150720593437</v>
      </c>
      <c r="H322" s="33">
        <f t="shared" si="89"/>
        <v>1.3709385365172069</v>
      </c>
      <c r="I322" s="33">
        <f t="shared" si="89"/>
        <v>1.3022018784106928</v>
      </c>
      <c r="J322" s="33">
        <f t="shared" si="89"/>
        <v>1.2463136034616731</v>
      </c>
      <c r="K322" s="33">
        <f t="shared" si="89"/>
        <v>1.1922605919658407</v>
      </c>
      <c r="L322" s="33">
        <f t="shared" si="89"/>
        <v>1.1318554650560793</v>
      </c>
      <c r="M322" s="33">
        <f t="shared" si="89"/>
        <v>1.0934035083409295</v>
      </c>
      <c r="N322" s="33">
        <f t="shared" si="89"/>
        <v>1.0196513434851704</v>
      </c>
      <c r="O322" s="33">
        <f t="shared" si="89"/>
        <v>0.97290384061288626</v>
      </c>
      <c r="P322" s="33">
        <f t="shared" si="89"/>
        <v>0.92181815769792363</v>
      </c>
      <c r="Q322" s="33">
        <f t="shared" si="89"/>
        <v>0.91160523558650819</v>
      </c>
      <c r="R322" s="33">
        <f t="shared" si="89"/>
        <v>0.82162845771687387</v>
      </c>
      <c r="S322" s="33">
        <f t="shared" si="89"/>
        <v>0.77686336334728057</v>
      </c>
      <c r="T322" s="33">
        <f t="shared" si="89"/>
        <v>0.72977776458715726</v>
      </c>
      <c r="U322" s="33">
        <f t="shared" si="89"/>
        <v>0.68651781354286412</v>
      </c>
      <c r="V322" s="33">
        <f t="shared" si="89"/>
        <v>0.63982945958301729</v>
      </c>
      <c r="W322" s="33">
        <f t="shared" si="89"/>
        <v>0.59504859395972554</v>
      </c>
      <c r="X322" s="33">
        <f t="shared" si="89"/>
        <v>0.54015802823474701</v>
      </c>
      <c r="Y322" s="33">
        <f t="shared" si="89"/>
        <v>0.53396554290349874</v>
      </c>
      <c r="Z322" s="33">
        <f t="shared" si="89"/>
        <v>0.52603551482764488</v>
      </c>
      <c r="AA322" s="33">
        <f t="shared" si="89"/>
        <v>0.50895500018717887</v>
      </c>
      <c r="AB322" s="33">
        <f t="shared" si="89"/>
        <v>0.5032049092264671</v>
      </c>
      <c r="AC322" s="33">
        <f t="shared" si="89"/>
        <v>0.49716170781103086</v>
      </c>
      <c r="AD322" s="33">
        <f t="shared" si="89"/>
        <v>0.48509927245273854</v>
      </c>
      <c r="AE322" s="33">
        <f t="shared" si="89"/>
        <v>0.47927493252864678</v>
      </c>
      <c r="AF322" s="33">
        <f t="shared" si="89"/>
        <v>0.4686928712252682</v>
      </c>
      <c r="AG322" s="33">
        <f t="shared" si="89"/>
        <v>0.49543243788458358</v>
      </c>
      <c r="AH322" s="33">
        <f t="shared" si="89"/>
        <v>0.45285451465014975</v>
      </c>
      <c r="AI322" s="33">
        <f t="shared" si="89"/>
        <v>0.46486886615977807</v>
      </c>
      <c r="AJ322" s="33">
        <f t="shared" si="89"/>
        <v>0.43683887844619157</v>
      </c>
    </row>
    <row r="323" spans="1:38" x14ac:dyDescent="0.4">
      <c r="A323" s="402" t="s">
        <v>1063</v>
      </c>
      <c r="B323" s="108"/>
      <c r="C323" s="216"/>
      <c r="D323" s="137"/>
      <c r="E323" s="137"/>
      <c r="F323" s="137"/>
      <c r="G323" s="137"/>
      <c r="H323" s="137"/>
      <c r="I323" s="137"/>
      <c r="J323" s="137"/>
      <c r="K323" s="137"/>
      <c r="L323" s="137"/>
      <c r="M323" s="137"/>
      <c r="N323" s="137"/>
      <c r="O323" s="137"/>
      <c r="P323" s="137"/>
      <c r="Q323" s="137"/>
      <c r="R323" s="137"/>
      <c r="S323" s="137"/>
      <c r="T323" s="137"/>
      <c r="U323" s="137"/>
      <c r="V323" s="137"/>
      <c r="W323" s="137"/>
      <c r="X323" s="137"/>
      <c r="Y323" s="137"/>
      <c r="Z323" s="137"/>
      <c r="AA323" s="137"/>
      <c r="AB323" s="137"/>
      <c r="AC323" s="28"/>
      <c r="AD323" s="28"/>
      <c r="AE323" s="28"/>
      <c r="AF323" s="28"/>
      <c r="AG323" s="28"/>
      <c r="AH323" s="28"/>
      <c r="AI323" s="28"/>
      <c r="AJ323" s="28"/>
    </row>
    <row r="324" spans="1:38" s="108" customFormat="1" x14ac:dyDescent="0.4">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2"/>
      <c r="AC324" s="42"/>
      <c r="AD324" s="42"/>
      <c r="AE324" s="42"/>
      <c r="AF324" s="42"/>
      <c r="AG324" s="42"/>
      <c r="AH324" s="42"/>
      <c r="AK324" s="3"/>
      <c r="AL324" s="3"/>
    </row>
    <row r="325" spans="1:38" s="108" customFormat="1" ht="17" x14ac:dyDescent="0.45">
      <c r="A325" s="90" t="s">
        <v>1465</v>
      </c>
      <c r="B325" s="499" t="s">
        <v>1467</v>
      </c>
      <c r="C325" s="499"/>
      <c r="D325" s="500"/>
      <c r="E325" s="500"/>
      <c r="F325" s="500"/>
      <c r="G325" s="1210"/>
      <c r="H325" s="1210"/>
      <c r="I325" s="1210"/>
      <c r="J325" s="40"/>
      <c r="AK325" s="3"/>
      <c r="AL325" s="3"/>
    </row>
    <row r="326" spans="1:38" s="112" customFormat="1" ht="17" x14ac:dyDescent="0.45">
      <c r="A326" s="88" t="s">
        <v>1466</v>
      </c>
      <c r="F326" s="108"/>
      <c r="G326" s="108"/>
      <c r="H326" s="108"/>
      <c r="I326" s="108"/>
      <c r="J326" s="108"/>
      <c r="K326" s="108"/>
      <c r="L326" s="108"/>
      <c r="M326" s="108"/>
      <c r="N326" s="108"/>
      <c r="O326" s="108"/>
      <c r="P326" s="108"/>
      <c r="Q326" s="108"/>
      <c r="R326" s="108"/>
      <c r="S326" s="108"/>
      <c r="T326" s="108"/>
      <c r="U326" s="108"/>
      <c r="V326" s="108"/>
      <c r="W326" s="108"/>
      <c r="X326" s="108"/>
      <c r="Y326" s="108"/>
      <c r="Z326" s="108"/>
      <c r="AA326" s="108"/>
      <c r="AB326" s="108"/>
      <c r="AC326" s="108"/>
      <c r="AD326" s="108"/>
      <c r="AE326" s="108"/>
      <c r="AF326" s="108"/>
      <c r="AG326" s="108"/>
      <c r="AH326" s="108"/>
      <c r="AI326" s="108"/>
      <c r="AK326" s="3"/>
      <c r="AL326" s="3"/>
    </row>
    <row r="327" spans="1:38" s="28" customFormat="1" x14ac:dyDescent="0.4">
      <c r="A327" s="108" t="s">
        <v>790</v>
      </c>
      <c r="B327" s="1140" t="s">
        <v>136</v>
      </c>
      <c r="C327" s="1159" t="s">
        <v>391</v>
      </c>
      <c r="D327" s="1159" t="s">
        <v>392</v>
      </c>
      <c r="E327" s="1159" t="s">
        <v>393</v>
      </c>
      <c r="F327" s="1159" t="s">
        <v>394</v>
      </c>
      <c r="G327" s="1159" t="s">
        <v>395</v>
      </c>
      <c r="H327" s="1159" t="s">
        <v>396</v>
      </c>
      <c r="I327" s="1159" t="s">
        <v>397</v>
      </c>
      <c r="J327" s="1159" t="s">
        <v>398</v>
      </c>
      <c r="K327" s="1159" t="s">
        <v>399</v>
      </c>
      <c r="L327" s="1159" t="s">
        <v>400</v>
      </c>
      <c r="M327" s="1159" t="s">
        <v>401</v>
      </c>
      <c r="N327" s="1159" t="s">
        <v>402</v>
      </c>
      <c r="O327" s="1159" t="s">
        <v>403</v>
      </c>
      <c r="P327" s="1159" t="s">
        <v>404</v>
      </c>
      <c r="Q327" s="1159" t="s">
        <v>405</v>
      </c>
      <c r="R327" s="1159" t="s">
        <v>406</v>
      </c>
      <c r="S327" s="1159" t="s">
        <v>407</v>
      </c>
      <c r="T327" s="1159" t="s">
        <v>408</v>
      </c>
      <c r="U327" s="1159" t="s">
        <v>409</v>
      </c>
      <c r="V327" s="1159" t="s">
        <v>410</v>
      </c>
      <c r="W327" s="1159" t="s">
        <v>411</v>
      </c>
      <c r="X327" s="1159" t="s">
        <v>412</v>
      </c>
      <c r="Y327" s="1159" t="s">
        <v>413</v>
      </c>
      <c r="Z327" s="1159" t="s">
        <v>414</v>
      </c>
      <c r="AA327" s="1159" t="s">
        <v>415</v>
      </c>
      <c r="AB327" s="1159" t="s">
        <v>416</v>
      </c>
      <c r="AC327" s="1159" t="s">
        <v>417</v>
      </c>
      <c r="AD327" s="1159" t="s">
        <v>418</v>
      </c>
      <c r="AE327" s="1159" t="s">
        <v>419</v>
      </c>
      <c r="AF327" s="1159" t="s">
        <v>420</v>
      </c>
      <c r="AG327" s="987" t="s">
        <v>421</v>
      </c>
      <c r="AH327" s="1159" t="s">
        <v>422</v>
      </c>
      <c r="AI327" s="1159" t="s">
        <v>423</v>
      </c>
      <c r="AJ327" s="1159" t="s">
        <v>424</v>
      </c>
      <c r="AK327" s="3"/>
      <c r="AL327" s="3"/>
    </row>
    <row r="328" spans="1:38" s="28" customFormat="1" x14ac:dyDescent="0.4">
      <c r="A328" s="643" t="s">
        <v>137</v>
      </c>
      <c r="B328" s="533" t="s">
        <v>138</v>
      </c>
      <c r="C328" s="537">
        <v>135.36130085653105</v>
      </c>
      <c r="D328" s="537">
        <v>135.36130085653102</v>
      </c>
      <c r="E328" s="537">
        <v>135.36130085653105</v>
      </c>
      <c r="F328" s="537">
        <v>130.03037668455843</v>
      </c>
      <c r="G328" s="537">
        <v>124.69945251258579</v>
      </c>
      <c r="H328" s="537">
        <v>119.36852834061317</v>
      </c>
      <c r="I328" s="537">
        <v>114.03760416864051</v>
      </c>
      <c r="J328" s="537">
        <v>108.70667999666786</v>
      </c>
      <c r="K328" s="537">
        <v>103.37575582469528</v>
      </c>
      <c r="L328" s="537">
        <v>98.044831652722578</v>
      </c>
      <c r="M328" s="537">
        <v>92.713907480749967</v>
      </c>
      <c r="N328" s="537">
        <v>87.382983308777327</v>
      </c>
      <c r="O328" s="537">
        <v>82.052059136804701</v>
      </c>
      <c r="P328" s="537">
        <v>76.721134964832046</v>
      </c>
      <c r="Q328" s="537">
        <v>71.390210792859421</v>
      </c>
      <c r="R328" s="537">
        <v>66.05928662088678</v>
      </c>
      <c r="S328" s="537">
        <v>60.728362448914154</v>
      </c>
      <c r="T328" s="537">
        <v>55.3974382769415</v>
      </c>
      <c r="U328" s="537">
        <v>50.066514104968874</v>
      </c>
      <c r="V328" s="537">
        <v>44.735589932996234</v>
      </c>
      <c r="W328" s="537">
        <v>39.404665761023601</v>
      </c>
      <c r="X328" s="537">
        <v>34.073741589050961</v>
      </c>
      <c r="Y328" s="537">
        <v>34.073741589050961</v>
      </c>
      <c r="Z328" s="537">
        <v>34.073741589050968</v>
      </c>
      <c r="AA328" s="537">
        <v>34.073741589050961</v>
      </c>
      <c r="AB328" s="537">
        <v>34.073741589050968</v>
      </c>
      <c r="AC328" s="537">
        <v>34.073741589050968</v>
      </c>
      <c r="AD328" s="537">
        <v>34.073741589050961</v>
      </c>
      <c r="AE328" s="537">
        <v>34.073741589050968</v>
      </c>
      <c r="AF328" s="537">
        <v>34.073741589050968</v>
      </c>
      <c r="AG328" s="539">
        <v>34.073741589050968</v>
      </c>
      <c r="AH328" s="539">
        <v>34.073741589050968</v>
      </c>
      <c r="AI328" s="539">
        <v>34.073741589050961</v>
      </c>
      <c r="AJ328" s="539">
        <v>34.073741589050968</v>
      </c>
      <c r="AK328" s="3"/>
      <c r="AL328" s="3"/>
    </row>
    <row r="329" spans="1:38" s="28" customFormat="1" x14ac:dyDescent="0.4">
      <c r="A329" s="644" t="s">
        <v>139</v>
      </c>
      <c r="B329" s="533" t="s">
        <v>138</v>
      </c>
      <c r="C329" s="534">
        <v>62.486163555428746</v>
      </c>
      <c r="D329" s="534">
        <v>62.486163555428739</v>
      </c>
      <c r="E329" s="534">
        <v>62.486163555428739</v>
      </c>
      <c r="F329" s="534">
        <v>60.532165496108739</v>
      </c>
      <c r="G329" s="534">
        <v>58.578167436788767</v>
      </c>
      <c r="H329" s="534">
        <v>56.624169377468782</v>
      </c>
      <c r="I329" s="534">
        <v>54.67017131814881</v>
      </c>
      <c r="J329" s="534">
        <v>52.716173258828796</v>
      </c>
      <c r="K329" s="534">
        <v>50.762175199508832</v>
      </c>
      <c r="L329" s="534">
        <v>48.808177140188832</v>
      </c>
      <c r="M329" s="534">
        <v>46.854179080868846</v>
      </c>
      <c r="N329" s="534">
        <v>44.900181021548853</v>
      </c>
      <c r="O329" s="534">
        <v>42.946182962228868</v>
      </c>
      <c r="P329" s="534">
        <v>40.992184902908882</v>
      </c>
      <c r="Q329" s="534">
        <v>39.038186843588896</v>
      </c>
      <c r="R329" s="534">
        <v>37.084188784268896</v>
      </c>
      <c r="S329" s="534">
        <v>35.130190724948918</v>
      </c>
      <c r="T329" s="534">
        <v>33.176192665628925</v>
      </c>
      <c r="U329" s="534">
        <v>31.222194606308943</v>
      </c>
      <c r="V329" s="534">
        <v>29.268196546988953</v>
      </c>
      <c r="W329" s="534">
        <v>27.314198487668964</v>
      </c>
      <c r="X329" s="534">
        <v>25.360200428348985</v>
      </c>
      <c r="Y329" s="534">
        <v>25.360200428348989</v>
      </c>
      <c r="Z329" s="534">
        <v>25.360200428348982</v>
      </c>
      <c r="AA329" s="534">
        <v>25.360200428348982</v>
      </c>
      <c r="AB329" s="534">
        <v>25.360200428348985</v>
      </c>
      <c r="AC329" s="534">
        <v>25.360200428348993</v>
      </c>
      <c r="AD329" s="534">
        <v>25.360200428348985</v>
      </c>
      <c r="AE329" s="534">
        <v>25.360200428348985</v>
      </c>
      <c r="AF329" s="534">
        <v>25.360200428348985</v>
      </c>
      <c r="AG329" s="552">
        <v>25.360200428348982</v>
      </c>
      <c r="AH329" s="552">
        <v>25.360200428348982</v>
      </c>
      <c r="AI329" s="552">
        <v>25.360200428348985</v>
      </c>
      <c r="AJ329" s="552">
        <v>25.360200428348982</v>
      </c>
      <c r="AK329" s="3"/>
      <c r="AL329" s="3"/>
    </row>
    <row r="330" spans="1:38" s="28" customFormat="1" x14ac:dyDescent="0.4">
      <c r="A330" s="644" t="s">
        <v>140</v>
      </c>
      <c r="B330" s="533" t="s">
        <v>138</v>
      </c>
      <c r="C330" s="534">
        <v>1.7391713389796102</v>
      </c>
      <c r="D330" s="534">
        <v>1.7391713389796104</v>
      </c>
      <c r="E330" s="534">
        <v>1.7391713389796102</v>
      </c>
      <c r="F330" s="534">
        <v>1.7975624824416672</v>
      </c>
      <c r="G330" s="534">
        <v>1.8559536259037241</v>
      </c>
      <c r="H330" s="534">
        <v>1.9143447693657809</v>
      </c>
      <c r="I330" s="534">
        <v>1.9727359128278381</v>
      </c>
      <c r="J330" s="534">
        <v>2.0311270562898951</v>
      </c>
      <c r="K330" s="534">
        <v>2.0895181997519514</v>
      </c>
      <c r="L330" s="534">
        <v>2.1479093432140086</v>
      </c>
      <c r="M330" s="534">
        <v>2.2063004866760654</v>
      </c>
      <c r="N330" s="534">
        <v>2.2646916301381221</v>
      </c>
      <c r="O330" s="534">
        <v>2.3230827736001793</v>
      </c>
      <c r="P330" s="534">
        <v>2.3814739170622361</v>
      </c>
      <c r="Q330" s="534">
        <v>2.4398650605242933</v>
      </c>
      <c r="R330" s="534">
        <v>2.4982562039863496</v>
      </c>
      <c r="S330" s="534">
        <v>2.5566473474484068</v>
      </c>
      <c r="T330" s="534">
        <v>2.6150384909104636</v>
      </c>
      <c r="U330" s="534">
        <v>2.6734296343725203</v>
      </c>
      <c r="V330" s="534">
        <v>2.7318207778345767</v>
      </c>
      <c r="W330" s="534">
        <v>2.7902119212966343</v>
      </c>
      <c r="X330" s="534">
        <v>2.8486030647586911</v>
      </c>
      <c r="Y330" s="534">
        <v>2.8486030647586911</v>
      </c>
      <c r="Z330" s="534">
        <v>2.8486030647586915</v>
      </c>
      <c r="AA330" s="534">
        <v>2.8486030647586915</v>
      </c>
      <c r="AB330" s="534">
        <v>2.8486030647586906</v>
      </c>
      <c r="AC330" s="534">
        <v>2.8486030647586906</v>
      </c>
      <c r="AD330" s="534">
        <v>2.8486030647586906</v>
      </c>
      <c r="AE330" s="534">
        <v>2.8486030647586911</v>
      </c>
      <c r="AF330" s="534">
        <v>2.8486030647586911</v>
      </c>
      <c r="AG330" s="552">
        <v>2.8486030647586906</v>
      </c>
      <c r="AH330" s="552">
        <v>2.8486030647586906</v>
      </c>
      <c r="AI330" s="552">
        <v>2.8486030647586911</v>
      </c>
      <c r="AJ330" s="552">
        <v>2.8486030647586911</v>
      </c>
      <c r="AK330" s="3"/>
      <c r="AL330" s="3"/>
    </row>
    <row r="331" spans="1:38" s="28" customFormat="1" x14ac:dyDescent="0.4">
      <c r="A331" s="644" t="s">
        <v>141</v>
      </c>
      <c r="B331" s="533" t="s">
        <v>138</v>
      </c>
      <c r="C331" s="534">
        <v>5.6197339400428259</v>
      </c>
      <c r="D331" s="534">
        <v>5.6197339400428259</v>
      </c>
      <c r="E331" s="534">
        <v>5.6197339400428268</v>
      </c>
      <c r="F331" s="534">
        <v>5.3686616307431869</v>
      </c>
      <c r="G331" s="534">
        <v>5.1175893214435471</v>
      </c>
      <c r="H331" s="534">
        <v>4.8665170121439081</v>
      </c>
      <c r="I331" s="534">
        <v>4.6154447028442691</v>
      </c>
      <c r="J331" s="534">
        <v>4.3643723935446292</v>
      </c>
      <c r="K331" s="534">
        <v>4.1133000842449885</v>
      </c>
      <c r="L331" s="534">
        <v>3.86222777494535</v>
      </c>
      <c r="M331" s="534">
        <v>3.6111554656457092</v>
      </c>
      <c r="N331" s="534">
        <v>3.3600831563460698</v>
      </c>
      <c r="O331" s="534">
        <v>3.1090108470464304</v>
      </c>
      <c r="P331" s="534">
        <v>2.857938537746791</v>
      </c>
      <c r="Q331" s="534">
        <v>2.6068662284471511</v>
      </c>
      <c r="R331" s="534">
        <v>2.3557939191475112</v>
      </c>
      <c r="S331" s="534">
        <v>2.1047216098478723</v>
      </c>
      <c r="T331" s="534">
        <v>1.8536493005482324</v>
      </c>
      <c r="U331" s="534">
        <v>1.602576991248593</v>
      </c>
      <c r="V331" s="534">
        <v>1.3515046819489529</v>
      </c>
      <c r="W331" s="534">
        <v>1.1004323726493133</v>
      </c>
      <c r="X331" s="534">
        <v>0.84936006334967407</v>
      </c>
      <c r="Y331" s="534">
        <v>0.84936006334967395</v>
      </c>
      <c r="Z331" s="534">
        <v>0.84936006334967395</v>
      </c>
      <c r="AA331" s="534">
        <v>0.84936006334967407</v>
      </c>
      <c r="AB331" s="534">
        <v>0.84936006334967407</v>
      </c>
      <c r="AC331" s="534">
        <v>0.84936006334967384</v>
      </c>
      <c r="AD331" s="534">
        <v>0.84936006334967384</v>
      </c>
      <c r="AE331" s="534">
        <v>0.84936006334967384</v>
      </c>
      <c r="AF331" s="534">
        <v>0.84936006334967407</v>
      </c>
      <c r="AG331" s="552">
        <v>0.84936006334967395</v>
      </c>
      <c r="AH331" s="552">
        <v>0.84936006334967407</v>
      </c>
      <c r="AI331" s="552">
        <v>0.84936006334967395</v>
      </c>
      <c r="AJ331" s="552">
        <v>0.84936006334967384</v>
      </c>
      <c r="AK331" s="3"/>
      <c r="AL331" s="3"/>
    </row>
    <row r="332" spans="1:38" s="28" customFormat="1" x14ac:dyDescent="0.4">
      <c r="A332" s="644" t="s">
        <v>142</v>
      </c>
      <c r="B332" s="533" t="s">
        <v>143</v>
      </c>
      <c r="C332" s="534">
        <v>0.96446637434961968</v>
      </c>
      <c r="D332" s="534">
        <v>0.96446637434961979</v>
      </c>
      <c r="E332" s="534">
        <v>0.96446637434961957</v>
      </c>
      <c r="F332" s="534">
        <v>0.93615416238723859</v>
      </c>
      <c r="G332" s="534">
        <v>0.90784195042485738</v>
      </c>
      <c r="H332" s="534">
        <v>0.87952973846247662</v>
      </c>
      <c r="I332" s="534">
        <v>0.85121752650009541</v>
      </c>
      <c r="J332" s="534">
        <v>0.82290531453771443</v>
      </c>
      <c r="K332" s="534">
        <v>0.79459310257533344</v>
      </c>
      <c r="L332" s="534">
        <v>0.76628089061295224</v>
      </c>
      <c r="M332" s="534">
        <v>0.73796867865057114</v>
      </c>
      <c r="N332" s="534">
        <v>0.70965646668819005</v>
      </c>
      <c r="O332" s="534">
        <v>0.68134425472580917</v>
      </c>
      <c r="P332" s="534">
        <v>0.65303204276342774</v>
      </c>
      <c r="Q332" s="534">
        <v>0.62471983080104676</v>
      </c>
      <c r="R332" s="534">
        <v>0.59640761883866578</v>
      </c>
      <c r="S332" s="534">
        <v>0.56809540687628468</v>
      </c>
      <c r="T332" s="534">
        <v>0.53978319491390381</v>
      </c>
      <c r="U332" s="534">
        <v>0.5114709829515226</v>
      </c>
      <c r="V332" s="534">
        <v>0.4831587709891414</v>
      </c>
      <c r="W332" s="534">
        <v>0.45484655902676052</v>
      </c>
      <c r="X332" s="534">
        <v>0.42653434706437937</v>
      </c>
      <c r="Y332" s="534">
        <v>0.42653434706437932</v>
      </c>
      <c r="Z332" s="534">
        <v>0.42653434706437932</v>
      </c>
      <c r="AA332" s="534">
        <v>0.42653434706437943</v>
      </c>
      <c r="AB332" s="534">
        <v>0.42653434706437937</v>
      </c>
      <c r="AC332" s="534">
        <v>0.42653434706437926</v>
      </c>
      <c r="AD332" s="534">
        <v>0.42653434706437937</v>
      </c>
      <c r="AE332" s="534">
        <v>0.42653434706437932</v>
      </c>
      <c r="AF332" s="534">
        <v>0.42653434706437937</v>
      </c>
      <c r="AG332" s="552">
        <v>0.42653434706437943</v>
      </c>
      <c r="AH332" s="552">
        <v>0.42653434706437937</v>
      </c>
      <c r="AI332" s="552">
        <v>0.42653434706437937</v>
      </c>
      <c r="AJ332" s="552">
        <v>0.42653434706437937</v>
      </c>
      <c r="AK332" s="3"/>
      <c r="AL332" s="3"/>
    </row>
    <row r="333" spans="1:38" s="28" customFormat="1" x14ac:dyDescent="0.4">
      <c r="A333" s="644" t="s">
        <v>144</v>
      </c>
      <c r="B333" s="533" t="s">
        <v>143</v>
      </c>
      <c r="C333" s="534">
        <v>0.10008669838884363</v>
      </c>
      <c r="D333" s="534">
        <v>0.10008669838884363</v>
      </c>
      <c r="E333" s="534">
        <v>0.10008669838884363</v>
      </c>
      <c r="F333" s="534">
        <v>9.6826164705839005E-2</v>
      </c>
      <c r="G333" s="534">
        <v>9.3565631022834383E-2</v>
      </c>
      <c r="H333" s="534">
        <v>9.030509733982979E-2</v>
      </c>
      <c r="I333" s="534">
        <v>8.7044563656825169E-2</v>
      </c>
      <c r="J333" s="534">
        <v>8.3784029973820548E-2</v>
      </c>
      <c r="K333" s="534">
        <v>8.0523496290815941E-2</v>
      </c>
      <c r="L333" s="534">
        <v>7.7262962607811334E-2</v>
      </c>
      <c r="M333" s="534">
        <v>7.4002428924806712E-2</v>
      </c>
      <c r="N333" s="534">
        <v>7.0741895241802091E-2</v>
      </c>
      <c r="O333" s="534">
        <v>6.7481361558797484E-2</v>
      </c>
      <c r="P333" s="534">
        <v>6.4220827875792877E-2</v>
      </c>
      <c r="Q333" s="534">
        <v>6.0960294192788256E-2</v>
      </c>
      <c r="R333" s="534">
        <v>5.7699760509783649E-2</v>
      </c>
      <c r="S333" s="534">
        <v>5.4439226826779027E-2</v>
      </c>
      <c r="T333" s="534">
        <v>5.1178693143774434E-2</v>
      </c>
      <c r="U333" s="553">
        <v>4.7918159460769813E-2</v>
      </c>
      <c r="V333" s="553">
        <v>4.4657625777765199E-2</v>
      </c>
      <c r="W333" s="553">
        <v>4.1397092094760585E-2</v>
      </c>
      <c r="X333" s="553">
        <v>3.8136558411755977E-2</v>
      </c>
      <c r="Y333" s="553">
        <v>3.8136558411755977E-2</v>
      </c>
      <c r="Z333" s="553">
        <v>3.8136558411755977E-2</v>
      </c>
      <c r="AA333" s="553">
        <v>3.8136558411755971E-2</v>
      </c>
      <c r="AB333" s="553">
        <v>3.8136558411755977E-2</v>
      </c>
      <c r="AC333" s="553">
        <v>3.8136558411755977E-2</v>
      </c>
      <c r="AD333" s="553">
        <v>3.8136558411755971E-2</v>
      </c>
      <c r="AE333" s="553">
        <v>3.8136558411755977E-2</v>
      </c>
      <c r="AF333" s="553">
        <v>3.8136558411755977E-2</v>
      </c>
      <c r="AG333" s="554">
        <v>3.8136558411755971E-2</v>
      </c>
      <c r="AH333" s="554">
        <v>3.8136558411755971E-2</v>
      </c>
      <c r="AI333" s="554">
        <v>3.8136558411755977E-2</v>
      </c>
      <c r="AJ333" s="554">
        <v>3.8136558411755977E-2</v>
      </c>
      <c r="AK333" s="3"/>
      <c r="AL333" s="3"/>
    </row>
    <row r="334" spans="1:38" s="28" customFormat="1" x14ac:dyDescent="0.4">
      <c r="A334" s="644" t="s">
        <v>145</v>
      </c>
      <c r="B334" s="533" t="s">
        <v>143</v>
      </c>
      <c r="C334" s="553">
        <v>5.2727599626561953E-3</v>
      </c>
      <c r="D334" s="553">
        <v>5.2727599626561953E-3</v>
      </c>
      <c r="E334" s="553">
        <v>5.2727599626561953E-3</v>
      </c>
      <c r="F334" s="553">
        <v>5.4027936159462119E-3</v>
      </c>
      <c r="G334" s="553">
        <v>5.5328272692362276E-3</v>
      </c>
      <c r="H334" s="553">
        <v>5.6628609225262451E-3</v>
      </c>
      <c r="I334" s="553">
        <v>5.7928945758162643E-3</v>
      </c>
      <c r="J334" s="553">
        <v>5.92292822910628E-3</v>
      </c>
      <c r="K334" s="553">
        <v>6.0529618823962957E-3</v>
      </c>
      <c r="L334" s="553">
        <v>6.182995535686314E-3</v>
      </c>
      <c r="M334" s="553">
        <v>6.3130291889763298E-3</v>
      </c>
      <c r="N334" s="553">
        <v>6.4430628422663472E-3</v>
      </c>
      <c r="O334" s="553">
        <v>6.5730964955563647E-3</v>
      </c>
      <c r="P334" s="553">
        <v>6.7031301488463813E-3</v>
      </c>
      <c r="Q334" s="553">
        <v>6.8331638021363987E-3</v>
      </c>
      <c r="R334" s="553">
        <v>6.9631974554264136E-3</v>
      </c>
      <c r="S334" s="553">
        <v>7.093231108716431E-3</v>
      </c>
      <c r="T334" s="553">
        <v>7.2232647620064485E-3</v>
      </c>
      <c r="U334" s="553">
        <v>7.3532984152964651E-3</v>
      </c>
      <c r="V334" s="553">
        <v>7.4833320685864825E-3</v>
      </c>
      <c r="W334" s="553">
        <v>7.6133657218764991E-3</v>
      </c>
      <c r="X334" s="553">
        <v>7.7433993751665165E-3</v>
      </c>
      <c r="Y334" s="553">
        <v>7.7433993751665157E-3</v>
      </c>
      <c r="Z334" s="553">
        <v>7.7433993751665165E-3</v>
      </c>
      <c r="AA334" s="553">
        <v>7.7433993751665165E-3</v>
      </c>
      <c r="AB334" s="553">
        <v>7.7433993751665165E-3</v>
      </c>
      <c r="AC334" s="553">
        <v>7.7433993751665165E-3</v>
      </c>
      <c r="AD334" s="553">
        <v>7.7433993751665157E-3</v>
      </c>
      <c r="AE334" s="553">
        <v>7.7433993751665165E-3</v>
      </c>
      <c r="AF334" s="553">
        <v>7.7433993751665157E-3</v>
      </c>
      <c r="AG334" s="554">
        <v>7.7433993751665165E-3</v>
      </c>
      <c r="AH334" s="554">
        <v>7.7433993751665148E-3</v>
      </c>
      <c r="AI334" s="554">
        <v>7.7433993751665165E-3</v>
      </c>
      <c r="AJ334" s="554">
        <v>7.7433993751665157E-3</v>
      </c>
      <c r="AK334" s="3"/>
      <c r="AL334" s="3"/>
    </row>
    <row r="335" spans="1:38" s="28" customFormat="1" x14ac:dyDescent="0.4">
      <c r="A335" s="645" t="s">
        <v>146</v>
      </c>
      <c r="B335" s="533" t="s">
        <v>143</v>
      </c>
      <c r="C335" s="534">
        <v>0.14422234484178889</v>
      </c>
      <c r="D335" s="534">
        <v>0.14422234484178889</v>
      </c>
      <c r="E335" s="534">
        <v>0.14422234484178889</v>
      </c>
      <c r="F335" s="534">
        <v>0.14422234484178886</v>
      </c>
      <c r="G335" s="534">
        <v>0.14422234484178886</v>
      </c>
      <c r="H335" s="534">
        <v>0.14422234484178886</v>
      </c>
      <c r="I335" s="534">
        <v>0.14422234484178886</v>
      </c>
      <c r="J335" s="534">
        <v>0.14422234484178889</v>
      </c>
      <c r="K335" s="534">
        <v>0.14422234484178886</v>
      </c>
      <c r="L335" s="534">
        <v>0.14422234484178886</v>
      </c>
      <c r="M335" s="534">
        <v>0.14422234484178889</v>
      </c>
      <c r="N335" s="534">
        <v>0.14422234484178889</v>
      </c>
      <c r="O335" s="534">
        <v>0.14422234484178889</v>
      </c>
      <c r="P335" s="534">
        <v>0.14422234484178889</v>
      </c>
      <c r="Q335" s="534">
        <v>0.14422234484178889</v>
      </c>
      <c r="R335" s="534">
        <v>0.14422234484178892</v>
      </c>
      <c r="S335" s="534">
        <v>0.14422234484178889</v>
      </c>
      <c r="T335" s="534">
        <v>0.14422234484178886</v>
      </c>
      <c r="U335" s="534">
        <v>0.14422234484178889</v>
      </c>
      <c r="V335" s="534">
        <v>0.14422234484178889</v>
      </c>
      <c r="W335" s="534">
        <v>0.14422234484178889</v>
      </c>
      <c r="X335" s="534">
        <v>0.14422234484178889</v>
      </c>
      <c r="Y335" s="534">
        <v>0.14422234484178889</v>
      </c>
      <c r="Z335" s="534">
        <v>0.14422234484178889</v>
      </c>
      <c r="AA335" s="534">
        <v>0.14422234484178886</v>
      </c>
      <c r="AB335" s="534">
        <v>0.14422234484178892</v>
      </c>
      <c r="AC335" s="534">
        <v>0.14422234484178889</v>
      </c>
      <c r="AD335" s="534">
        <v>0.14422234484178889</v>
      </c>
      <c r="AE335" s="534">
        <v>0.14422234484178889</v>
      </c>
      <c r="AF335" s="534">
        <v>0.14422234484178889</v>
      </c>
      <c r="AG335" s="534">
        <v>0.14422234484178889</v>
      </c>
      <c r="AH335" s="534">
        <v>0.14422234484178889</v>
      </c>
      <c r="AI335" s="534">
        <v>0.14422234484178889</v>
      </c>
      <c r="AJ335" s="534">
        <v>0.14422234484178886</v>
      </c>
      <c r="AK335" s="3"/>
      <c r="AL335" s="3"/>
    </row>
    <row r="336" spans="1:38" s="28" customFormat="1" x14ac:dyDescent="0.4">
      <c r="A336" s="1188" t="s">
        <v>1063</v>
      </c>
      <c r="B336" s="1191"/>
      <c r="C336" s="1191"/>
      <c r="D336" s="1191"/>
      <c r="E336" s="1191"/>
      <c r="F336" s="1191"/>
      <c r="G336" s="1191"/>
      <c r="H336" s="1191"/>
      <c r="I336" s="1191"/>
      <c r="J336" s="1191"/>
      <c r="K336" s="1191"/>
      <c r="L336" s="1191"/>
      <c r="M336" s="1191"/>
      <c r="N336" s="1191"/>
      <c r="O336" s="1191"/>
      <c r="P336" s="1191"/>
      <c r="Q336" s="1191"/>
      <c r="R336" s="1191"/>
      <c r="S336" s="1191"/>
      <c r="T336" s="1191"/>
      <c r="U336" s="1191"/>
      <c r="V336" s="1191"/>
      <c r="W336" s="1191"/>
      <c r="X336" s="1191"/>
      <c r="Y336" s="1191"/>
      <c r="Z336" s="1191"/>
      <c r="AA336" s="1191"/>
      <c r="AB336" s="1191"/>
      <c r="AC336" s="1191"/>
      <c r="AD336" s="1191"/>
      <c r="AE336" s="1191"/>
      <c r="AF336" s="1191"/>
      <c r="AG336" s="1191"/>
      <c r="AH336" s="1191"/>
      <c r="AI336" s="1191"/>
      <c r="AJ336" s="1191"/>
      <c r="AK336" s="3"/>
      <c r="AL336" s="3"/>
    </row>
    <row r="337" spans="1:38" s="28" customFormat="1" x14ac:dyDescent="0.4">
      <c r="A337" s="581"/>
      <c r="B337" s="581"/>
      <c r="C337" s="89"/>
      <c r="D337" s="89"/>
      <c r="E337" s="89"/>
      <c r="F337" s="89"/>
      <c r="G337" s="89"/>
      <c r="H337" s="89"/>
      <c r="I337" s="89"/>
      <c r="J337" s="89"/>
      <c r="K337" s="89"/>
      <c r="L337" s="89"/>
      <c r="M337" s="89"/>
      <c r="N337" s="89"/>
      <c r="O337" s="89"/>
      <c r="P337" s="89"/>
      <c r="Q337" s="89"/>
      <c r="R337" s="89"/>
      <c r="S337" s="89"/>
      <c r="T337" s="89"/>
      <c r="U337" s="89"/>
      <c r="V337" s="89"/>
      <c r="W337" s="89"/>
      <c r="X337" s="89"/>
      <c r="Y337" s="89"/>
      <c r="Z337" s="89"/>
      <c r="AA337" s="89"/>
      <c r="AB337" s="89"/>
      <c r="AC337" s="89"/>
      <c r="AD337" s="89"/>
      <c r="AE337" s="89"/>
      <c r="AF337" s="89"/>
      <c r="AG337" s="89"/>
      <c r="AH337" s="89"/>
      <c r="AI337" s="89"/>
      <c r="AJ337" s="89"/>
      <c r="AK337" s="3"/>
      <c r="AL337" s="3"/>
    </row>
    <row r="338" spans="1:38" s="28" customFormat="1" ht="17" x14ac:dyDescent="0.4">
      <c r="A338" s="659" t="s">
        <v>1565</v>
      </c>
      <c r="B338" s="581"/>
      <c r="C338" s="89"/>
      <c r="D338" s="89"/>
      <c r="E338" s="89"/>
      <c r="F338" s="89"/>
      <c r="G338" s="89"/>
      <c r="H338" s="89"/>
      <c r="I338" s="89"/>
      <c r="J338" s="89"/>
      <c r="K338" s="89"/>
      <c r="L338" s="89"/>
      <c r="M338" s="89"/>
      <c r="N338" s="89"/>
      <c r="O338" s="89"/>
      <c r="P338" s="89"/>
      <c r="Q338" s="89"/>
      <c r="R338" s="89"/>
      <c r="S338" s="89"/>
      <c r="T338" s="89"/>
      <c r="U338" s="89"/>
      <c r="V338" s="89"/>
      <c r="W338" s="89"/>
      <c r="X338" s="89"/>
      <c r="Y338" s="89"/>
      <c r="Z338" s="89"/>
      <c r="AA338" s="89"/>
      <c r="AB338" s="89"/>
      <c r="AC338" s="89"/>
      <c r="AD338" s="89"/>
      <c r="AE338" s="89"/>
      <c r="AF338" s="89"/>
      <c r="AG338" s="89"/>
      <c r="AH338" s="89"/>
      <c r="AI338" s="89"/>
      <c r="AJ338" s="89"/>
      <c r="AK338" s="3"/>
      <c r="AL338" s="3"/>
    </row>
    <row r="339" spans="1:38" s="28" customFormat="1" x14ac:dyDescent="0.4">
      <c r="A339" s="42" t="s">
        <v>795</v>
      </c>
      <c r="B339" s="956" t="s">
        <v>136</v>
      </c>
      <c r="C339" s="1196" t="s">
        <v>391</v>
      </c>
      <c r="D339" s="1196" t="s">
        <v>392</v>
      </c>
      <c r="E339" s="1196" t="s">
        <v>393</v>
      </c>
      <c r="F339" s="1196" t="s">
        <v>394</v>
      </c>
      <c r="G339" s="1196" t="s">
        <v>395</v>
      </c>
      <c r="H339" s="1196" t="s">
        <v>396</v>
      </c>
      <c r="I339" s="1196" t="s">
        <v>397</v>
      </c>
      <c r="J339" s="1196" t="s">
        <v>398</v>
      </c>
      <c r="K339" s="1196" t="s">
        <v>399</v>
      </c>
      <c r="L339" s="1196" t="s">
        <v>400</v>
      </c>
      <c r="M339" s="1196" t="s">
        <v>401</v>
      </c>
      <c r="N339" s="1196" t="s">
        <v>402</v>
      </c>
      <c r="O339" s="1196" t="s">
        <v>403</v>
      </c>
      <c r="P339" s="1196" t="s">
        <v>404</v>
      </c>
      <c r="Q339" s="1196" t="s">
        <v>405</v>
      </c>
      <c r="R339" s="1196" t="s">
        <v>406</v>
      </c>
      <c r="S339" s="1196" t="s">
        <v>407</v>
      </c>
      <c r="T339" s="1196" t="s">
        <v>408</v>
      </c>
      <c r="U339" s="1196" t="s">
        <v>409</v>
      </c>
      <c r="V339" s="1196" t="s">
        <v>410</v>
      </c>
      <c r="W339" s="1196" t="s">
        <v>411</v>
      </c>
      <c r="X339" s="1196" t="s">
        <v>412</v>
      </c>
      <c r="Y339" s="1196" t="s">
        <v>413</v>
      </c>
      <c r="Z339" s="1196" t="s">
        <v>414</v>
      </c>
      <c r="AA339" s="1196" t="s">
        <v>415</v>
      </c>
      <c r="AB339" s="1196" t="s">
        <v>416</v>
      </c>
      <c r="AC339" s="1196" t="s">
        <v>417</v>
      </c>
      <c r="AD339" s="1196" t="s">
        <v>418</v>
      </c>
      <c r="AE339" s="1196" t="s">
        <v>419</v>
      </c>
      <c r="AF339" s="1196" t="s">
        <v>420</v>
      </c>
      <c r="AG339" s="1197" t="s">
        <v>421</v>
      </c>
      <c r="AH339" s="1196" t="s">
        <v>422</v>
      </c>
      <c r="AI339" s="1196" t="s">
        <v>423</v>
      </c>
      <c r="AJ339" s="1196" t="s">
        <v>424</v>
      </c>
      <c r="AK339" s="3"/>
      <c r="AL339" s="3"/>
    </row>
    <row r="340" spans="1:38" s="28" customFormat="1" x14ac:dyDescent="0.4">
      <c r="A340" s="646" t="s">
        <v>993</v>
      </c>
      <c r="B340" s="532" t="s">
        <v>147</v>
      </c>
      <c r="C340" s="537">
        <v>893.17363297644545</v>
      </c>
      <c r="D340" s="537">
        <v>893.17363297644545</v>
      </c>
      <c r="E340" s="537">
        <v>893.17363297644533</v>
      </c>
      <c r="F340" s="537">
        <v>849.48493967091201</v>
      </c>
      <c r="G340" s="537">
        <v>805.79624636537824</v>
      </c>
      <c r="H340" s="537">
        <v>762.10755305984458</v>
      </c>
      <c r="I340" s="537">
        <v>718.4188597543108</v>
      </c>
      <c r="J340" s="537">
        <v>674.73016644877725</v>
      </c>
      <c r="K340" s="537">
        <v>631.04147314324359</v>
      </c>
      <c r="L340" s="537">
        <v>587.35277983770993</v>
      </c>
      <c r="M340" s="537">
        <v>543.66408653217627</v>
      </c>
      <c r="N340" s="537">
        <v>499.97539322664261</v>
      </c>
      <c r="O340" s="537">
        <v>456.286699921109</v>
      </c>
      <c r="P340" s="537">
        <v>412.59800661557529</v>
      </c>
      <c r="Q340" s="537">
        <v>368.90931331004174</v>
      </c>
      <c r="R340" s="537">
        <v>325.22062000450808</v>
      </c>
      <c r="S340" s="537">
        <v>281.53192669897442</v>
      </c>
      <c r="T340" s="537">
        <v>237.84323339344076</v>
      </c>
      <c r="U340" s="537">
        <v>194.15454008790709</v>
      </c>
      <c r="V340" s="537">
        <v>150.46584678237343</v>
      </c>
      <c r="W340" s="537">
        <v>106.77715347683981</v>
      </c>
      <c r="X340" s="537">
        <v>63.088460171306217</v>
      </c>
      <c r="Y340" s="537">
        <v>63.088460171306217</v>
      </c>
      <c r="Z340" s="537">
        <v>63.088460171306231</v>
      </c>
      <c r="AA340" s="537">
        <v>63.088460171306203</v>
      </c>
      <c r="AB340" s="537">
        <v>63.088460171306217</v>
      </c>
      <c r="AC340" s="537">
        <v>63.088460171306217</v>
      </c>
      <c r="AD340" s="537">
        <v>63.08846017130621</v>
      </c>
      <c r="AE340" s="537">
        <v>63.088460171306203</v>
      </c>
      <c r="AF340" s="537">
        <v>63.08846017130621</v>
      </c>
      <c r="AG340" s="539">
        <v>63.08846017130621</v>
      </c>
      <c r="AH340" s="539">
        <v>63.088460171306203</v>
      </c>
      <c r="AI340" s="539">
        <v>63.088460171306203</v>
      </c>
      <c r="AJ340" s="539">
        <v>63.088460171306217</v>
      </c>
      <c r="AK340" s="3"/>
      <c r="AL340" s="3"/>
    </row>
    <row r="341" spans="1:38" s="28" customFormat="1" x14ac:dyDescent="0.4">
      <c r="A341" s="644" t="s">
        <v>994</v>
      </c>
      <c r="B341" s="533" t="s">
        <v>147</v>
      </c>
      <c r="C341" s="534">
        <v>474.90210963597434</v>
      </c>
      <c r="D341" s="534">
        <v>474.90210963597434</v>
      </c>
      <c r="E341" s="534">
        <v>474.90210963597428</v>
      </c>
      <c r="F341" s="534">
        <v>451.44983082384772</v>
      </c>
      <c r="G341" s="534">
        <v>427.99755201172081</v>
      </c>
      <c r="H341" s="534">
        <v>404.54527319959425</v>
      </c>
      <c r="I341" s="534">
        <v>381.09299438746757</v>
      </c>
      <c r="J341" s="534">
        <v>357.64071557534089</v>
      </c>
      <c r="K341" s="534">
        <v>334.18843676321427</v>
      </c>
      <c r="L341" s="534">
        <v>310.73615795108759</v>
      </c>
      <c r="M341" s="534">
        <v>287.28387913896091</v>
      </c>
      <c r="N341" s="534">
        <v>263.83160032683423</v>
      </c>
      <c r="O341" s="534">
        <v>240.37932151470758</v>
      </c>
      <c r="P341" s="534">
        <v>216.92704270258088</v>
      </c>
      <c r="Q341" s="534">
        <v>193.4747638904542</v>
      </c>
      <c r="R341" s="534">
        <v>170.02248507832755</v>
      </c>
      <c r="S341" s="534">
        <v>146.57020626620087</v>
      </c>
      <c r="T341" s="534">
        <v>123.11792745407416</v>
      </c>
      <c r="U341" s="534">
        <v>99.665648641947513</v>
      </c>
      <c r="V341" s="534">
        <v>76.213369829820849</v>
      </c>
      <c r="W341" s="534">
        <v>52.761091017694127</v>
      </c>
      <c r="X341" s="534">
        <v>29.308812205567456</v>
      </c>
      <c r="Y341" s="534">
        <v>29.308812205567456</v>
      </c>
      <c r="Z341" s="534">
        <v>29.30881220556746</v>
      </c>
      <c r="AA341" s="534">
        <v>29.308812205567456</v>
      </c>
      <c r="AB341" s="534">
        <v>29.30881220556746</v>
      </c>
      <c r="AC341" s="534">
        <v>29.308812205567456</v>
      </c>
      <c r="AD341" s="534">
        <v>29.308812205567452</v>
      </c>
      <c r="AE341" s="534">
        <v>29.308812205567456</v>
      </c>
      <c r="AF341" s="534">
        <v>29.308812205567456</v>
      </c>
      <c r="AG341" s="552">
        <v>29.308812205567452</v>
      </c>
      <c r="AH341" s="552">
        <v>29.308812205567456</v>
      </c>
      <c r="AI341" s="552">
        <v>29.308812205567456</v>
      </c>
      <c r="AJ341" s="552">
        <v>29.308812205567456</v>
      </c>
      <c r="AK341" s="3"/>
      <c r="AL341" s="3"/>
    </row>
    <row r="342" spans="1:38" s="28" customFormat="1" x14ac:dyDescent="0.4">
      <c r="A342" s="644" t="s">
        <v>995</v>
      </c>
      <c r="B342" s="533" t="s">
        <v>147</v>
      </c>
      <c r="C342" s="534">
        <v>21.410335695931483</v>
      </c>
      <c r="D342" s="534">
        <v>21.410335695931479</v>
      </c>
      <c r="E342" s="534">
        <v>21.410335695931479</v>
      </c>
      <c r="F342" s="534">
        <v>21.410335695931479</v>
      </c>
      <c r="G342" s="534">
        <v>21.410335695931479</v>
      </c>
      <c r="H342" s="534">
        <v>21.410335695931479</v>
      </c>
      <c r="I342" s="534">
        <v>21.410335695931479</v>
      </c>
      <c r="J342" s="534">
        <v>21.410335695931479</v>
      </c>
      <c r="K342" s="534">
        <v>21.410335695931479</v>
      </c>
      <c r="L342" s="534">
        <v>21.410335695931479</v>
      </c>
      <c r="M342" s="534">
        <v>21.410335695931476</v>
      </c>
      <c r="N342" s="534">
        <v>21.410335695931479</v>
      </c>
      <c r="O342" s="534">
        <v>21.410335695931479</v>
      </c>
      <c r="P342" s="534">
        <v>21.410335695931479</v>
      </c>
      <c r="Q342" s="534">
        <v>21.410335695931479</v>
      </c>
      <c r="R342" s="534">
        <v>21.410335695931483</v>
      </c>
      <c r="S342" s="534">
        <v>21.410335695931479</v>
      </c>
      <c r="T342" s="534">
        <v>21.410335695931483</v>
      </c>
      <c r="U342" s="534">
        <v>21.410335695931476</v>
      </c>
      <c r="V342" s="534">
        <v>21.410335695931479</v>
      </c>
      <c r="W342" s="534">
        <v>21.410335695931476</v>
      </c>
      <c r="X342" s="534">
        <v>21.410335695931476</v>
      </c>
      <c r="Y342" s="534">
        <v>21.410335695931476</v>
      </c>
      <c r="Z342" s="534">
        <v>21.410335695931483</v>
      </c>
      <c r="AA342" s="534">
        <v>21.410335695931479</v>
      </c>
      <c r="AB342" s="534">
        <v>21.410335695931479</v>
      </c>
      <c r="AC342" s="534">
        <v>21.410335695931483</v>
      </c>
      <c r="AD342" s="534">
        <v>21.410335695931479</v>
      </c>
      <c r="AE342" s="534">
        <v>21.410335695931479</v>
      </c>
      <c r="AF342" s="534">
        <v>21.410335695931479</v>
      </c>
      <c r="AG342" s="552">
        <v>21.410335695931479</v>
      </c>
      <c r="AH342" s="552">
        <v>21.410335695931483</v>
      </c>
      <c r="AI342" s="552">
        <v>21.410335695931479</v>
      </c>
      <c r="AJ342" s="552">
        <v>21.410335695931476</v>
      </c>
      <c r="AK342" s="3"/>
      <c r="AL342" s="3"/>
    </row>
    <row r="343" spans="1:38" s="28" customFormat="1" x14ac:dyDescent="0.4">
      <c r="A343" s="644" t="s">
        <v>148</v>
      </c>
      <c r="B343" s="533" t="s">
        <v>147</v>
      </c>
      <c r="C343" s="534">
        <v>804.25367730192727</v>
      </c>
      <c r="D343" s="534">
        <v>804.25367730192738</v>
      </c>
      <c r="E343" s="534">
        <v>804.25367730192738</v>
      </c>
      <c r="F343" s="534">
        <v>763.2710161670235</v>
      </c>
      <c r="G343" s="534">
        <v>722.28835503212008</v>
      </c>
      <c r="H343" s="534">
        <v>681.3056938972162</v>
      </c>
      <c r="I343" s="534">
        <v>640.32303276231278</v>
      </c>
      <c r="J343" s="534">
        <v>599.34037162740901</v>
      </c>
      <c r="K343" s="534">
        <v>558.35771049250548</v>
      </c>
      <c r="L343" s="534">
        <v>517.37504935760182</v>
      </c>
      <c r="M343" s="534">
        <v>476.39238822269812</v>
      </c>
      <c r="N343" s="534">
        <v>435.40972708779435</v>
      </c>
      <c r="O343" s="534">
        <v>394.42706595289081</v>
      </c>
      <c r="P343" s="534">
        <v>353.44440481798733</v>
      </c>
      <c r="Q343" s="534">
        <v>312.46174368308351</v>
      </c>
      <c r="R343" s="534">
        <v>271.47908254817986</v>
      </c>
      <c r="S343" s="534">
        <v>230.49642141327629</v>
      </c>
      <c r="T343" s="534">
        <v>189.51376027837262</v>
      </c>
      <c r="U343" s="534">
        <v>148.53109914346902</v>
      </c>
      <c r="V343" s="534">
        <v>107.54843800856534</v>
      </c>
      <c r="W343" s="534">
        <v>66.565776873661719</v>
      </c>
      <c r="X343" s="534">
        <v>25.583115738758035</v>
      </c>
      <c r="Y343" s="534">
        <v>25.583115738758035</v>
      </c>
      <c r="Z343" s="534">
        <v>25.583115738758032</v>
      </c>
      <c r="AA343" s="534">
        <v>25.583115738758035</v>
      </c>
      <c r="AB343" s="534">
        <v>25.583115738758035</v>
      </c>
      <c r="AC343" s="534">
        <v>25.583115738758035</v>
      </c>
      <c r="AD343" s="534">
        <v>25.583115738758035</v>
      </c>
      <c r="AE343" s="534">
        <v>25.583115738758035</v>
      </c>
      <c r="AF343" s="534">
        <v>25.583115738758035</v>
      </c>
      <c r="AG343" s="552">
        <v>25.583115738758035</v>
      </c>
      <c r="AH343" s="552">
        <v>25.583115738758039</v>
      </c>
      <c r="AI343" s="552">
        <v>25.583115738758035</v>
      </c>
      <c r="AJ343" s="552">
        <v>25.583115738758035</v>
      </c>
      <c r="AK343" s="3"/>
      <c r="AL343" s="3"/>
    </row>
    <row r="344" spans="1:38" s="28" customFormat="1" x14ac:dyDescent="0.4">
      <c r="A344" s="644" t="s">
        <v>149</v>
      </c>
      <c r="B344" s="533" t="s">
        <v>147</v>
      </c>
      <c r="C344" s="534">
        <v>6.4578738758030001</v>
      </c>
      <c r="D344" s="534">
        <v>6.4578738758029992</v>
      </c>
      <c r="E344" s="534">
        <v>6.4578738758029983</v>
      </c>
      <c r="F344" s="534">
        <v>6.1964214921672518</v>
      </c>
      <c r="G344" s="534">
        <v>5.9349691085315008</v>
      </c>
      <c r="H344" s="534">
        <v>5.6735167248957525</v>
      </c>
      <c r="I344" s="534">
        <v>5.4120643412600034</v>
      </c>
      <c r="J344" s="534">
        <v>5.1506119576242551</v>
      </c>
      <c r="K344" s="534">
        <v>4.889159573988505</v>
      </c>
      <c r="L344" s="534">
        <v>4.6277071903527558</v>
      </c>
      <c r="M344" s="534">
        <v>4.3662548067170075</v>
      </c>
      <c r="N344" s="534">
        <v>4.1048024230812592</v>
      </c>
      <c r="O344" s="534">
        <v>3.8433500394455091</v>
      </c>
      <c r="P344" s="534">
        <v>3.5818976558097604</v>
      </c>
      <c r="Q344" s="534">
        <v>3.3204452721740116</v>
      </c>
      <c r="R344" s="534">
        <v>3.0589928885382633</v>
      </c>
      <c r="S344" s="534">
        <v>2.7975405049025146</v>
      </c>
      <c r="T344" s="534">
        <v>2.536088121266765</v>
      </c>
      <c r="U344" s="534">
        <v>2.2746357376310162</v>
      </c>
      <c r="V344" s="534">
        <v>2.013183353995267</v>
      </c>
      <c r="W344" s="534">
        <v>1.7517309703595185</v>
      </c>
      <c r="X344" s="534">
        <v>1.4902785867237689</v>
      </c>
      <c r="Y344" s="534">
        <v>1.4902785867237689</v>
      </c>
      <c r="Z344" s="534">
        <v>1.4902785867237689</v>
      </c>
      <c r="AA344" s="534">
        <v>1.4902785867237689</v>
      </c>
      <c r="AB344" s="534">
        <v>1.4902785867237687</v>
      </c>
      <c r="AC344" s="534">
        <v>1.4902785867237687</v>
      </c>
      <c r="AD344" s="534">
        <v>1.4902785867237689</v>
      </c>
      <c r="AE344" s="534">
        <v>1.4902785867237689</v>
      </c>
      <c r="AF344" s="534">
        <v>1.4902785867237689</v>
      </c>
      <c r="AG344" s="552">
        <v>1.4902785867237687</v>
      </c>
      <c r="AH344" s="552">
        <v>1.4902785867237689</v>
      </c>
      <c r="AI344" s="552">
        <v>1.4902785867237687</v>
      </c>
      <c r="AJ344" s="552">
        <v>1.4902785867237687</v>
      </c>
      <c r="AK344" s="3"/>
      <c r="AL344" s="3"/>
    </row>
    <row r="345" spans="1:38" s="28" customFormat="1" x14ac:dyDescent="0.4">
      <c r="A345" s="644" t="s">
        <v>150</v>
      </c>
      <c r="B345" s="533" t="s">
        <v>147</v>
      </c>
      <c r="C345" s="534">
        <v>201.18760920770873</v>
      </c>
      <c r="D345" s="534">
        <v>201.18760920770876</v>
      </c>
      <c r="E345" s="534">
        <v>201.18760920770873</v>
      </c>
      <c r="F345" s="534">
        <v>190.82102219655133</v>
      </c>
      <c r="G345" s="534">
        <v>180.45443518539386</v>
      </c>
      <c r="H345" s="534">
        <v>170.08784817423646</v>
      </c>
      <c r="I345" s="534">
        <v>159.72126116307902</v>
      </c>
      <c r="J345" s="534">
        <v>149.35467415192159</v>
      </c>
      <c r="K345" s="534">
        <v>138.98808714076412</v>
      </c>
      <c r="L345" s="534">
        <v>128.62150012960669</v>
      </c>
      <c r="M345" s="534">
        <v>118.25491311844924</v>
      </c>
      <c r="N345" s="534">
        <v>107.88832610729177</v>
      </c>
      <c r="O345" s="534">
        <v>97.521739096134354</v>
      </c>
      <c r="P345" s="534">
        <v>87.155152084976905</v>
      </c>
      <c r="Q345" s="534">
        <v>76.788565073819441</v>
      </c>
      <c r="R345" s="534">
        <v>66.421978062662049</v>
      </c>
      <c r="S345" s="534">
        <v>56.055391051504586</v>
      </c>
      <c r="T345" s="534">
        <v>45.688804040347144</v>
      </c>
      <c r="U345" s="534">
        <v>35.322217029189702</v>
      </c>
      <c r="V345" s="534">
        <v>24.955630018032249</v>
      </c>
      <c r="W345" s="534">
        <v>14.589043006874805</v>
      </c>
      <c r="X345" s="534">
        <v>4.2224559957173451</v>
      </c>
      <c r="Y345" s="534">
        <v>4.2224559957173442</v>
      </c>
      <c r="Z345" s="534">
        <v>4.2224559957173451</v>
      </c>
      <c r="AA345" s="534">
        <v>4.2224559957173451</v>
      </c>
      <c r="AB345" s="534">
        <v>4.2224559957173451</v>
      </c>
      <c r="AC345" s="534">
        <v>4.2224559957173451</v>
      </c>
      <c r="AD345" s="534">
        <v>4.2224559957173442</v>
      </c>
      <c r="AE345" s="534">
        <v>4.2224559957173442</v>
      </c>
      <c r="AF345" s="534">
        <v>4.2224559957173451</v>
      </c>
      <c r="AG345" s="552">
        <v>4.2224559957173451</v>
      </c>
      <c r="AH345" s="552">
        <v>4.2224559957173451</v>
      </c>
      <c r="AI345" s="552">
        <v>4.2224559957173442</v>
      </c>
      <c r="AJ345" s="552">
        <v>4.2224559957173442</v>
      </c>
      <c r="AK345" s="3"/>
      <c r="AL345" s="3"/>
    </row>
    <row r="346" spans="1:38" s="28" customFormat="1" x14ac:dyDescent="0.4">
      <c r="A346" s="644" t="s">
        <v>151</v>
      </c>
      <c r="B346" s="533" t="s">
        <v>147</v>
      </c>
      <c r="C346" s="534">
        <v>0.89416715203426111</v>
      </c>
      <c r="D346" s="534">
        <v>0.89416715203426123</v>
      </c>
      <c r="E346" s="534">
        <v>0.89416715203426123</v>
      </c>
      <c r="F346" s="534">
        <v>0.92554143807055123</v>
      </c>
      <c r="G346" s="534">
        <v>0.95691572410684078</v>
      </c>
      <c r="H346" s="534">
        <v>0.98829001014313067</v>
      </c>
      <c r="I346" s="534">
        <v>1.0196642961794209</v>
      </c>
      <c r="J346" s="534">
        <v>1.0510385822157107</v>
      </c>
      <c r="K346" s="534">
        <v>1.0824128682520007</v>
      </c>
      <c r="L346" s="534">
        <v>1.1137871542882904</v>
      </c>
      <c r="M346" s="534">
        <v>1.14516144032458</v>
      </c>
      <c r="N346" s="534">
        <v>1.1765357263608698</v>
      </c>
      <c r="O346" s="534">
        <v>1.20791001239716</v>
      </c>
      <c r="P346" s="534">
        <v>1.2392842984334498</v>
      </c>
      <c r="Q346" s="534">
        <v>1.2706585844697396</v>
      </c>
      <c r="R346" s="534">
        <v>1.3020328705060296</v>
      </c>
      <c r="S346" s="534">
        <v>1.3334071565423193</v>
      </c>
      <c r="T346" s="534">
        <v>1.3647814425786093</v>
      </c>
      <c r="U346" s="534">
        <v>1.3961557286148991</v>
      </c>
      <c r="V346" s="534">
        <v>1.4275300146511889</v>
      </c>
      <c r="W346" s="534">
        <v>1.4589043006874791</v>
      </c>
      <c r="X346" s="534">
        <v>1.4902785867237689</v>
      </c>
      <c r="Y346" s="534">
        <v>1.4902785867237689</v>
      </c>
      <c r="Z346" s="534">
        <v>1.4902785867237689</v>
      </c>
      <c r="AA346" s="534">
        <v>1.4902785867237687</v>
      </c>
      <c r="AB346" s="534">
        <v>1.4902785867237689</v>
      </c>
      <c r="AC346" s="534">
        <v>1.4902785867237687</v>
      </c>
      <c r="AD346" s="534">
        <v>1.4902785867237687</v>
      </c>
      <c r="AE346" s="534">
        <v>1.4902785867237689</v>
      </c>
      <c r="AF346" s="534">
        <v>1.4902785867237687</v>
      </c>
      <c r="AG346" s="552">
        <v>1.4902785867237691</v>
      </c>
      <c r="AH346" s="552">
        <v>1.4902785867237689</v>
      </c>
      <c r="AI346" s="552">
        <v>1.4902785867237687</v>
      </c>
      <c r="AJ346" s="552">
        <v>1.4902785867237689</v>
      </c>
      <c r="AK346" s="3"/>
      <c r="AL346" s="3"/>
    </row>
    <row r="347" spans="1:38" s="28" customFormat="1" x14ac:dyDescent="0.4">
      <c r="A347" s="644" t="s">
        <v>152</v>
      </c>
      <c r="B347" s="533" t="s">
        <v>147</v>
      </c>
      <c r="C347" s="534">
        <v>5.1662991006423988</v>
      </c>
      <c r="D347" s="534">
        <v>5.1662991006423979</v>
      </c>
      <c r="E347" s="534">
        <v>5.1662991006423979</v>
      </c>
      <c r="F347" s="534">
        <v>5.1479974337878973</v>
      </c>
      <c r="G347" s="534">
        <v>5.129695766933394</v>
      </c>
      <c r="H347" s="534">
        <v>5.1113941000788907</v>
      </c>
      <c r="I347" s="534">
        <v>5.0930924332243883</v>
      </c>
      <c r="J347" s="534">
        <v>5.0747907663698868</v>
      </c>
      <c r="K347" s="534">
        <v>5.0564890995153844</v>
      </c>
      <c r="L347" s="534">
        <v>5.0381874326608802</v>
      </c>
      <c r="M347" s="534">
        <v>5.0198857658063787</v>
      </c>
      <c r="N347" s="534">
        <v>5.0015840989518772</v>
      </c>
      <c r="O347" s="534">
        <v>4.9832824320973748</v>
      </c>
      <c r="P347" s="534">
        <v>4.9649807652428697</v>
      </c>
      <c r="Q347" s="534">
        <v>4.9466790983883691</v>
      </c>
      <c r="R347" s="534">
        <v>4.9283774315338675</v>
      </c>
      <c r="S347" s="534">
        <v>4.9100757646793642</v>
      </c>
      <c r="T347" s="534">
        <v>4.8917740978248618</v>
      </c>
      <c r="U347" s="534">
        <v>4.8734724309703603</v>
      </c>
      <c r="V347" s="534">
        <v>4.8551707641158579</v>
      </c>
      <c r="W347" s="534">
        <v>4.8368690972613546</v>
      </c>
      <c r="X347" s="534">
        <v>4.8185674304068522</v>
      </c>
      <c r="Y347" s="534">
        <v>4.8185674304068522</v>
      </c>
      <c r="Z347" s="534">
        <v>4.8185674304068513</v>
      </c>
      <c r="AA347" s="534">
        <v>4.8185674304068522</v>
      </c>
      <c r="AB347" s="534">
        <v>4.8185674304068522</v>
      </c>
      <c r="AC347" s="534">
        <v>4.8185674304068522</v>
      </c>
      <c r="AD347" s="534">
        <v>4.8185674304068513</v>
      </c>
      <c r="AE347" s="534">
        <v>4.8185674304068522</v>
      </c>
      <c r="AF347" s="534">
        <v>4.8185674304068522</v>
      </c>
      <c r="AG347" s="552">
        <v>4.8185674304068522</v>
      </c>
      <c r="AH347" s="552">
        <v>4.8185674304068522</v>
      </c>
      <c r="AI347" s="552">
        <v>4.8185674304068522</v>
      </c>
      <c r="AJ347" s="552">
        <v>4.8185674304068513</v>
      </c>
      <c r="AK347" s="3"/>
      <c r="AL347" s="3"/>
    </row>
    <row r="348" spans="1:38" s="28" customFormat="1" x14ac:dyDescent="0.4">
      <c r="A348" s="644" t="s">
        <v>153</v>
      </c>
      <c r="B348" s="533" t="s">
        <v>147</v>
      </c>
      <c r="C348" s="534">
        <v>0.42969699250535326</v>
      </c>
      <c r="D348" s="534">
        <v>0.42969699250535331</v>
      </c>
      <c r="E348" s="534">
        <v>0.42969699250535326</v>
      </c>
      <c r="F348" s="534">
        <v>0.48551707641158581</v>
      </c>
      <c r="G348" s="534">
        <v>0.54133716031781809</v>
      </c>
      <c r="H348" s="534">
        <v>0.59715724422405037</v>
      </c>
      <c r="I348" s="534">
        <v>0.65297732813028275</v>
      </c>
      <c r="J348" s="534">
        <v>0.70879741203651525</v>
      </c>
      <c r="K348" s="534">
        <v>0.76461749594274775</v>
      </c>
      <c r="L348" s="534">
        <v>0.82043757984897991</v>
      </c>
      <c r="M348" s="534">
        <v>0.87625766375521263</v>
      </c>
      <c r="N348" s="534">
        <v>0.93207774766144469</v>
      </c>
      <c r="O348" s="534">
        <v>0.9878978315676773</v>
      </c>
      <c r="P348" s="534">
        <v>1.0437179154739096</v>
      </c>
      <c r="Q348" s="534">
        <v>1.0995379993801422</v>
      </c>
      <c r="R348" s="534">
        <v>1.1553580832863743</v>
      </c>
      <c r="S348" s="534">
        <v>1.211178167192607</v>
      </c>
      <c r="T348" s="534">
        <v>1.2669982510988391</v>
      </c>
      <c r="U348" s="534">
        <v>1.3228183350050715</v>
      </c>
      <c r="V348" s="534">
        <v>1.3786384189113041</v>
      </c>
      <c r="W348" s="534">
        <v>1.4344585028175363</v>
      </c>
      <c r="X348" s="534">
        <v>1.4902785867237689</v>
      </c>
      <c r="Y348" s="534">
        <v>1.4902785867237687</v>
      </c>
      <c r="Z348" s="534">
        <v>1.4902785867237689</v>
      </c>
      <c r="AA348" s="534">
        <v>1.4902785867237689</v>
      </c>
      <c r="AB348" s="534">
        <v>1.4902785867237689</v>
      </c>
      <c r="AC348" s="534">
        <v>1.4902785867237689</v>
      </c>
      <c r="AD348" s="534">
        <v>1.4902785867237689</v>
      </c>
      <c r="AE348" s="534">
        <v>1.4902785867237687</v>
      </c>
      <c r="AF348" s="534">
        <v>1.4902785867237687</v>
      </c>
      <c r="AG348" s="534">
        <v>1.4902785867237689</v>
      </c>
      <c r="AH348" s="534">
        <v>1.4902785867237689</v>
      </c>
      <c r="AI348" s="534">
        <v>1.4902785867237687</v>
      </c>
      <c r="AJ348" s="534">
        <v>1.4902785867237689</v>
      </c>
      <c r="AK348" s="3"/>
      <c r="AL348" s="3"/>
    </row>
    <row r="349" spans="1:38" s="28" customFormat="1" x14ac:dyDescent="0.4">
      <c r="A349" s="645" t="s">
        <v>154</v>
      </c>
      <c r="B349" s="533" t="s">
        <v>147</v>
      </c>
      <c r="C349" s="534">
        <v>0.66069017344753755</v>
      </c>
      <c r="D349" s="534">
        <v>0.66069017344753755</v>
      </c>
      <c r="E349" s="534">
        <v>0.66069017344753755</v>
      </c>
      <c r="F349" s="534">
        <v>0.66069017344753755</v>
      </c>
      <c r="G349" s="534">
        <v>0.66069017344753744</v>
      </c>
      <c r="H349" s="534">
        <v>0.66069017344753755</v>
      </c>
      <c r="I349" s="534">
        <v>0.66069017344753755</v>
      </c>
      <c r="J349" s="534">
        <v>0.66069017344753755</v>
      </c>
      <c r="K349" s="534">
        <v>0.66069017344753755</v>
      </c>
      <c r="L349" s="534">
        <v>0.66069017344753755</v>
      </c>
      <c r="M349" s="534">
        <v>0.66069017344753744</v>
      </c>
      <c r="N349" s="534">
        <v>0.66069017344753744</v>
      </c>
      <c r="O349" s="534">
        <v>0.66069017344753744</v>
      </c>
      <c r="P349" s="534">
        <v>0.66069017344753755</v>
      </c>
      <c r="Q349" s="534">
        <v>0.66069017344753767</v>
      </c>
      <c r="R349" s="534">
        <v>0.66069017344753744</v>
      </c>
      <c r="S349" s="534">
        <v>0.66069017344753755</v>
      </c>
      <c r="T349" s="534">
        <v>0.66069017344753744</v>
      </c>
      <c r="U349" s="534">
        <v>0.66069017344753755</v>
      </c>
      <c r="V349" s="534">
        <v>0.66069017344753744</v>
      </c>
      <c r="W349" s="534">
        <v>0.66069017344753744</v>
      </c>
      <c r="X349" s="534">
        <v>0.66069017344753755</v>
      </c>
      <c r="Y349" s="534">
        <v>0.66069017344753755</v>
      </c>
      <c r="Z349" s="534">
        <v>0.66069017344753755</v>
      </c>
      <c r="AA349" s="534">
        <v>0.66069017344753744</v>
      </c>
      <c r="AB349" s="534">
        <v>0.66069017344753755</v>
      </c>
      <c r="AC349" s="534">
        <v>0.66069017344753755</v>
      </c>
      <c r="AD349" s="534">
        <v>0.66069017344753755</v>
      </c>
      <c r="AE349" s="534">
        <v>0.66069017344753767</v>
      </c>
      <c r="AF349" s="534">
        <v>0.66069017344753755</v>
      </c>
      <c r="AG349" s="534">
        <v>0.66069017344753744</v>
      </c>
      <c r="AH349" s="534">
        <v>0.66069017344753744</v>
      </c>
      <c r="AI349" s="534">
        <v>0.66069017344753767</v>
      </c>
      <c r="AJ349" s="534">
        <v>0.66069017344753755</v>
      </c>
      <c r="AK349" s="3"/>
      <c r="AL349" s="3"/>
    </row>
    <row r="350" spans="1:38" s="28" customFormat="1" x14ac:dyDescent="0.4">
      <c r="A350" s="1188" t="s">
        <v>1063</v>
      </c>
      <c r="B350" s="1191"/>
      <c r="C350" s="1191"/>
      <c r="D350" s="1191"/>
      <c r="E350" s="1191"/>
      <c r="F350" s="1191"/>
      <c r="G350" s="1191"/>
      <c r="H350" s="1191"/>
      <c r="I350" s="1191"/>
      <c r="J350" s="1191"/>
      <c r="K350" s="1191"/>
      <c r="L350" s="1191"/>
      <c r="M350" s="1191"/>
      <c r="N350" s="1191"/>
      <c r="O350" s="1191"/>
      <c r="P350" s="1191"/>
      <c r="Q350" s="1191"/>
      <c r="R350" s="1191"/>
      <c r="S350" s="1191"/>
      <c r="T350" s="1191"/>
      <c r="U350" s="1191"/>
      <c r="V350" s="1191"/>
      <c r="W350" s="1191"/>
      <c r="X350" s="1191"/>
      <c r="Y350" s="1191"/>
      <c r="Z350" s="1191"/>
      <c r="AA350" s="1191"/>
      <c r="AB350" s="1191"/>
      <c r="AC350" s="1191"/>
      <c r="AD350" s="1191"/>
      <c r="AE350" s="1191"/>
      <c r="AF350" s="1191"/>
      <c r="AG350" s="1191"/>
      <c r="AH350" s="1191"/>
      <c r="AI350" s="1191"/>
      <c r="AJ350" s="1191"/>
      <c r="AK350" s="3"/>
      <c r="AL350" s="3"/>
    </row>
    <row r="351" spans="1:38" s="28" customFormat="1" x14ac:dyDescent="0.4">
      <c r="A351" s="581"/>
      <c r="B351" s="581"/>
      <c r="C351" s="89"/>
      <c r="D351" s="89"/>
      <c r="E351" s="89"/>
      <c r="F351" s="89"/>
      <c r="G351" s="89"/>
      <c r="H351" s="89"/>
      <c r="I351" s="89"/>
      <c r="J351" s="89"/>
      <c r="K351" s="89"/>
      <c r="L351" s="89"/>
      <c r="M351" s="89"/>
      <c r="N351" s="89"/>
      <c r="O351" s="89"/>
      <c r="P351" s="89"/>
      <c r="Q351" s="89"/>
      <c r="R351" s="89"/>
      <c r="S351" s="89"/>
      <c r="T351" s="89"/>
      <c r="U351" s="89"/>
      <c r="V351" s="89"/>
      <c r="W351" s="89"/>
      <c r="X351" s="89"/>
      <c r="Y351" s="89"/>
      <c r="Z351" s="89"/>
      <c r="AA351" s="89"/>
      <c r="AB351" s="89"/>
      <c r="AC351" s="89"/>
      <c r="AD351" s="89"/>
      <c r="AE351" s="89"/>
      <c r="AF351" s="89"/>
      <c r="AG351" s="89"/>
      <c r="AH351" s="89"/>
      <c r="AI351" s="89"/>
      <c r="AJ351" s="89"/>
      <c r="AK351" s="3"/>
      <c r="AL351" s="3"/>
    </row>
    <row r="352" spans="1:38" s="28" customFormat="1" ht="17" x14ac:dyDescent="0.4">
      <c r="A352" s="659" t="s">
        <v>1566</v>
      </c>
      <c r="B352" s="581"/>
      <c r="C352" s="89"/>
      <c r="D352" s="89"/>
      <c r="E352" s="89"/>
      <c r="F352" s="89"/>
      <c r="G352" s="89"/>
      <c r="H352" s="89"/>
      <c r="I352" s="89"/>
      <c r="J352" s="89"/>
      <c r="K352" s="89"/>
      <c r="L352" s="89"/>
      <c r="M352" s="89"/>
      <c r="N352" s="89"/>
      <c r="O352" s="89"/>
      <c r="P352" s="89"/>
      <c r="Q352" s="89"/>
      <c r="R352" s="89"/>
      <c r="S352" s="89"/>
      <c r="T352" s="89"/>
      <c r="U352" s="89"/>
      <c r="V352" s="89"/>
      <c r="W352" s="89"/>
      <c r="X352" s="89"/>
      <c r="Y352" s="89"/>
      <c r="Z352" s="89"/>
      <c r="AA352" s="89"/>
      <c r="AB352" s="89"/>
      <c r="AC352" s="89"/>
      <c r="AD352" s="89"/>
      <c r="AE352" s="89"/>
      <c r="AF352" s="89"/>
      <c r="AG352" s="89"/>
      <c r="AH352" s="89"/>
      <c r="AI352" s="89"/>
      <c r="AJ352" s="89"/>
      <c r="AK352" s="3"/>
      <c r="AL352" s="3"/>
    </row>
    <row r="353" spans="1:38" s="28" customFormat="1" x14ac:dyDescent="0.4">
      <c r="A353" s="42" t="s">
        <v>536</v>
      </c>
      <c r="B353" s="956" t="s">
        <v>136</v>
      </c>
      <c r="C353" s="1196" t="s">
        <v>391</v>
      </c>
      <c r="D353" s="1196" t="s">
        <v>392</v>
      </c>
      <c r="E353" s="1196" t="s">
        <v>393</v>
      </c>
      <c r="F353" s="1196" t="s">
        <v>394</v>
      </c>
      <c r="G353" s="1196" t="s">
        <v>395</v>
      </c>
      <c r="H353" s="1196" t="s">
        <v>396</v>
      </c>
      <c r="I353" s="1196" t="s">
        <v>397</v>
      </c>
      <c r="J353" s="1196" t="s">
        <v>398</v>
      </c>
      <c r="K353" s="1196" t="s">
        <v>399</v>
      </c>
      <c r="L353" s="1196" t="s">
        <v>400</v>
      </c>
      <c r="M353" s="1196" t="s">
        <v>401</v>
      </c>
      <c r="N353" s="1196" t="s">
        <v>402</v>
      </c>
      <c r="O353" s="1196" t="s">
        <v>403</v>
      </c>
      <c r="P353" s="1196" t="s">
        <v>404</v>
      </c>
      <c r="Q353" s="1196" t="s">
        <v>405</v>
      </c>
      <c r="R353" s="1196" t="s">
        <v>406</v>
      </c>
      <c r="S353" s="1196" t="s">
        <v>407</v>
      </c>
      <c r="T353" s="1196" t="s">
        <v>408</v>
      </c>
      <c r="U353" s="1196" t="s">
        <v>409</v>
      </c>
      <c r="V353" s="1196" t="s">
        <v>410</v>
      </c>
      <c r="W353" s="1196" t="s">
        <v>411</v>
      </c>
      <c r="X353" s="1196" t="s">
        <v>412</v>
      </c>
      <c r="Y353" s="1196" t="s">
        <v>413</v>
      </c>
      <c r="Z353" s="1196" t="s">
        <v>414</v>
      </c>
      <c r="AA353" s="1196" t="s">
        <v>415</v>
      </c>
      <c r="AB353" s="1196" t="s">
        <v>416</v>
      </c>
      <c r="AC353" s="1196" t="s">
        <v>417</v>
      </c>
      <c r="AD353" s="1196" t="s">
        <v>418</v>
      </c>
      <c r="AE353" s="1196" t="s">
        <v>419</v>
      </c>
      <c r="AF353" s="1196" t="s">
        <v>420</v>
      </c>
      <c r="AG353" s="1197" t="s">
        <v>421</v>
      </c>
      <c r="AH353" s="1196" t="s">
        <v>422</v>
      </c>
      <c r="AI353" s="1196" t="s">
        <v>423</v>
      </c>
      <c r="AJ353" s="1196" t="s">
        <v>424</v>
      </c>
      <c r="AK353" s="3"/>
      <c r="AL353" s="3"/>
    </row>
    <row r="354" spans="1:38" s="28" customFormat="1" x14ac:dyDescent="0.4">
      <c r="A354" s="643" t="s">
        <v>59</v>
      </c>
      <c r="B354" s="532" t="s">
        <v>155</v>
      </c>
      <c r="C354" s="556">
        <v>4.3841997291819618E-2</v>
      </c>
      <c r="D354" s="556">
        <v>4.3841997291819611E-2</v>
      </c>
      <c r="E354" s="556">
        <v>4.3841997291819611E-2</v>
      </c>
      <c r="F354" s="556">
        <v>4.3841997291819618E-2</v>
      </c>
      <c r="G354" s="556">
        <v>4.3841997291819611E-2</v>
      </c>
      <c r="H354" s="556">
        <v>4.3841997291819618E-2</v>
      </c>
      <c r="I354" s="556">
        <v>4.3841997291819618E-2</v>
      </c>
      <c r="J354" s="556">
        <v>4.3841997291819618E-2</v>
      </c>
      <c r="K354" s="556">
        <v>4.3841997291819611E-2</v>
      </c>
      <c r="L354" s="556">
        <v>4.3841997291819611E-2</v>
      </c>
      <c r="M354" s="556">
        <v>4.3841997291819611E-2</v>
      </c>
      <c r="N354" s="556">
        <v>4.3841997291819611E-2</v>
      </c>
      <c r="O354" s="556">
        <v>4.3841997291819618E-2</v>
      </c>
      <c r="P354" s="556">
        <v>4.3841997291819611E-2</v>
      </c>
      <c r="Q354" s="556">
        <v>4.3841997291819611E-2</v>
      </c>
      <c r="R354" s="556">
        <v>4.3841997291819611E-2</v>
      </c>
      <c r="S354" s="556">
        <v>4.3841997291819618E-2</v>
      </c>
      <c r="T354" s="556">
        <v>4.3841997291819618E-2</v>
      </c>
      <c r="U354" s="556">
        <v>4.3841997291819604E-2</v>
      </c>
      <c r="V354" s="556">
        <v>4.3841997291819611E-2</v>
      </c>
      <c r="W354" s="556">
        <v>4.3841997291819611E-2</v>
      </c>
      <c r="X354" s="556">
        <v>4.3841997291819618E-2</v>
      </c>
      <c r="Y354" s="556">
        <v>4.3841997291819618E-2</v>
      </c>
      <c r="Z354" s="556">
        <v>4.3841997291819618E-2</v>
      </c>
      <c r="AA354" s="556">
        <v>4.3841997291819604E-2</v>
      </c>
      <c r="AB354" s="556">
        <v>4.3841997291819618E-2</v>
      </c>
      <c r="AC354" s="556">
        <v>4.3841997291819618E-2</v>
      </c>
      <c r="AD354" s="556">
        <v>4.3841997291819618E-2</v>
      </c>
      <c r="AE354" s="556">
        <v>4.3841997291819618E-2</v>
      </c>
      <c r="AF354" s="556">
        <v>4.3841997291819611E-2</v>
      </c>
      <c r="AG354" s="557">
        <v>4.3841997291819611E-2</v>
      </c>
      <c r="AH354" s="557">
        <v>4.3841997291819618E-2</v>
      </c>
      <c r="AI354" s="557">
        <v>4.3841997291819604E-2</v>
      </c>
      <c r="AJ354" s="557">
        <v>4.3841997291819604E-2</v>
      </c>
      <c r="AK354" s="3"/>
      <c r="AL354" s="3"/>
    </row>
    <row r="355" spans="1:38" s="28" customFormat="1" x14ac:dyDescent="0.4">
      <c r="A355" s="647" t="s">
        <v>156</v>
      </c>
      <c r="B355" s="533" t="s">
        <v>155</v>
      </c>
      <c r="C355" s="534">
        <v>0.68897216274089912</v>
      </c>
      <c r="D355" s="534">
        <v>0.68897216274089923</v>
      </c>
      <c r="E355" s="534">
        <v>0.68897216274089923</v>
      </c>
      <c r="F355" s="534">
        <v>0.68897216274089945</v>
      </c>
      <c r="G355" s="534">
        <v>0.68897216274089934</v>
      </c>
      <c r="H355" s="534">
        <v>0.68897216274089923</v>
      </c>
      <c r="I355" s="534">
        <v>0.68897216274089934</v>
      </c>
      <c r="J355" s="534">
        <v>0.68897216274089923</v>
      </c>
      <c r="K355" s="534">
        <v>0.68897216274089934</v>
      </c>
      <c r="L355" s="534">
        <v>0.68897216274089923</v>
      </c>
      <c r="M355" s="534">
        <v>0.68897216274089923</v>
      </c>
      <c r="N355" s="534">
        <v>0.68897216274089934</v>
      </c>
      <c r="O355" s="534">
        <v>0.68897216274089923</v>
      </c>
      <c r="P355" s="534">
        <v>0.68897216274089923</v>
      </c>
      <c r="Q355" s="534">
        <v>0.68897216274089934</v>
      </c>
      <c r="R355" s="534">
        <v>0.68897216274089923</v>
      </c>
      <c r="S355" s="534">
        <v>0.68897216274089923</v>
      </c>
      <c r="T355" s="534">
        <v>0.68897216274089934</v>
      </c>
      <c r="U355" s="534">
        <v>0.68897216274089934</v>
      </c>
      <c r="V355" s="534">
        <v>0.68897216274089934</v>
      </c>
      <c r="W355" s="534">
        <v>0.68897216274089923</v>
      </c>
      <c r="X355" s="534">
        <v>0.68897216274089923</v>
      </c>
      <c r="Y355" s="534">
        <v>0.68897216274089934</v>
      </c>
      <c r="Z355" s="534">
        <v>0.68897216274089934</v>
      </c>
      <c r="AA355" s="534">
        <v>0.68897216274089923</v>
      </c>
      <c r="AB355" s="534">
        <v>0.68897216274089923</v>
      </c>
      <c r="AC355" s="534">
        <v>0.68897216274089923</v>
      </c>
      <c r="AD355" s="534">
        <v>0.68897216274089934</v>
      </c>
      <c r="AE355" s="534">
        <v>0.68897216274089923</v>
      </c>
      <c r="AF355" s="534">
        <v>0.68897216274089923</v>
      </c>
      <c r="AG355" s="534">
        <v>0.68897216274089923</v>
      </c>
      <c r="AH355" s="534">
        <v>0.68897216274089934</v>
      </c>
      <c r="AI355" s="534">
        <v>0.68897216274089934</v>
      </c>
      <c r="AJ355" s="534">
        <v>0.68897216274089923</v>
      </c>
      <c r="AK355" s="3"/>
      <c r="AL355" s="3"/>
    </row>
    <row r="356" spans="1:38" s="28" customFormat="1" x14ac:dyDescent="0.4">
      <c r="A356" s="645" t="s">
        <v>76</v>
      </c>
      <c r="B356" s="533" t="s">
        <v>155</v>
      </c>
      <c r="C356" s="534">
        <v>3.0915417558886502</v>
      </c>
      <c r="D356" s="534">
        <v>3.091541755888652</v>
      </c>
      <c r="E356" s="534">
        <v>3.0915417558886511</v>
      </c>
      <c r="F356" s="534">
        <v>3.0915417558886511</v>
      </c>
      <c r="G356" s="534">
        <v>3.0915417558886507</v>
      </c>
      <c r="H356" s="534">
        <v>3.0915417558886511</v>
      </c>
      <c r="I356" s="534">
        <v>3.0915417558886515</v>
      </c>
      <c r="J356" s="534">
        <v>3.0915417558886511</v>
      </c>
      <c r="K356" s="534">
        <v>3.0915417558886515</v>
      </c>
      <c r="L356" s="534">
        <v>3.0915417558886507</v>
      </c>
      <c r="M356" s="534">
        <v>3.0915417558886511</v>
      </c>
      <c r="N356" s="534">
        <v>3.0915417558886511</v>
      </c>
      <c r="O356" s="534">
        <v>3.0915417558886507</v>
      </c>
      <c r="P356" s="534">
        <v>3.0915417558886515</v>
      </c>
      <c r="Q356" s="534">
        <v>3.0915417558886507</v>
      </c>
      <c r="R356" s="534">
        <v>3.0915417558886511</v>
      </c>
      <c r="S356" s="534">
        <v>3.0915417558886511</v>
      </c>
      <c r="T356" s="534">
        <v>3.0915417558886515</v>
      </c>
      <c r="U356" s="534">
        <v>3.0915417558886511</v>
      </c>
      <c r="V356" s="534">
        <v>3.0915417558886507</v>
      </c>
      <c r="W356" s="534">
        <v>3.0915417558886507</v>
      </c>
      <c r="X356" s="534">
        <v>3.0915417558886515</v>
      </c>
      <c r="Y356" s="534">
        <v>3.0915417558886515</v>
      </c>
      <c r="Z356" s="534">
        <v>3.0915417558886511</v>
      </c>
      <c r="AA356" s="534">
        <v>3.0915417558886511</v>
      </c>
      <c r="AB356" s="534">
        <v>3.0915417558886515</v>
      </c>
      <c r="AC356" s="534">
        <v>3.0915417558886515</v>
      </c>
      <c r="AD356" s="534">
        <v>3.0915417558886511</v>
      </c>
      <c r="AE356" s="534">
        <v>3.0915417558886515</v>
      </c>
      <c r="AF356" s="534">
        <v>3.0915417558886507</v>
      </c>
      <c r="AG356" s="534">
        <v>3.0915417558886511</v>
      </c>
      <c r="AH356" s="534">
        <v>3.0915417558886515</v>
      </c>
      <c r="AI356" s="534">
        <v>3.0915417558886511</v>
      </c>
      <c r="AJ356" s="534">
        <v>3.0915417558886515</v>
      </c>
      <c r="AK356" s="3"/>
      <c r="AL356" s="3"/>
    </row>
    <row r="357" spans="1:38" s="28" customFormat="1" x14ac:dyDescent="0.4">
      <c r="A357" s="1188" t="s">
        <v>1063</v>
      </c>
      <c r="B357" s="1191"/>
      <c r="C357" s="1191"/>
      <c r="D357" s="1191"/>
      <c r="E357" s="1191"/>
      <c r="F357" s="1191"/>
      <c r="G357" s="1191"/>
      <c r="H357" s="1191"/>
      <c r="I357" s="1191"/>
      <c r="J357" s="1191"/>
      <c r="K357" s="1191"/>
      <c r="L357" s="1191"/>
      <c r="M357" s="1191"/>
      <c r="N357" s="1191"/>
      <c r="O357" s="1191"/>
      <c r="P357" s="1191"/>
      <c r="Q357" s="1191"/>
      <c r="R357" s="1191"/>
      <c r="S357" s="1191"/>
      <c r="T357" s="1191"/>
      <c r="U357" s="1191"/>
      <c r="V357" s="1191"/>
      <c r="W357" s="1191"/>
      <c r="X357" s="1191"/>
      <c r="Y357" s="1191"/>
      <c r="Z357" s="1191"/>
      <c r="AA357" s="1191"/>
      <c r="AB357" s="1191"/>
      <c r="AC357" s="1191"/>
      <c r="AD357" s="1191"/>
      <c r="AE357" s="1191"/>
      <c r="AF357" s="1191"/>
      <c r="AG357" s="1191"/>
      <c r="AH357" s="1191"/>
      <c r="AI357" s="1191"/>
      <c r="AJ357" s="1191"/>
      <c r="AK357" s="3"/>
      <c r="AL357" s="3"/>
    </row>
    <row r="358" spans="1:38" s="28" customFormat="1" x14ac:dyDescent="0.4">
      <c r="A358" s="581"/>
      <c r="B358" s="581"/>
      <c r="C358" s="89"/>
      <c r="D358" s="89"/>
      <c r="E358" s="89"/>
      <c r="F358" s="89"/>
      <c r="G358" s="89"/>
      <c r="H358" s="89"/>
      <c r="I358" s="89"/>
      <c r="J358" s="89"/>
      <c r="K358" s="89"/>
      <c r="L358" s="89"/>
      <c r="M358" s="89"/>
      <c r="N358" s="89"/>
      <c r="O358" s="89"/>
      <c r="P358" s="89"/>
      <c r="Q358" s="89"/>
      <c r="R358" s="89"/>
      <c r="S358" s="89"/>
      <c r="T358" s="89"/>
      <c r="U358" s="89"/>
      <c r="V358" s="89"/>
      <c r="W358" s="89"/>
      <c r="X358" s="89"/>
      <c r="Y358" s="89"/>
      <c r="Z358" s="89"/>
      <c r="AA358" s="89"/>
      <c r="AB358" s="89"/>
      <c r="AC358" s="89"/>
      <c r="AD358" s="89"/>
      <c r="AE358" s="89"/>
      <c r="AF358" s="89"/>
      <c r="AG358" s="89"/>
      <c r="AH358" s="89"/>
      <c r="AI358" s="89"/>
      <c r="AJ358" s="89"/>
      <c r="AK358" s="3"/>
      <c r="AL358" s="3"/>
    </row>
    <row r="359" spans="1:38" s="28" customFormat="1" ht="17" x14ac:dyDescent="0.4">
      <c r="A359" s="659" t="s">
        <v>1567</v>
      </c>
      <c r="B359" s="581"/>
      <c r="C359" s="89"/>
      <c r="D359" s="89"/>
      <c r="E359" s="89"/>
      <c r="F359" s="89"/>
      <c r="G359" s="89"/>
      <c r="H359" s="89"/>
      <c r="I359" s="89"/>
      <c r="J359" s="89"/>
      <c r="K359" s="89"/>
      <c r="L359" s="89"/>
      <c r="M359" s="89"/>
      <c r="N359" s="89"/>
      <c r="O359" s="89"/>
      <c r="P359" s="89"/>
      <c r="Q359" s="89"/>
      <c r="R359" s="89"/>
      <c r="S359" s="89"/>
      <c r="T359" s="89"/>
      <c r="U359" s="89"/>
      <c r="V359" s="89"/>
      <c r="W359" s="89"/>
      <c r="X359" s="89"/>
      <c r="Y359" s="89"/>
      <c r="Z359" s="89"/>
      <c r="AA359" s="89"/>
      <c r="AB359" s="89"/>
      <c r="AC359" s="89"/>
      <c r="AD359" s="89"/>
      <c r="AE359" s="89"/>
      <c r="AF359" s="89"/>
      <c r="AG359" s="89"/>
      <c r="AH359" s="89"/>
      <c r="AI359" s="89"/>
      <c r="AJ359" s="89"/>
      <c r="AK359" s="3"/>
      <c r="AL359" s="3"/>
    </row>
    <row r="360" spans="1:38" s="28" customFormat="1" x14ac:dyDescent="0.4">
      <c r="A360" s="1207" t="s">
        <v>390</v>
      </c>
      <c r="B360" s="956" t="s">
        <v>136</v>
      </c>
      <c r="C360" s="1196" t="s">
        <v>391</v>
      </c>
      <c r="D360" s="1196" t="s">
        <v>392</v>
      </c>
      <c r="E360" s="1196" t="s">
        <v>393</v>
      </c>
      <c r="F360" s="1196" t="s">
        <v>394</v>
      </c>
      <c r="G360" s="1196" t="s">
        <v>395</v>
      </c>
      <c r="H360" s="1196" t="s">
        <v>396</v>
      </c>
      <c r="I360" s="1196" t="s">
        <v>397</v>
      </c>
      <c r="J360" s="1196" t="s">
        <v>398</v>
      </c>
      <c r="K360" s="1196" t="s">
        <v>399</v>
      </c>
      <c r="L360" s="1196" t="s">
        <v>400</v>
      </c>
      <c r="M360" s="1196" t="s">
        <v>401</v>
      </c>
      <c r="N360" s="1196" t="s">
        <v>402</v>
      </c>
      <c r="O360" s="1196" t="s">
        <v>403</v>
      </c>
      <c r="P360" s="1196" t="s">
        <v>404</v>
      </c>
      <c r="Q360" s="1196" t="s">
        <v>405</v>
      </c>
      <c r="R360" s="1196" t="s">
        <v>406</v>
      </c>
      <c r="S360" s="1196" t="s">
        <v>407</v>
      </c>
      <c r="T360" s="1196" t="s">
        <v>408</v>
      </c>
      <c r="U360" s="1196" t="s">
        <v>409</v>
      </c>
      <c r="V360" s="1196" t="s">
        <v>410</v>
      </c>
      <c r="W360" s="1196" t="s">
        <v>411</v>
      </c>
      <c r="X360" s="1196" t="s">
        <v>412</v>
      </c>
      <c r="Y360" s="1196" t="s">
        <v>413</v>
      </c>
      <c r="Z360" s="1196" t="s">
        <v>414</v>
      </c>
      <c r="AA360" s="1196" t="s">
        <v>415</v>
      </c>
      <c r="AB360" s="1196" t="s">
        <v>416</v>
      </c>
      <c r="AC360" s="1196" t="s">
        <v>417</v>
      </c>
      <c r="AD360" s="1196" t="s">
        <v>418</v>
      </c>
      <c r="AE360" s="1196" t="s">
        <v>419</v>
      </c>
      <c r="AF360" s="1196" t="s">
        <v>420</v>
      </c>
      <c r="AG360" s="1197" t="s">
        <v>421</v>
      </c>
      <c r="AH360" s="1196" t="s">
        <v>422</v>
      </c>
      <c r="AI360" s="1196" t="s">
        <v>423</v>
      </c>
      <c r="AJ360" s="1196" t="s">
        <v>424</v>
      </c>
      <c r="AK360" s="3"/>
      <c r="AL360" s="3"/>
    </row>
    <row r="361" spans="1:38" s="28" customFormat="1" x14ac:dyDescent="0.4">
      <c r="A361" s="643" t="s">
        <v>157</v>
      </c>
      <c r="B361" s="532" t="s">
        <v>138</v>
      </c>
      <c r="C361" s="556">
        <v>2.8353854389721631E-2</v>
      </c>
      <c r="D361" s="556">
        <v>2.8353854389721631E-2</v>
      </c>
      <c r="E361" s="556">
        <v>2.8353854389721635E-2</v>
      </c>
      <c r="F361" s="556">
        <v>2.8353854389721635E-2</v>
      </c>
      <c r="G361" s="556">
        <v>2.8353854389721635E-2</v>
      </c>
      <c r="H361" s="556">
        <v>2.8353854389721631E-2</v>
      </c>
      <c r="I361" s="556">
        <v>2.8353854389721631E-2</v>
      </c>
      <c r="J361" s="556">
        <v>2.8353854389721635E-2</v>
      </c>
      <c r="K361" s="556">
        <v>2.8353854389721631E-2</v>
      </c>
      <c r="L361" s="556">
        <v>2.8353854389721628E-2</v>
      </c>
      <c r="M361" s="556">
        <v>2.8353854389721631E-2</v>
      </c>
      <c r="N361" s="556">
        <v>2.8353854389721631E-2</v>
      </c>
      <c r="O361" s="556">
        <v>2.8353854389721638E-2</v>
      </c>
      <c r="P361" s="556">
        <v>2.8353854389721635E-2</v>
      </c>
      <c r="Q361" s="556">
        <v>2.8353854389721635E-2</v>
      </c>
      <c r="R361" s="556">
        <v>2.8353854389721631E-2</v>
      </c>
      <c r="S361" s="556">
        <v>2.8353854389721628E-2</v>
      </c>
      <c r="T361" s="556">
        <v>2.8353854389721638E-2</v>
      </c>
      <c r="U361" s="556">
        <v>2.8353854389721631E-2</v>
      </c>
      <c r="V361" s="556">
        <v>2.8353854389721635E-2</v>
      </c>
      <c r="W361" s="556">
        <v>2.8353854389721635E-2</v>
      </c>
      <c r="X361" s="556">
        <v>2.8353854389721635E-2</v>
      </c>
      <c r="Y361" s="556">
        <v>2.8353854389721631E-2</v>
      </c>
      <c r="Z361" s="556">
        <v>2.8353854389721638E-2</v>
      </c>
      <c r="AA361" s="556">
        <v>2.8353854389721631E-2</v>
      </c>
      <c r="AB361" s="557">
        <v>2.8353854389721635E-2</v>
      </c>
      <c r="AC361" s="558">
        <v>2.8353854389721631E-2</v>
      </c>
      <c r="AD361" s="558">
        <v>2.8353854389721631E-2</v>
      </c>
      <c r="AE361" s="558">
        <v>2.8353854389721635E-2</v>
      </c>
      <c r="AF361" s="558">
        <v>2.8353854389721628E-2</v>
      </c>
      <c r="AG361" s="559">
        <v>2.8353854389721628E-2</v>
      </c>
      <c r="AH361" s="559">
        <v>2.8353854389721631E-2</v>
      </c>
      <c r="AI361" s="559">
        <v>2.8353854389721635E-2</v>
      </c>
      <c r="AJ361" s="559">
        <v>2.8353854389721631E-2</v>
      </c>
      <c r="AK361" s="3"/>
      <c r="AL361" s="3"/>
    </row>
    <row r="362" spans="1:38" s="28" customFormat="1" x14ac:dyDescent="0.4">
      <c r="A362" s="533" t="s">
        <v>158</v>
      </c>
      <c r="B362" s="533" t="s">
        <v>138</v>
      </c>
      <c r="C362" s="534">
        <v>5.7841862955032117E-2</v>
      </c>
      <c r="D362" s="534">
        <v>5.7841862955032117E-2</v>
      </c>
      <c r="E362" s="534">
        <v>5.7841862955032124E-2</v>
      </c>
      <c r="F362" s="534">
        <v>5.784186295503211E-2</v>
      </c>
      <c r="G362" s="534">
        <v>5.7841862955032117E-2</v>
      </c>
      <c r="H362" s="534">
        <v>5.7841862955032124E-2</v>
      </c>
      <c r="I362" s="534">
        <v>5.7841862955032117E-2</v>
      </c>
      <c r="J362" s="534">
        <v>5.7841862955032117E-2</v>
      </c>
      <c r="K362" s="534">
        <v>5.7841862955032117E-2</v>
      </c>
      <c r="L362" s="534">
        <v>5.7841862955032117E-2</v>
      </c>
      <c r="M362" s="534">
        <v>5.7841862955032124E-2</v>
      </c>
      <c r="N362" s="534">
        <v>5.7841862955032117E-2</v>
      </c>
      <c r="O362" s="534">
        <v>5.7841862955032124E-2</v>
      </c>
      <c r="P362" s="534">
        <v>5.7841862955032124E-2</v>
      </c>
      <c r="Q362" s="534">
        <v>5.7841862955032117E-2</v>
      </c>
      <c r="R362" s="534">
        <v>5.784186295503211E-2</v>
      </c>
      <c r="S362" s="534">
        <v>5.7841862955032117E-2</v>
      </c>
      <c r="T362" s="534">
        <v>5.7841862955032117E-2</v>
      </c>
      <c r="U362" s="534">
        <v>5.7841862955032131E-2</v>
      </c>
      <c r="V362" s="534">
        <v>5.7841862955032124E-2</v>
      </c>
      <c r="W362" s="534">
        <v>5.7841862955032117E-2</v>
      </c>
      <c r="X362" s="534">
        <v>5.7841862955032117E-2</v>
      </c>
      <c r="Y362" s="534">
        <v>5.7841862955032124E-2</v>
      </c>
      <c r="Z362" s="534">
        <v>5.7841862955032124E-2</v>
      </c>
      <c r="AA362" s="534">
        <v>5.7841862955032103E-2</v>
      </c>
      <c r="AB362" s="534">
        <v>5.7841862955032124E-2</v>
      </c>
      <c r="AC362" s="534">
        <v>5.7841862955032124E-2</v>
      </c>
      <c r="AD362" s="534">
        <v>5.784186295503211E-2</v>
      </c>
      <c r="AE362" s="534">
        <v>5.7841862955032103E-2</v>
      </c>
      <c r="AF362" s="534">
        <v>5.784186295503211E-2</v>
      </c>
      <c r="AG362" s="534">
        <v>5.784186295503211E-2</v>
      </c>
      <c r="AH362" s="534">
        <v>5.7841862955032117E-2</v>
      </c>
      <c r="AI362" s="534">
        <v>5.7841862955032117E-2</v>
      </c>
      <c r="AJ362" s="534">
        <v>5.7841862955032124E-2</v>
      </c>
      <c r="AK362" s="3"/>
      <c r="AL362" s="3"/>
    </row>
    <row r="363" spans="1:38" s="28" customFormat="1" x14ac:dyDescent="0.4">
      <c r="A363" s="533" t="s">
        <v>159</v>
      </c>
      <c r="B363" s="533" t="s">
        <v>138</v>
      </c>
      <c r="C363" s="534">
        <v>0.90165256959314788</v>
      </c>
      <c r="D363" s="534">
        <v>0.90165256959314799</v>
      </c>
      <c r="E363" s="534">
        <v>0.90165256959314766</v>
      </c>
      <c r="F363" s="534">
        <v>0.90165256959314777</v>
      </c>
      <c r="G363" s="534">
        <v>0.90165256959314777</v>
      </c>
      <c r="H363" s="534">
        <v>0.90165256959314788</v>
      </c>
      <c r="I363" s="534">
        <v>0.90165256959314788</v>
      </c>
      <c r="J363" s="534">
        <v>0.90165256959314788</v>
      </c>
      <c r="K363" s="534">
        <v>0.90165256959314799</v>
      </c>
      <c r="L363" s="534">
        <v>0.90165256959314799</v>
      </c>
      <c r="M363" s="534">
        <v>0.90165256959314788</v>
      </c>
      <c r="N363" s="534">
        <v>0.90165256959314788</v>
      </c>
      <c r="O363" s="534">
        <v>0.90165256959314777</v>
      </c>
      <c r="P363" s="534">
        <v>0.90165256959314788</v>
      </c>
      <c r="Q363" s="534">
        <v>0.90165256959314799</v>
      </c>
      <c r="R363" s="534">
        <v>0.90165256959314777</v>
      </c>
      <c r="S363" s="534">
        <v>0.90165256959314777</v>
      </c>
      <c r="T363" s="534">
        <v>0.90165256959314799</v>
      </c>
      <c r="U363" s="534">
        <v>0.90165256959314788</v>
      </c>
      <c r="V363" s="534">
        <v>0.90165256959314788</v>
      </c>
      <c r="W363" s="534">
        <v>0.90165256959314788</v>
      </c>
      <c r="X363" s="534">
        <v>0.90165256959314766</v>
      </c>
      <c r="Y363" s="534">
        <v>0.90165256959314788</v>
      </c>
      <c r="Z363" s="534">
        <v>0.90165256959314788</v>
      </c>
      <c r="AA363" s="534">
        <v>0.90165256959314777</v>
      </c>
      <c r="AB363" s="534">
        <v>0.90165256959314777</v>
      </c>
      <c r="AC363" s="534">
        <v>0.90165256959314777</v>
      </c>
      <c r="AD363" s="534">
        <v>0.90165256959314788</v>
      </c>
      <c r="AE363" s="534">
        <v>0.90165256959314788</v>
      </c>
      <c r="AF363" s="534">
        <v>0.90165256959314777</v>
      </c>
      <c r="AG363" s="534">
        <v>0.90165256959314777</v>
      </c>
      <c r="AH363" s="534">
        <v>0.90165256959314788</v>
      </c>
      <c r="AI363" s="534">
        <v>0.90165256959314788</v>
      </c>
      <c r="AJ363" s="534">
        <v>0.90165256959314788</v>
      </c>
      <c r="AK363" s="3"/>
      <c r="AL363" s="3"/>
    </row>
    <row r="364" spans="1:38" s="28" customFormat="1" x14ac:dyDescent="0.4">
      <c r="A364" s="1212" t="s">
        <v>1063</v>
      </c>
      <c r="B364" s="1191"/>
      <c r="C364" s="1191"/>
      <c r="D364" s="1191"/>
      <c r="E364" s="1191"/>
      <c r="F364" s="1191"/>
      <c r="G364" s="1191"/>
      <c r="H364" s="1191"/>
      <c r="I364" s="1191"/>
      <c r="J364" s="1191"/>
      <c r="K364" s="1191"/>
      <c r="L364" s="1191"/>
      <c r="M364" s="1191"/>
      <c r="N364" s="1191"/>
      <c r="O364" s="1191"/>
      <c r="P364" s="1191"/>
      <c r="Q364" s="1191"/>
      <c r="R364" s="1191"/>
      <c r="S364" s="1191"/>
      <c r="T364" s="1191"/>
      <c r="U364" s="1191"/>
      <c r="V364" s="1191"/>
      <c r="W364" s="1191"/>
      <c r="X364" s="1191"/>
      <c r="Y364" s="1191"/>
      <c r="Z364" s="1191"/>
      <c r="AA364" s="1191"/>
      <c r="AB364" s="1191"/>
      <c r="AC364" s="1191"/>
      <c r="AD364" s="1191"/>
      <c r="AE364" s="1191"/>
      <c r="AF364" s="1191"/>
      <c r="AG364" s="1191"/>
      <c r="AH364" s="1191"/>
      <c r="AI364" s="1191"/>
      <c r="AJ364" s="1191"/>
      <c r="AK364" s="3"/>
      <c r="AL364" s="3"/>
    </row>
    <row r="365" spans="1:38" s="28" customFormat="1" x14ac:dyDescent="0.4">
      <c r="A365" s="581"/>
      <c r="B365" s="581"/>
      <c r="C365" s="89"/>
      <c r="D365" s="89"/>
      <c r="E365" s="89"/>
      <c r="F365" s="89"/>
      <c r="G365" s="89"/>
      <c r="H365" s="89"/>
      <c r="I365" s="89"/>
      <c r="J365" s="89"/>
      <c r="K365" s="89"/>
      <c r="L365" s="89"/>
      <c r="M365" s="89"/>
      <c r="N365" s="89"/>
      <c r="O365" s="89"/>
      <c r="P365" s="89"/>
      <c r="Q365" s="89"/>
      <c r="R365" s="89"/>
      <c r="S365" s="89"/>
      <c r="T365" s="89"/>
      <c r="U365" s="89"/>
      <c r="V365" s="89"/>
      <c r="W365" s="89"/>
      <c r="X365" s="89"/>
      <c r="Y365" s="89"/>
      <c r="Z365" s="89"/>
      <c r="AA365" s="89"/>
      <c r="AB365" s="89"/>
      <c r="AC365" s="89"/>
      <c r="AD365" s="89"/>
      <c r="AE365" s="89"/>
      <c r="AF365" s="89"/>
      <c r="AG365" s="89"/>
      <c r="AH365" s="89"/>
      <c r="AI365" s="89"/>
      <c r="AJ365" s="89"/>
      <c r="AK365" s="3"/>
      <c r="AL365" s="3"/>
    </row>
    <row r="366" spans="1:38" ht="15.65" customHeight="1" x14ac:dyDescent="0.4">
      <c r="AI366" s="28"/>
      <c r="AJ366" s="28"/>
    </row>
    <row r="367" spans="1:38" ht="15.65" customHeight="1" x14ac:dyDescent="0.45">
      <c r="A367" s="88" t="s">
        <v>1568</v>
      </c>
      <c r="B367" s="1213" t="s">
        <v>1569</v>
      </c>
      <c r="C367" s="322"/>
      <c r="D367" s="1214"/>
      <c r="E367" s="1214"/>
      <c r="AI367" s="28"/>
      <c r="AJ367" s="28"/>
    </row>
    <row r="368" spans="1:38" s="28" customFormat="1" x14ac:dyDescent="0.4">
      <c r="A368" s="108" t="s">
        <v>794</v>
      </c>
      <c r="B368" s="1140" t="s">
        <v>136</v>
      </c>
      <c r="C368" s="1159" t="s">
        <v>391</v>
      </c>
      <c r="D368" s="1159" t="s">
        <v>392</v>
      </c>
      <c r="E368" s="1159" t="s">
        <v>393</v>
      </c>
      <c r="F368" s="1159" t="s">
        <v>394</v>
      </c>
      <c r="G368" s="1159" t="s">
        <v>395</v>
      </c>
      <c r="H368" s="1159" t="s">
        <v>396</v>
      </c>
      <c r="I368" s="1159" t="s">
        <v>397</v>
      </c>
      <c r="J368" s="1159" t="s">
        <v>398</v>
      </c>
      <c r="K368" s="1159" t="s">
        <v>399</v>
      </c>
      <c r="L368" s="1159" t="s">
        <v>400</v>
      </c>
      <c r="M368" s="1159" t="s">
        <v>401</v>
      </c>
      <c r="N368" s="1159" t="s">
        <v>402</v>
      </c>
      <c r="O368" s="1159" t="s">
        <v>403</v>
      </c>
      <c r="P368" s="1159" t="s">
        <v>404</v>
      </c>
      <c r="Q368" s="1159" t="s">
        <v>405</v>
      </c>
      <c r="R368" s="1159" t="s">
        <v>406</v>
      </c>
      <c r="S368" s="1159" t="s">
        <v>407</v>
      </c>
      <c r="T368" s="1159" t="s">
        <v>408</v>
      </c>
      <c r="U368" s="1159" t="s">
        <v>409</v>
      </c>
      <c r="V368" s="1159" t="s">
        <v>410</v>
      </c>
      <c r="W368" s="1159" t="s">
        <v>411</v>
      </c>
      <c r="X368" s="1159" t="s">
        <v>412</v>
      </c>
      <c r="Y368" s="1159" t="s">
        <v>413</v>
      </c>
      <c r="Z368" s="1159" t="s">
        <v>414</v>
      </c>
      <c r="AA368" s="1159" t="s">
        <v>415</v>
      </c>
      <c r="AB368" s="1159" t="s">
        <v>416</v>
      </c>
      <c r="AC368" s="1159" t="s">
        <v>417</v>
      </c>
      <c r="AD368" s="1159" t="s">
        <v>418</v>
      </c>
      <c r="AE368" s="1159" t="s">
        <v>419</v>
      </c>
      <c r="AF368" s="1159" t="s">
        <v>420</v>
      </c>
      <c r="AG368" s="987" t="s">
        <v>421</v>
      </c>
      <c r="AH368" s="1159" t="s">
        <v>422</v>
      </c>
      <c r="AI368" s="1159" t="s">
        <v>423</v>
      </c>
      <c r="AJ368" s="1159" t="s">
        <v>424</v>
      </c>
      <c r="AK368" s="3"/>
      <c r="AL368" s="3"/>
    </row>
    <row r="369" spans="1:38" s="28" customFormat="1" x14ac:dyDescent="0.4">
      <c r="A369" s="643" t="s">
        <v>137</v>
      </c>
      <c r="B369" s="532" t="s">
        <v>1279</v>
      </c>
      <c r="C369" s="537">
        <f t="shared" ref="C369:AJ369" si="90">$B$541*C328</f>
        <v>0.13536130085653106</v>
      </c>
      <c r="D369" s="537">
        <f t="shared" si="90"/>
        <v>0.13536130085653103</v>
      </c>
      <c r="E369" s="537">
        <f t="shared" si="90"/>
        <v>0.13536130085653106</v>
      </c>
      <c r="F369" s="537">
        <f t="shared" si="90"/>
        <v>0.13003037668455844</v>
      </c>
      <c r="G369" s="537">
        <f t="shared" si="90"/>
        <v>0.1246994525125858</v>
      </c>
      <c r="H369" s="537">
        <f t="shared" si="90"/>
        <v>0.11936852834061316</v>
      </c>
      <c r="I369" s="537">
        <f t="shared" si="90"/>
        <v>0.11403760416864052</v>
      </c>
      <c r="J369" s="537">
        <f t="shared" si="90"/>
        <v>0.10870667999666786</v>
      </c>
      <c r="K369" s="537">
        <f t="shared" si="90"/>
        <v>0.10337575582469528</v>
      </c>
      <c r="L369" s="537">
        <f t="shared" si="90"/>
        <v>9.8044831652722583E-2</v>
      </c>
      <c r="M369" s="537">
        <f t="shared" si="90"/>
        <v>9.2713907480749966E-2</v>
      </c>
      <c r="N369" s="537">
        <f t="shared" si="90"/>
        <v>8.7382983308777334E-2</v>
      </c>
      <c r="O369" s="537">
        <f t="shared" si="90"/>
        <v>8.2052059136804703E-2</v>
      </c>
      <c r="P369" s="537">
        <f t="shared" si="90"/>
        <v>7.6721134964832044E-2</v>
      </c>
      <c r="Q369" s="537">
        <f t="shared" si="90"/>
        <v>7.1390210792859427E-2</v>
      </c>
      <c r="R369" s="537">
        <f t="shared" si="90"/>
        <v>6.6059286620886781E-2</v>
      </c>
      <c r="S369" s="537">
        <f t="shared" si="90"/>
        <v>6.0728362448914157E-2</v>
      </c>
      <c r="T369" s="537">
        <f t="shared" si="90"/>
        <v>5.5397438276941505E-2</v>
      </c>
      <c r="U369" s="537">
        <f t="shared" si="90"/>
        <v>5.0066514104968873E-2</v>
      </c>
      <c r="V369" s="537">
        <f t="shared" si="90"/>
        <v>4.4735589932996235E-2</v>
      </c>
      <c r="W369" s="537">
        <f t="shared" si="90"/>
        <v>3.9404665761023604E-2</v>
      </c>
      <c r="X369" s="537">
        <f t="shared" si="90"/>
        <v>3.4073741589050958E-2</v>
      </c>
      <c r="Y369" s="537">
        <f t="shared" si="90"/>
        <v>3.4073741589050958E-2</v>
      </c>
      <c r="Z369" s="537">
        <f t="shared" si="90"/>
        <v>3.4073741589050965E-2</v>
      </c>
      <c r="AA369" s="537">
        <f t="shared" si="90"/>
        <v>3.4073741589050958E-2</v>
      </c>
      <c r="AB369" s="537">
        <f t="shared" si="90"/>
        <v>3.4073741589050965E-2</v>
      </c>
      <c r="AC369" s="537">
        <f t="shared" si="90"/>
        <v>3.4073741589050965E-2</v>
      </c>
      <c r="AD369" s="537">
        <f t="shared" si="90"/>
        <v>3.4073741589050958E-2</v>
      </c>
      <c r="AE369" s="537">
        <f t="shared" si="90"/>
        <v>3.4073741589050965E-2</v>
      </c>
      <c r="AF369" s="537">
        <f t="shared" si="90"/>
        <v>3.4073741589050965E-2</v>
      </c>
      <c r="AG369" s="537">
        <f t="shared" si="90"/>
        <v>3.4073741589050965E-2</v>
      </c>
      <c r="AH369" s="537">
        <f t="shared" si="90"/>
        <v>3.4073741589050965E-2</v>
      </c>
      <c r="AI369" s="537">
        <f t="shared" si="90"/>
        <v>3.4073741589050958E-2</v>
      </c>
      <c r="AJ369" s="537">
        <f t="shared" si="90"/>
        <v>3.4073741589050965E-2</v>
      </c>
      <c r="AK369" s="3"/>
      <c r="AL369" s="3"/>
    </row>
    <row r="370" spans="1:38" s="28" customFormat="1" x14ac:dyDescent="0.4">
      <c r="A370" s="644" t="s">
        <v>139</v>
      </c>
      <c r="B370" s="532" t="s">
        <v>1279</v>
      </c>
      <c r="C370" s="537">
        <f t="shared" ref="C370:AJ370" si="91">$B$541*C329</f>
        <v>6.2486163555428749E-2</v>
      </c>
      <c r="D370" s="537">
        <f t="shared" si="91"/>
        <v>6.2486163555428742E-2</v>
      </c>
      <c r="E370" s="537">
        <f t="shared" si="91"/>
        <v>6.2486163555428742E-2</v>
      </c>
      <c r="F370" s="537">
        <f t="shared" si="91"/>
        <v>6.0532165496108743E-2</v>
      </c>
      <c r="G370" s="537">
        <f t="shared" si="91"/>
        <v>5.8578167436788765E-2</v>
      </c>
      <c r="H370" s="537">
        <f t="shared" si="91"/>
        <v>5.662416937746878E-2</v>
      </c>
      <c r="I370" s="537">
        <f t="shared" si="91"/>
        <v>5.4670171318148809E-2</v>
      </c>
      <c r="J370" s="537">
        <f t="shared" si="91"/>
        <v>5.2716173258828797E-2</v>
      </c>
      <c r="K370" s="537">
        <f t="shared" si="91"/>
        <v>5.0762175199508833E-2</v>
      </c>
      <c r="L370" s="537">
        <f t="shared" si="91"/>
        <v>4.8808177140188834E-2</v>
      </c>
      <c r="M370" s="537">
        <f t="shared" si="91"/>
        <v>4.6854179080868849E-2</v>
      </c>
      <c r="N370" s="537">
        <f t="shared" si="91"/>
        <v>4.4900181021548857E-2</v>
      </c>
      <c r="O370" s="537">
        <f t="shared" si="91"/>
        <v>4.2946182962228865E-2</v>
      </c>
      <c r="P370" s="537">
        <f t="shared" si="91"/>
        <v>4.0992184902908881E-2</v>
      </c>
      <c r="Q370" s="537">
        <f t="shared" si="91"/>
        <v>3.9038186843588896E-2</v>
      </c>
      <c r="R370" s="537">
        <f t="shared" si="91"/>
        <v>3.7084188784268897E-2</v>
      </c>
      <c r="S370" s="537">
        <f t="shared" si="91"/>
        <v>3.5130190724948919E-2</v>
      </c>
      <c r="T370" s="537">
        <f t="shared" si="91"/>
        <v>3.3176192665628927E-2</v>
      </c>
      <c r="U370" s="537">
        <f t="shared" si="91"/>
        <v>3.1222194606308942E-2</v>
      </c>
      <c r="V370" s="537">
        <f t="shared" si="91"/>
        <v>2.9268196546988954E-2</v>
      </c>
      <c r="W370" s="537">
        <f t="shared" si="91"/>
        <v>2.7314198487668966E-2</v>
      </c>
      <c r="X370" s="537">
        <f t="shared" si="91"/>
        <v>2.5360200428348988E-2</v>
      </c>
      <c r="Y370" s="537">
        <f t="shared" si="91"/>
        <v>2.5360200428348991E-2</v>
      </c>
      <c r="Z370" s="537">
        <f t="shared" si="91"/>
        <v>2.5360200428348984E-2</v>
      </c>
      <c r="AA370" s="537">
        <f t="shared" si="91"/>
        <v>2.5360200428348984E-2</v>
      </c>
      <c r="AB370" s="537">
        <f t="shared" si="91"/>
        <v>2.5360200428348988E-2</v>
      </c>
      <c r="AC370" s="537">
        <f t="shared" si="91"/>
        <v>2.5360200428348995E-2</v>
      </c>
      <c r="AD370" s="537">
        <f t="shared" si="91"/>
        <v>2.5360200428348988E-2</v>
      </c>
      <c r="AE370" s="537">
        <f t="shared" si="91"/>
        <v>2.5360200428348988E-2</v>
      </c>
      <c r="AF370" s="537">
        <f t="shared" si="91"/>
        <v>2.5360200428348988E-2</v>
      </c>
      <c r="AG370" s="537">
        <f t="shared" si="91"/>
        <v>2.5360200428348984E-2</v>
      </c>
      <c r="AH370" s="537">
        <f t="shared" si="91"/>
        <v>2.5360200428348984E-2</v>
      </c>
      <c r="AI370" s="537">
        <f t="shared" si="91"/>
        <v>2.5360200428348988E-2</v>
      </c>
      <c r="AJ370" s="537">
        <f t="shared" si="91"/>
        <v>2.5360200428348984E-2</v>
      </c>
      <c r="AK370" s="3"/>
      <c r="AL370" s="3"/>
    </row>
    <row r="371" spans="1:38" s="28" customFormat="1" x14ac:dyDescent="0.4">
      <c r="A371" s="644" t="s">
        <v>140</v>
      </c>
      <c r="B371" s="532" t="s">
        <v>1279</v>
      </c>
      <c r="C371" s="537">
        <f t="shared" ref="C371:AJ371" si="92">$B$541*C330</f>
        <v>1.7391713389796103E-3</v>
      </c>
      <c r="D371" s="537">
        <f t="shared" si="92"/>
        <v>1.7391713389796105E-3</v>
      </c>
      <c r="E371" s="537">
        <f t="shared" si="92"/>
        <v>1.7391713389796103E-3</v>
      </c>
      <c r="F371" s="537">
        <f t="shared" si="92"/>
        <v>1.7975624824416673E-3</v>
      </c>
      <c r="G371" s="537">
        <f t="shared" si="92"/>
        <v>1.8559536259037243E-3</v>
      </c>
      <c r="H371" s="537">
        <f t="shared" si="92"/>
        <v>1.9143447693657811E-3</v>
      </c>
      <c r="I371" s="537">
        <f t="shared" si="92"/>
        <v>1.9727359128278383E-3</v>
      </c>
      <c r="J371" s="537">
        <f t="shared" si="92"/>
        <v>2.0311270562898952E-3</v>
      </c>
      <c r="K371" s="537">
        <f t="shared" si="92"/>
        <v>2.0895181997519514E-3</v>
      </c>
      <c r="L371" s="537">
        <f t="shared" si="92"/>
        <v>2.1479093432140088E-3</v>
      </c>
      <c r="M371" s="537">
        <f t="shared" si="92"/>
        <v>2.2063004866760653E-3</v>
      </c>
      <c r="N371" s="537">
        <f t="shared" si="92"/>
        <v>2.2646916301381223E-3</v>
      </c>
      <c r="O371" s="537">
        <f t="shared" si="92"/>
        <v>2.3230827736001793E-3</v>
      </c>
      <c r="P371" s="537">
        <f t="shared" si="92"/>
        <v>2.3814739170622363E-3</v>
      </c>
      <c r="Q371" s="537">
        <f t="shared" si="92"/>
        <v>2.4398650605242933E-3</v>
      </c>
      <c r="R371" s="537">
        <f t="shared" si="92"/>
        <v>2.4982562039863499E-3</v>
      </c>
      <c r="S371" s="537">
        <f t="shared" si="92"/>
        <v>2.5566473474484069E-3</v>
      </c>
      <c r="T371" s="537">
        <f t="shared" si="92"/>
        <v>2.6150384909104638E-3</v>
      </c>
      <c r="U371" s="537">
        <f t="shared" si="92"/>
        <v>2.6734296343725204E-3</v>
      </c>
      <c r="V371" s="537">
        <f t="shared" si="92"/>
        <v>2.7318207778345765E-3</v>
      </c>
      <c r="W371" s="537">
        <f t="shared" si="92"/>
        <v>2.7902119212966344E-3</v>
      </c>
      <c r="X371" s="537">
        <f t="shared" si="92"/>
        <v>2.8486030647586909E-3</v>
      </c>
      <c r="Y371" s="537">
        <f t="shared" si="92"/>
        <v>2.8486030647586909E-3</v>
      </c>
      <c r="Z371" s="537">
        <f t="shared" si="92"/>
        <v>2.8486030647586914E-3</v>
      </c>
      <c r="AA371" s="537">
        <f t="shared" si="92"/>
        <v>2.8486030647586914E-3</v>
      </c>
      <c r="AB371" s="537">
        <f t="shared" si="92"/>
        <v>2.8486030647586905E-3</v>
      </c>
      <c r="AC371" s="537">
        <f t="shared" si="92"/>
        <v>2.8486030647586905E-3</v>
      </c>
      <c r="AD371" s="537">
        <f t="shared" si="92"/>
        <v>2.8486030647586905E-3</v>
      </c>
      <c r="AE371" s="537">
        <f t="shared" si="92"/>
        <v>2.8486030647586909E-3</v>
      </c>
      <c r="AF371" s="537">
        <f t="shared" si="92"/>
        <v>2.8486030647586909E-3</v>
      </c>
      <c r="AG371" s="537">
        <f t="shared" si="92"/>
        <v>2.8486030647586905E-3</v>
      </c>
      <c r="AH371" s="537">
        <f t="shared" si="92"/>
        <v>2.8486030647586905E-3</v>
      </c>
      <c r="AI371" s="537">
        <f t="shared" si="92"/>
        <v>2.8486030647586909E-3</v>
      </c>
      <c r="AJ371" s="537">
        <f t="shared" si="92"/>
        <v>2.8486030647586909E-3</v>
      </c>
      <c r="AK371" s="3"/>
      <c r="AL371" s="3"/>
    </row>
    <row r="372" spans="1:38" s="28" customFormat="1" x14ac:dyDescent="0.4">
      <c r="A372" s="644" t="s">
        <v>141</v>
      </c>
      <c r="B372" s="532" t="s">
        <v>1279</v>
      </c>
      <c r="C372" s="537">
        <f t="shared" ref="C372:AJ372" si="93">$B$541*C331</f>
        <v>5.6197339400428257E-3</v>
      </c>
      <c r="D372" s="537">
        <f t="shared" si="93"/>
        <v>5.6197339400428257E-3</v>
      </c>
      <c r="E372" s="537">
        <f t="shared" si="93"/>
        <v>5.6197339400428266E-3</v>
      </c>
      <c r="F372" s="537">
        <f t="shared" si="93"/>
        <v>5.3686616307431871E-3</v>
      </c>
      <c r="G372" s="537">
        <f t="shared" si="93"/>
        <v>5.1175893214435468E-3</v>
      </c>
      <c r="H372" s="537">
        <f t="shared" si="93"/>
        <v>4.8665170121439082E-3</v>
      </c>
      <c r="I372" s="537">
        <f t="shared" si="93"/>
        <v>4.6154447028442696E-3</v>
      </c>
      <c r="J372" s="537">
        <f t="shared" si="93"/>
        <v>4.3643723935446292E-3</v>
      </c>
      <c r="K372" s="537">
        <f t="shared" si="93"/>
        <v>4.1133000842449889E-3</v>
      </c>
      <c r="L372" s="537">
        <f t="shared" si="93"/>
        <v>3.8622277749453498E-3</v>
      </c>
      <c r="M372" s="537">
        <f t="shared" si="93"/>
        <v>3.6111554656457095E-3</v>
      </c>
      <c r="N372" s="537">
        <f t="shared" si="93"/>
        <v>3.36008315634607E-3</v>
      </c>
      <c r="O372" s="537">
        <f t="shared" si="93"/>
        <v>3.1090108470464306E-3</v>
      </c>
      <c r="P372" s="537">
        <f t="shared" si="93"/>
        <v>2.8579385377467911E-3</v>
      </c>
      <c r="Q372" s="537">
        <f t="shared" si="93"/>
        <v>2.6068662284471512E-3</v>
      </c>
      <c r="R372" s="537">
        <f t="shared" si="93"/>
        <v>2.3557939191475113E-3</v>
      </c>
      <c r="S372" s="537">
        <f t="shared" si="93"/>
        <v>2.1047216098478722E-3</v>
      </c>
      <c r="T372" s="537">
        <f t="shared" si="93"/>
        <v>1.8536493005482325E-3</v>
      </c>
      <c r="U372" s="537">
        <f t="shared" si="93"/>
        <v>1.6025769912485931E-3</v>
      </c>
      <c r="V372" s="537">
        <f t="shared" si="93"/>
        <v>1.3515046819489529E-3</v>
      </c>
      <c r="W372" s="537">
        <f t="shared" si="93"/>
        <v>1.1004323726493132E-3</v>
      </c>
      <c r="X372" s="537">
        <f t="shared" si="93"/>
        <v>8.493600633496741E-4</v>
      </c>
      <c r="Y372" s="537">
        <f t="shared" si="93"/>
        <v>8.4936006334967399E-4</v>
      </c>
      <c r="Z372" s="537">
        <f t="shared" si="93"/>
        <v>8.4936006334967399E-4</v>
      </c>
      <c r="AA372" s="537">
        <f t="shared" si="93"/>
        <v>8.493600633496741E-4</v>
      </c>
      <c r="AB372" s="537">
        <f t="shared" si="93"/>
        <v>8.493600633496741E-4</v>
      </c>
      <c r="AC372" s="537">
        <f t="shared" si="93"/>
        <v>8.4936006334967388E-4</v>
      </c>
      <c r="AD372" s="537">
        <f t="shared" si="93"/>
        <v>8.4936006334967388E-4</v>
      </c>
      <c r="AE372" s="537">
        <f t="shared" si="93"/>
        <v>8.4936006334967388E-4</v>
      </c>
      <c r="AF372" s="537">
        <f t="shared" si="93"/>
        <v>8.493600633496741E-4</v>
      </c>
      <c r="AG372" s="537">
        <f t="shared" si="93"/>
        <v>8.4936006334967399E-4</v>
      </c>
      <c r="AH372" s="537">
        <f t="shared" si="93"/>
        <v>8.493600633496741E-4</v>
      </c>
      <c r="AI372" s="537">
        <f t="shared" si="93"/>
        <v>8.4936006334967399E-4</v>
      </c>
      <c r="AJ372" s="537">
        <f t="shared" si="93"/>
        <v>8.4936006334967388E-4</v>
      </c>
      <c r="AK372" s="3"/>
      <c r="AL372" s="3"/>
    </row>
    <row r="373" spans="1:38" s="28" customFormat="1" x14ac:dyDescent="0.4">
      <c r="A373" s="644" t="s">
        <v>142</v>
      </c>
      <c r="B373" s="533" t="s">
        <v>1280</v>
      </c>
      <c r="C373" s="537">
        <f t="shared" ref="C373:AJ373" si="94">$B$541*C332</f>
        <v>9.6446637434961975E-4</v>
      </c>
      <c r="D373" s="537">
        <f t="shared" si="94"/>
        <v>9.6446637434961986E-4</v>
      </c>
      <c r="E373" s="537">
        <f t="shared" si="94"/>
        <v>9.6446637434961964E-4</v>
      </c>
      <c r="F373" s="537">
        <f t="shared" si="94"/>
        <v>9.3615416238723855E-4</v>
      </c>
      <c r="G373" s="537">
        <f t="shared" si="94"/>
        <v>9.0784195042485736E-4</v>
      </c>
      <c r="H373" s="537">
        <f t="shared" si="94"/>
        <v>8.7952973846247659E-4</v>
      </c>
      <c r="I373" s="537">
        <f t="shared" si="94"/>
        <v>8.512175265000954E-4</v>
      </c>
      <c r="J373" s="537">
        <f t="shared" si="94"/>
        <v>8.2290531453771442E-4</v>
      </c>
      <c r="K373" s="537">
        <f t="shared" si="94"/>
        <v>7.9459310257533344E-4</v>
      </c>
      <c r="L373" s="537">
        <f t="shared" si="94"/>
        <v>7.6628089061295224E-4</v>
      </c>
      <c r="M373" s="537">
        <f t="shared" si="94"/>
        <v>7.3796867865057116E-4</v>
      </c>
      <c r="N373" s="537">
        <f t="shared" si="94"/>
        <v>7.0965646668819007E-4</v>
      </c>
      <c r="O373" s="537">
        <f t="shared" si="94"/>
        <v>6.813442547258092E-4</v>
      </c>
      <c r="P373" s="537">
        <f t="shared" si="94"/>
        <v>6.5303204276342779E-4</v>
      </c>
      <c r="Q373" s="537">
        <f t="shared" si="94"/>
        <v>6.2471983080104681E-4</v>
      </c>
      <c r="R373" s="537">
        <f t="shared" si="94"/>
        <v>5.9640761883866583E-4</v>
      </c>
      <c r="S373" s="537">
        <f t="shared" si="94"/>
        <v>5.6809540687628474E-4</v>
      </c>
      <c r="T373" s="537">
        <f t="shared" si="94"/>
        <v>5.3978319491390387E-4</v>
      </c>
      <c r="U373" s="537">
        <f t="shared" si="94"/>
        <v>5.1147098295152257E-4</v>
      </c>
      <c r="V373" s="537">
        <f t="shared" si="94"/>
        <v>4.8315877098914142E-4</v>
      </c>
      <c r="W373" s="537">
        <f t="shared" si="94"/>
        <v>4.5484655902676055E-4</v>
      </c>
      <c r="X373" s="537">
        <f t="shared" si="94"/>
        <v>4.2653434706437936E-4</v>
      </c>
      <c r="Y373" s="537">
        <f t="shared" si="94"/>
        <v>4.265343470643793E-4</v>
      </c>
      <c r="Z373" s="537">
        <f t="shared" si="94"/>
        <v>4.265343470643793E-4</v>
      </c>
      <c r="AA373" s="537">
        <f t="shared" si="94"/>
        <v>4.2653434706437941E-4</v>
      </c>
      <c r="AB373" s="537">
        <f t="shared" si="94"/>
        <v>4.2653434706437936E-4</v>
      </c>
      <c r="AC373" s="537">
        <f t="shared" si="94"/>
        <v>4.2653434706437925E-4</v>
      </c>
      <c r="AD373" s="537">
        <f t="shared" si="94"/>
        <v>4.2653434706437936E-4</v>
      </c>
      <c r="AE373" s="537">
        <f t="shared" si="94"/>
        <v>4.265343470643793E-4</v>
      </c>
      <c r="AF373" s="537">
        <f t="shared" si="94"/>
        <v>4.2653434706437936E-4</v>
      </c>
      <c r="AG373" s="537">
        <f t="shared" si="94"/>
        <v>4.2653434706437941E-4</v>
      </c>
      <c r="AH373" s="537">
        <f t="shared" si="94"/>
        <v>4.2653434706437936E-4</v>
      </c>
      <c r="AI373" s="537">
        <f t="shared" si="94"/>
        <v>4.2653434706437936E-4</v>
      </c>
      <c r="AJ373" s="537">
        <f t="shared" si="94"/>
        <v>4.2653434706437936E-4</v>
      </c>
      <c r="AK373" s="3"/>
      <c r="AL373" s="3"/>
    </row>
    <row r="374" spans="1:38" s="28" customFormat="1" x14ac:dyDescent="0.4">
      <c r="A374" s="644" t="s">
        <v>144</v>
      </c>
      <c r="B374" s="533" t="s">
        <v>1280</v>
      </c>
      <c r="C374" s="537">
        <f t="shared" ref="C374:AJ374" si="95">$B$541*C333</f>
        <v>1.0008669838884363E-4</v>
      </c>
      <c r="D374" s="537">
        <f t="shared" si="95"/>
        <v>1.0008669838884363E-4</v>
      </c>
      <c r="E374" s="537">
        <f t="shared" si="95"/>
        <v>1.0008669838884363E-4</v>
      </c>
      <c r="F374" s="537">
        <f t="shared" si="95"/>
        <v>9.6826164705839012E-5</v>
      </c>
      <c r="G374" s="537">
        <f t="shared" si="95"/>
        <v>9.3565631022834384E-5</v>
      </c>
      <c r="H374" s="537">
        <f t="shared" si="95"/>
        <v>9.0305097339829797E-5</v>
      </c>
      <c r="I374" s="537">
        <f t="shared" si="95"/>
        <v>8.7044563656825169E-5</v>
      </c>
      <c r="J374" s="537">
        <f t="shared" si="95"/>
        <v>8.3784029973820554E-5</v>
      </c>
      <c r="K374" s="537">
        <f t="shared" si="95"/>
        <v>8.052349629081594E-5</v>
      </c>
      <c r="L374" s="537">
        <f t="shared" si="95"/>
        <v>7.7262962607811339E-5</v>
      </c>
      <c r="M374" s="537">
        <f t="shared" si="95"/>
        <v>7.4002428924806711E-5</v>
      </c>
      <c r="N374" s="537">
        <f t="shared" si="95"/>
        <v>7.0741895241802096E-5</v>
      </c>
      <c r="O374" s="537">
        <f t="shared" si="95"/>
        <v>6.7481361558797482E-5</v>
      </c>
      <c r="P374" s="537">
        <f t="shared" si="95"/>
        <v>6.4220827875792881E-5</v>
      </c>
      <c r="Q374" s="537">
        <f t="shared" si="95"/>
        <v>6.096029419278826E-5</v>
      </c>
      <c r="R374" s="537">
        <f t="shared" si="95"/>
        <v>5.7699760509783652E-5</v>
      </c>
      <c r="S374" s="537">
        <f t="shared" si="95"/>
        <v>5.4439226826779031E-5</v>
      </c>
      <c r="T374" s="537">
        <f t="shared" si="95"/>
        <v>5.1178693143774437E-5</v>
      </c>
      <c r="U374" s="537">
        <f t="shared" si="95"/>
        <v>4.7918159460769815E-5</v>
      </c>
      <c r="V374" s="537">
        <f t="shared" si="95"/>
        <v>4.4657625777765201E-5</v>
      </c>
      <c r="W374" s="537">
        <f t="shared" si="95"/>
        <v>4.1397092094760586E-5</v>
      </c>
      <c r="X374" s="537">
        <f t="shared" si="95"/>
        <v>3.8136558411755979E-5</v>
      </c>
      <c r="Y374" s="537">
        <f t="shared" si="95"/>
        <v>3.8136558411755979E-5</v>
      </c>
      <c r="Z374" s="537">
        <f t="shared" si="95"/>
        <v>3.8136558411755979E-5</v>
      </c>
      <c r="AA374" s="537">
        <f t="shared" si="95"/>
        <v>3.8136558411755972E-5</v>
      </c>
      <c r="AB374" s="537">
        <f t="shared" si="95"/>
        <v>3.8136558411755979E-5</v>
      </c>
      <c r="AC374" s="537">
        <f t="shared" si="95"/>
        <v>3.8136558411755979E-5</v>
      </c>
      <c r="AD374" s="537">
        <f t="shared" si="95"/>
        <v>3.8136558411755972E-5</v>
      </c>
      <c r="AE374" s="537">
        <f t="shared" si="95"/>
        <v>3.8136558411755979E-5</v>
      </c>
      <c r="AF374" s="537">
        <f t="shared" si="95"/>
        <v>3.8136558411755979E-5</v>
      </c>
      <c r="AG374" s="537">
        <f t="shared" si="95"/>
        <v>3.8136558411755972E-5</v>
      </c>
      <c r="AH374" s="537">
        <f t="shared" si="95"/>
        <v>3.8136558411755972E-5</v>
      </c>
      <c r="AI374" s="537">
        <f t="shared" si="95"/>
        <v>3.8136558411755979E-5</v>
      </c>
      <c r="AJ374" s="537">
        <f t="shared" si="95"/>
        <v>3.8136558411755979E-5</v>
      </c>
      <c r="AK374" s="3"/>
      <c r="AL374" s="3"/>
    </row>
    <row r="375" spans="1:38" s="28" customFormat="1" x14ac:dyDescent="0.4">
      <c r="A375" s="644" t="s">
        <v>145</v>
      </c>
      <c r="B375" s="533" t="s">
        <v>1280</v>
      </c>
      <c r="C375" s="537">
        <f t="shared" ref="C375:AJ375" si="96">$B$541*C334</f>
        <v>5.2727599626561955E-6</v>
      </c>
      <c r="D375" s="537">
        <f t="shared" si="96"/>
        <v>5.2727599626561955E-6</v>
      </c>
      <c r="E375" s="537">
        <f t="shared" si="96"/>
        <v>5.2727599626561955E-6</v>
      </c>
      <c r="F375" s="537">
        <f t="shared" si="96"/>
        <v>5.4027936159462125E-6</v>
      </c>
      <c r="G375" s="537">
        <f t="shared" si="96"/>
        <v>5.5328272692362277E-6</v>
      </c>
      <c r="H375" s="537">
        <f t="shared" si="96"/>
        <v>5.6628609225262454E-6</v>
      </c>
      <c r="I375" s="537">
        <f t="shared" si="96"/>
        <v>5.792894575816264E-6</v>
      </c>
      <c r="J375" s="537">
        <f t="shared" si="96"/>
        <v>5.9229282291062801E-6</v>
      </c>
      <c r="K375" s="537">
        <f t="shared" si="96"/>
        <v>6.0529618823962961E-6</v>
      </c>
      <c r="L375" s="537">
        <f t="shared" si="96"/>
        <v>6.1829955356863139E-6</v>
      </c>
      <c r="M375" s="537">
        <f t="shared" si="96"/>
        <v>6.3130291889763299E-6</v>
      </c>
      <c r="N375" s="537">
        <f t="shared" si="96"/>
        <v>6.4430628422663477E-6</v>
      </c>
      <c r="O375" s="537">
        <f t="shared" si="96"/>
        <v>6.5730964955563646E-6</v>
      </c>
      <c r="P375" s="537">
        <f t="shared" si="96"/>
        <v>6.7031301488463815E-6</v>
      </c>
      <c r="Q375" s="537">
        <f t="shared" si="96"/>
        <v>6.8331638021363992E-6</v>
      </c>
      <c r="R375" s="537">
        <f t="shared" si="96"/>
        <v>6.9631974554264136E-6</v>
      </c>
      <c r="S375" s="537">
        <f t="shared" si="96"/>
        <v>7.0932311087164314E-6</v>
      </c>
      <c r="T375" s="537">
        <f t="shared" si="96"/>
        <v>7.2232647620064483E-6</v>
      </c>
      <c r="U375" s="537">
        <f t="shared" si="96"/>
        <v>7.3532984152964652E-6</v>
      </c>
      <c r="V375" s="537">
        <f t="shared" si="96"/>
        <v>7.4833320685864829E-6</v>
      </c>
      <c r="W375" s="537">
        <f t="shared" si="96"/>
        <v>7.613365721876499E-6</v>
      </c>
      <c r="X375" s="537">
        <f t="shared" si="96"/>
        <v>7.7433993751665167E-6</v>
      </c>
      <c r="Y375" s="537">
        <f t="shared" si="96"/>
        <v>7.743399375166515E-6</v>
      </c>
      <c r="Z375" s="537">
        <f t="shared" si="96"/>
        <v>7.7433993751665167E-6</v>
      </c>
      <c r="AA375" s="537">
        <f t="shared" si="96"/>
        <v>7.7433993751665167E-6</v>
      </c>
      <c r="AB375" s="537">
        <f t="shared" si="96"/>
        <v>7.7433993751665167E-6</v>
      </c>
      <c r="AC375" s="537">
        <f t="shared" si="96"/>
        <v>7.7433993751665167E-6</v>
      </c>
      <c r="AD375" s="537">
        <f t="shared" si="96"/>
        <v>7.743399375166515E-6</v>
      </c>
      <c r="AE375" s="537">
        <f t="shared" si="96"/>
        <v>7.7433993751665167E-6</v>
      </c>
      <c r="AF375" s="537">
        <f t="shared" si="96"/>
        <v>7.743399375166515E-6</v>
      </c>
      <c r="AG375" s="537">
        <f t="shared" si="96"/>
        <v>7.7433993751665167E-6</v>
      </c>
      <c r="AH375" s="537">
        <f t="shared" si="96"/>
        <v>7.743399375166515E-6</v>
      </c>
      <c r="AI375" s="537">
        <f t="shared" si="96"/>
        <v>7.7433993751665167E-6</v>
      </c>
      <c r="AJ375" s="537">
        <f t="shared" si="96"/>
        <v>7.743399375166515E-6</v>
      </c>
      <c r="AK375" s="3"/>
      <c r="AL375" s="3"/>
    </row>
    <row r="376" spans="1:38" s="28" customFormat="1" x14ac:dyDescent="0.4">
      <c r="A376" s="645" t="s">
        <v>146</v>
      </c>
      <c r="B376" s="533" t="s">
        <v>1280</v>
      </c>
      <c r="C376" s="534">
        <f t="shared" ref="C376:AJ376" si="97">$B$541*C335</f>
        <v>1.4422234484178889E-4</v>
      </c>
      <c r="D376" s="534">
        <f t="shared" si="97"/>
        <v>1.4422234484178889E-4</v>
      </c>
      <c r="E376" s="534">
        <f t="shared" si="97"/>
        <v>1.4422234484178889E-4</v>
      </c>
      <c r="F376" s="534">
        <f t="shared" si="97"/>
        <v>1.4422234484178886E-4</v>
      </c>
      <c r="G376" s="534">
        <f t="shared" si="97"/>
        <v>1.4422234484178886E-4</v>
      </c>
      <c r="H376" s="534">
        <f t="shared" si="97"/>
        <v>1.4422234484178886E-4</v>
      </c>
      <c r="I376" s="534">
        <f t="shared" si="97"/>
        <v>1.4422234484178886E-4</v>
      </c>
      <c r="J376" s="534">
        <f t="shared" si="97"/>
        <v>1.4422234484178889E-4</v>
      </c>
      <c r="K376" s="534">
        <f t="shared" si="97"/>
        <v>1.4422234484178886E-4</v>
      </c>
      <c r="L376" s="534">
        <f t="shared" si="97"/>
        <v>1.4422234484178886E-4</v>
      </c>
      <c r="M376" s="534">
        <f t="shared" si="97"/>
        <v>1.4422234484178889E-4</v>
      </c>
      <c r="N376" s="534">
        <f t="shared" si="97"/>
        <v>1.4422234484178889E-4</v>
      </c>
      <c r="O376" s="534">
        <f t="shared" si="97"/>
        <v>1.4422234484178889E-4</v>
      </c>
      <c r="P376" s="534">
        <f t="shared" si="97"/>
        <v>1.4422234484178889E-4</v>
      </c>
      <c r="Q376" s="534">
        <f t="shared" si="97"/>
        <v>1.4422234484178889E-4</v>
      </c>
      <c r="R376" s="534">
        <f t="shared" si="97"/>
        <v>1.4422234484178892E-4</v>
      </c>
      <c r="S376" s="534">
        <f t="shared" si="97"/>
        <v>1.4422234484178889E-4</v>
      </c>
      <c r="T376" s="534">
        <f t="shared" si="97"/>
        <v>1.4422234484178886E-4</v>
      </c>
      <c r="U376" s="534">
        <f t="shared" si="97"/>
        <v>1.4422234484178889E-4</v>
      </c>
      <c r="V376" s="534">
        <f t="shared" si="97"/>
        <v>1.4422234484178889E-4</v>
      </c>
      <c r="W376" s="534">
        <f t="shared" si="97"/>
        <v>1.4422234484178889E-4</v>
      </c>
      <c r="X376" s="534">
        <f t="shared" si="97"/>
        <v>1.4422234484178889E-4</v>
      </c>
      <c r="Y376" s="534">
        <f t="shared" si="97"/>
        <v>1.4422234484178889E-4</v>
      </c>
      <c r="Z376" s="534">
        <f t="shared" si="97"/>
        <v>1.4422234484178889E-4</v>
      </c>
      <c r="AA376" s="534">
        <f t="shared" si="97"/>
        <v>1.4422234484178886E-4</v>
      </c>
      <c r="AB376" s="534">
        <f t="shared" si="97"/>
        <v>1.4422234484178892E-4</v>
      </c>
      <c r="AC376" s="534">
        <f t="shared" si="97"/>
        <v>1.4422234484178889E-4</v>
      </c>
      <c r="AD376" s="534">
        <f t="shared" si="97"/>
        <v>1.4422234484178889E-4</v>
      </c>
      <c r="AE376" s="534">
        <f t="shared" si="97"/>
        <v>1.4422234484178889E-4</v>
      </c>
      <c r="AF376" s="534">
        <f t="shared" si="97"/>
        <v>1.4422234484178889E-4</v>
      </c>
      <c r="AG376" s="534">
        <f t="shared" si="97"/>
        <v>1.4422234484178889E-4</v>
      </c>
      <c r="AH376" s="534">
        <f t="shared" si="97"/>
        <v>1.4422234484178889E-4</v>
      </c>
      <c r="AI376" s="534">
        <f t="shared" si="97"/>
        <v>1.4422234484178889E-4</v>
      </c>
      <c r="AJ376" s="534">
        <f t="shared" si="97"/>
        <v>1.4422234484178886E-4</v>
      </c>
      <c r="AK376" s="3"/>
      <c r="AL376" s="3"/>
    </row>
    <row r="377" spans="1:38" s="28" customFormat="1" x14ac:dyDescent="0.4">
      <c r="A377" s="570" t="s">
        <v>1063</v>
      </c>
      <c r="B377" s="1151"/>
      <c r="C377" s="1042"/>
      <c r="D377" s="1042"/>
      <c r="E377" s="1042"/>
      <c r="F377" s="1042"/>
      <c r="G377" s="1042"/>
      <c r="H377" s="1042"/>
      <c r="I377" s="1042"/>
      <c r="J377" s="1042"/>
      <c r="K377" s="1042"/>
      <c r="L377" s="1042"/>
      <c r="M377" s="1042"/>
      <c r="N377" s="1042"/>
      <c r="O377" s="1042"/>
      <c r="P377" s="1042"/>
      <c r="Q377" s="1042"/>
      <c r="R377" s="1042"/>
      <c r="S377" s="1042"/>
      <c r="T377" s="1042"/>
      <c r="U377" s="1042"/>
      <c r="V377" s="1042"/>
      <c r="W377" s="1042"/>
      <c r="X377" s="1042"/>
      <c r="Y377" s="1042"/>
      <c r="Z377" s="1042"/>
      <c r="AA377" s="1042"/>
      <c r="AB377" s="1042"/>
      <c r="AC377" s="1042"/>
      <c r="AD377" s="1042"/>
      <c r="AE377" s="1042"/>
      <c r="AF377" s="1042"/>
      <c r="AG377" s="1042"/>
      <c r="AH377" s="1042"/>
      <c r="AI377" s="1042"/>
      <c r="AJ377" s="1042"/>
      <c r="AK377" s="3"/>
      <c r="AL377" s="3"/>
    </row>
    <row r="378" spans="1:38" s="28" customFormat="1" x14ac:dyDescent="0.4">
      <c r="A378" s="581"/>
      <c r="B378" s="581"/>
      <c r="C378" s="89"/>
      <c r="D378" s="89"/>
      <c r="E378" s="89"/>
      <c r="F378" s="89"/>
      <c r="G378" s="89"/>
      <c r="H378" s="89"/>
      <c r="I378" s="89"/>
      <c r="J378" s="89"/>
      <c r="K378" s="89"/>
      <c r="L378" s="89"/>
      <c r="M378" s="89"/>
      <c r="N378" s="89"/>
      <c r="O378" s="89"/>
      <c r="P378" s="89"/>
      <c r="Q378" s="89"/>
      <c r="R378" s="89"/>
      <c r="S378" s="89"/>
      <c r="T378" s="89"/>
      <c r="U378" s="89"/>
      <c r="V378" s="89"/>
      <c r="W378" s="89"/>
      <c r="X378" s="89"/>
      <c r="Y378" s="89"/>
      <c r="Z378" s="89"/>
      <c r="AA378" s="89"/>
      <c r="AB378" s="89"/>
      <c r="AC378" s="89"/>
      <c r="AD378" s="89"/>
      <c r="AE378" s="89"/>
      <c r="AF378" s="89"/>
      <c r="AG378" s="89"/>
      <c r="AH378" s="89"/>
      <c r="AI378" s="89"/>
      <c r="AJ378" s="89"/>
      <c r="AK378" s="3"/>
      <c r="AL378" s="3"/>
    </row>
    <row r="379" spans="1:38" s="28" customFormat="1" ht="17" x14ac:dyDescent="0.4">
      <c r="A379" s="659" t="s">
        <v>1570</v>
      </c>
      <c r="B379" s="581"/>
      <c r="C379" s="89"/>
      <c r="D379" s="89"/>
      <c r="E379" s="89"/>
      <c r="F379" s="89"/>
      <c r="G379" s="89"/>
      <c r="H379" s="89"/>
      <c r="I379" s="89"/>
      <c r="J379" s="89"/>
      <c r="K379" s="89"/>
      <c r="L379" s="89"/>
      <c r="M379" s="89"/>
      <c r="N379" s="89"/>
      <c r="O379" s="89"/>
      <c r="P379" s="89"/>
      <c r="Q379" s="89"/>
      <c r="R379" s="89"/>
      <c r="S379" s="89"/>
      <c r="T379" s="89"/>
      <c r="U379" s="89"/>
      <c r="V379" s="89"/>
      <c r="W379" s="89"/>
      <c r="X379" s="89"/>
      <c r="Y379" s="89"/>
      <c r="Z379" s="89"/>
      <c r="AA379" s="89"/>
      <c r="AB379" s="89"/>
      <c r="AC379" s="89"/>
      <c r="AD379" s="89"/>
      <c r="AE379" s="89"/>
      <c r="AF379" s="89"/>
      <c r="AG379" s="89"/>
      <c r="AH379" s="89"/>
      <c r="AI379" s="89"/>
      <c r="AJ379" s="89"/>
      <c r="AK379" s="3"/>
      <c r="AL379" s="3"/>
    </row>
    <row r="380" spans="1:38" s="28" customFormat="1" x14ac:dyDescent="0.4">
      <c r="A380" s="42" t="s">
        <v>795</v>
      </c>
      <c r="B380" s="1140" t="s">
        <v>136</v>
      </c>
      <c r="C380" s="1159" t="s">
        <v>391</v>
      </c>
      <c r="D380" s="1159" t="s">
        <v>392</v>
      </c>
      <c r="E380" s="1159" t="s">
        <v>393</v>
      </c>
      <c r="F380" s="1159" t="s">
        <v>394</v>
      </c>
      <c r="G380" s="1159" t="s">
        <v>395</v>
      </c>
      <c r="H380" s="1159" t="s">
        <v>396</v>
      </c>
      <c r="I380" s="1159" t="s">
        <v>397</v>
      </c>
      <c r="J380" s="1159" t="s">
        <v>398</v>
      </c>
      <c r="K380" s="1159" t="s">
        <v>399</v>
      </c>
      <c r="L380" s="1159" t="s">
        <v>400</v>
      </c>
      <c r="M380" s="1159" t="s">
        <v>401</v>
      </c>
      <c r="N380" s="1159" t="s">
        <v>402</v>
      </c>
      <c r="O380" s="1159" t="s">
        <v>403</v>
      </c>
      <c r="P380" s="1159" t="s">
        <v>404</v>
      </c>
      <c r="Q380" s="1159" t="s">
        <v>405</v>
      </c>
      <c r="R380" s="1159" t="s">
        <v>406</v>
      </c>
      <c r="S380" s="1159" t="s">
        <v>407</v>
      </c>
      <c r="T380" s="1159" t="s">
        <v>408</v>
      </c>
      <c r="U380" s="1159" t="s">
        <v>409</v>
      </c>
      <c r="V380" s="1159" t="s">
        <v>410</v>
      </c>
      <c r="W380" s="1159" t="s">
        <v>411</v>
      </c>
      <c r="X380" s="1159" t="s">
        <v>412</v>
      </c>
      <c r="Y380" s="1159" t="s">
        <v>413</v>
      </c>
      <c r="Z380" s="1159" t="s">
        <v>414</v>
      </c>
      <c r="AA380" s="1159" t="s">
        <v>415</v>
      </c>
      <c r="AB380" s="1159" t="s">
        <v>416</v>
      </c>
      <c r="AC380" s="1159" t="s">
        <v>417</v>
      </c>
      <c r="AD380" s="1159" t="s">
        <v>418</v>
      </c>
      <c r="AE380" s="1159" t="s">
        <v>419</v>
      </c>
      <c r="AF380" s="1159" t="s">
        <v>420</v>
      </c>
      <c r="AG380" s="987" t="s">
        <v>421</v>
      </c>
      <c r="AH380" s="1159" t="s">
        <v>422</v>
      </c>
      <c r="AI380" s="1159" t="s">
        <v>423</v>
      </c>
      <c r="AJ380" s="1159" t="s">
        <v>424</v>
      </c>
      <c r="AK380" s="3"/>
      <c r="AL380" s="3"/>
    </row>
    <row r="381" spans="1:38" s="28" customFormat="1" x14ac:dyDescent="0.4">
      <c r="A381" s="646" t="s">
        <v>993</v>
      </c>
      <c r="B381" s="532" t="s">
        <v>1281</v>
      </c>
      <c r="C381" s="537">
        <f t="shared" ref="C381:AJ381" si="98">$B$541*C340</f>
        <v>0.89317363297644548</v>
      </c>
      <c r="D381" s="537">
        <f t="shared" si="98"/>
        <v>0.89317363297644548</v>
      </c>
      <c r="E381" s="537">
        <f t="shared" si="98"/>
        <v>0.89317363297644536</v>
      </c>
      <c r="F381" s="537">
        <f t="shared" si="98"/>
        <v>0.84948493967091199</v>
      </c>
      <c r="G381" s="537">
        <f t="shared" si="98"/>
        <v>0.80579624636537828</v>
      </c>
      <c r="H381" s="537">
        <f t="shared" si="98"/>
        <v>0.76210755305984457</v>
      </c>
      <c r="I381" s="537">
        <f t="shared" si="98"/>
        <v>0.71841885975431086</v>
      </c>
      <c r="J381" s="537">
        <f t="shared" si="98"/>
        <v>0.67473016644877726</v>
      </c>
      <c r="K381" s="537">
        <f t="shared" si="98"/>
        <v>0.63104147314324366</v>
      </c>
      <c r="L381" s="537">
        <f t="shared" si="98"/>
        <v>0.58735277983770995</v>
      </c>
      <c r="M381" s="537">
        <f t="shared" si="98"/>
        <v>0.54366408653217624</v>
      </c>
      <c r="N381" s="537">
        <f t="shared" si="98"/>
        <v>0.49997539322664264</v>
      </c>
      <c r="O381" s="537">
        <f t="shared" si="98"/>
        <v>0.45628669992110904</v>
      </c>
      <c r="P381" s="537">
        <f t="shared" si="98"/>
        <v>0.41259800661557527</v>
      </c>
      <c r="Q381" s="537">
        <f t="shared" si="98"/>
        <v>0.36890931331004173</v>
      </c>
      <c r="R381" s="537">
        <f t="shared" si="98"/>
        <v>0.32522062000450808</v>
      </c>
      <c r="S381" s="537">
        <f t="shared" si="98"/>
        <v>0.28153192669897442</v>
      </c>
      <c r="T381" s="537">
        <f t="shared" si="98"/>
        <v>0.23784323339344077</v>
      </c>
      <c r="U381" s="537">
        <f t="shared" si="98"/>
        <v>0.19415454008790708</v>
      </c>
      <c r="V381" s="537">
        <f t="shared" si="98"/>
        <v>0.15046584678237343</v>
      </c>
      <c r="W381" s="537">
        <f t="shared" si="98"/>
        <v>0.10677715347683982</v>
      </c>
      <c r="X381" s="537">
        <f t="shared" si="98"/>
        <v>6.3088460171306218E-2</v>
      </c>
      <c r="Y381" s="537">
        <f t="shared" si="98"/>
        <v>6.3088460171306218E-2</v>
      </c>
      <c r="Z381" s="537">
        <f t="shared" si="98"/>
        <v>6.3088460171306232E-2</v>
      </c>
      <c r="AA381" s="537">
        <f t="shared" si="98"/>
        <v>6.3088460171306204E-2</v>
      </c>
      <c r="AB381" s="537">
        <f t="shared" si="98"/>
        <v>6.3088460171306218E-2</v>
      </c>
      <c r="AC381" s="537">
        <f t="shared" si="98"/>
        <v>6.3088460171306218E-2</v>
      </c>
      <c r="AD381" s="537">
        <f t="shared" si="98"/>
        <v>6.3088460171306204E-2</v>
      </c>
      <c r="AE381" s="537">
        <f t="shared" si="98"/>
        <v>6.3088460171306204E-2</v>
      </c>
      <c r="AF381" s="537">
        <f t="shared" si="98"/>
        <v>6.3088460171306204E-2</v>
      </c>
      <c r="AG381" s="537">
        <f t="shared" si="98"/>
        <v>6.3088460171306204E-2</v>
      </c>
      <c r="AH381" s="537">
        <f t="shared" si="98"/>
        <v>6.3088460171306204E-2</v>
      </c>
      <c r="AI381" s="537">
        <f t="shared" si="98"/>
        <v>6.3088460171306204E-2</v>
      </c>
      <c r="AJ381" s="537">
        <f t="shared" si="98"/>
        <v>6.3088460171306218E-2</v>
      </c>
      <c r="AK381" s="3"/>
      <c r="AL381" s="3"/>
    </row>
    <row r="382" spans="1:38" s="28" customFormat="1" x14ac:dyDescent="0.4">
      <c r="A382" s="644" t="s">
        <v>994</v>
      </c>
      <c r="B382" s="532" t="s">
        <v>1281</v>
      </c>
      <c r="C382" s="537">
        <f t="shared" ref="C382:AJ382" si="99">$B$541*C341</f>
        <v>0.47490210963597435</v>
      </c>
      <c r="D382" s="537">
        <f t="shared" si="99"/>
        <v>0.47490210963597435</v>
      </c>
      <c r="E382" s="537">
        <f t="shared" si="99"/>
        <v>0.47490210963597429</v>
      </c>
      <c r="F382" s="537">
        <f t="shared" si="99"/>
        <v>0.45144983082384771</v>
      </c>
      <c r="G382" s="537">
        <f t="shared" si="99"/>
        <v>0.42799755201172085</v>
      </c>
      <c r="H382" s="537">
        <f t="shared" si="99"/>
        <v>0.40454527319959427</v>
      </c>
      <c r="I382" s="537">
        <f t="shared" si="99"/>
        <v>0.38109299438746758</v>
      </c>
      <c r="J382" s="537">
        <f t="shared" si="99"/>
        <v>0.35764071557534088</v>
      </c>
      <c r="K382" s="537">
        <f t="shared" si="99"/>
        <v>0.3341884367632143</v>
      </c>
      <c r="L382" s="537">
        <f t="shared" si="99"/>
        <v>0.31073615795108761</v>
      </c>
      <c r="M382" s="537">
        <f t="shared" si="99"/>
        <v>0.28728387913896092</v>
      </c>
      <c r="N382" s="537">
        <f t="shared" si="99"/>
        <v>0.26383160032683423</v>
      </c>
      <c r="O382" s="537">
        <f t="shared" si="99"/>
        <v>0.24037932151470759</v>
      </c>
      <c r="P382" s="537">
        <f t="shared" si="99"/>
        <v>0.21692704270258087</v>
      </c>
      <c r="Q382" s="537">
        <f t="shared" si="99"/>
        <v>0.1934747638904542</v>
      </c>
      <c r="R382" s="537">
        <f t="shared" si="99"/>
        <v>0.17002248507832754</v>
      </c>
      <c r="S382" s="537">
        <f t="shared" si="99"/>
        <v>0.14657020626620088</v>
      </c>
      <c r="T382" s="537">
        <f t="shared" si="99"/>
        <v>0.12311792745407417</v>
      </c>
      <c r="U382" s="537">
        <f t="shared" si="99"/>
        <v>9.9665648641947518E-2</v>
      </c>
      <c r="V382" s="537">
        <f t="shared" si="99"/>
        <v>7.6213369829820854E-2</v>
      </c>
      <c r="W382" s="537">
        <f t="shared" si="99"/>
        <v>5.2761091017694127E-2</v>
      </c>
      <c r="X382" s="537">
        <f t="shared" si="99"/>
        <v>2.9308812205567455E-2</v>
      </c>
      <c r="Y382" s="537">
        <f t="shared" si="99"/>
        <v>2.9308812205567455E-2</v>
      </c>
      <c r="Z382" s="537">
        <f t="shared" si="99"/>
        <v>2.9308812205567459E-2</v>
      </c>
      <c r="AA382" s="537">
        <f t="shared" si="99"/>
        <v>2.9308812205567455E-2</v>
      </c>
      <c r="AB382" s="537">
        <f t="shared" si="99"/>
        <v>2.9308812205567459E-2</v>
      </c>
      <c r="AC382" s="537">
        <f t="shared" si="99"/>
        <v>2.9308812205567455E-2</v>
      </c>
      <c r="AD382" s="537">
        <f t="shared" si="99"/>
        <v>2.9308812205567452E-2</v>
      </c>
      <c r="AE382" s="537">
        <f t="shared" si="99"/>
        <v>2.9308812205567455E-2</v>
      </c>
      <c r="AF382" s="537">
        <f t="shared" si="99"/>
        <v>2.9308812205567455E-2</v>
      </c>
      <c r="AG382" s="537">
        <f t="shared" si="99"/>
        <v>2.9308812205567452E-2</v>
      </c>
      <c r="AH382" s="537">
        <f t="shared" si="99"/>
        <v>2.9308812205567455E-2</v>
      </c>
      <c r="AI382" s="537">
        <f t="shared" si="99"/>
        <v>2.9308812205567455E-2</v>
      </c>
      <c r="AJ382" s="537">
        <f t="shared" si="99"/>
        <v>2.9308812205567455E-2</v>
      </c>
      <c r="AK382" s="3"/>
      <c r="AL382" s="3"/>
    </row>
    <row r="383" spans="1:38" s="28" customFormat="1" x14ac:dyDescent="0.4">
      <c r="A383" s="644" t="s">
        <v>995</v>
      </c>
      <c r="B383" s="532" t="s">
        <v>1281</v>
      </c>
      <c r="C383" s="537">
        <f t="shared" ref="C383:AJ383" si="100">$B$541*C342</f>
        <v>2.1410335695931485E-2</v>
      </c>
      <c r="D383" s="537">
        <f t="shared" si="100"/>
        <v>2.1410335695931478E-2</v>
      </c>
      <c r="E383" s="537">
        <f t="shared" si="100"/>
        <v>2.1410335695931478E-2</v>
      </c>
      <c r="F383" s="537">
        <f t="shared" si="100"/>
        <v>2.1410335695931478E-2</v>
      </c>
      <c r="G383" s="537">
        <f t="shared" si="100"/>
        <v>2.1410335695931478E-2</v>
      </c>
      <c r="H383" s="537">
        <f t="shared" si="100"/>
        <v>2.1410335695931478E-2</v>
      </c>
      <c r="I383" s="537">
        <f t="shared" si="100"/>
        <v>2.1410335695931478E-2</v>
      </c>
      <c r="J383" s="537">
        <f t="shared" si="100"/>
        <v>2.1410335695931478E-2</v>
      </c>
      <c r="K383" s="537">
        <f t="shared" si="100"/>
        <v>2.1410335695931478E-2</v>
      </c>
      <c r="L383" s="537">
        <f t="shared" si="100"/>
        <v>2.1410335695931478E-2</v>
      </c>
      <c r="M383" s="537">
        <f t="shared" si="100"/>
        <v>2.1410335695931475E-2</v>
      </c>
      <c r="N383" s="537">
        <f t="shared" si="100"/>
        <v>2.1410335695931478E-2</v>
      </c>
      <c r="O383" s="537">
        <f t="shared" si="100"/>
        <v>2.1410335695931478E-2</v>
      </c>
      <c r="P383" s="537">
        <f t="shared" si="100"/>
        <v>2.1410335695931478E-2</v>
      </c>
      <c r="Q383" s="537">
        <f t="shared" si="100"/>
        <v>2.1410335695931478E-2</v>
      </c>
      <c r="R383" s="537">
        <f t="shared" si="100"/>
        <v>2.1410335695931485E-2</v>
      </c>
      <c r="S383" s="537">
        <f t="shared" si="100"/>
        <v>2.1410335695931478E-2</v>
      </c>
      <c r="T383" s="537">
        <f t="shared" si="100"/>
        <v>2.1410335695931485E-2</v>
      </c>
      <c r="U383" s="537">
        <f t="shared" si="100"/>
        <v>2.1410335695931475E-2</v>
      </c>
      <c r="V383" s="537">
        <f t="shared" si="100"/>
        <v>2.1410335695931478E-2</v>
      </c>
      <c r="W383" s="537">
        <f t="shared" si="100"/>
        <v>2.1410335695931475E-2</v>
      </c>
      <c r="X383" s="537">
        <f t="shared" si="100"/>
        <v>2.1410335695931475E-2</v>
      </c>
      <c r="Y383" s="537">
        <f t="shared" si="100"/>
        <v>2.1410335695931475E-2</v>
      </c>
      <c r="Z383" s="537">
        <f t="shared" si="100"/>
        <v>2.1410335695931485E-2</v>
      </c>
      <c r="AA383" s="537">
        <f t="shared" si="100"/>
        <v>2.1410335695931478E-2</v>
      </c>
      <c r="AB383" s="537">
        <f t="shared" si="100"/>
        <v>2.1410335695931478E-2</v>
      </c>
      <c r="AC383" s="537">
        <f t="shared" si="100"/>
        <v>2.1410335695931485E-2</v>
      </c>
      <c r="AD383" s="537">
        <f t="shared" si="100"/>
        <v>2.1410335695931478E-2</v>
      </c>
      <c r="AE383" s="537">
        <f t="shared" si="100"/>
        <v>2.1410335695931478E-2</v>
      </c>
      <c r="AF383" s="537">
        <f t="shared" si="100"/>
        <v>2.1410335695931478E-2</v>
      </c>
      <c r="AG383" s="537">
        <f t="shared" si="100"/>
        <v>2.1410335695931478E-2</v>
      </c>
      <c r="AH383" s="537">
        <f t="shared" si="100"/>
        <v>2.1410335695931485E-2</v>
      </c>
      <c r="AI383" s="537">
        <f t="shared" si="100"/>
        <v>2.1410335695931478E-2</v>
      </c>
      <c r="AJ383" s="537">
        <f t="shared" si="100"/>
        <v>2.1410335695931475E-2</v>
      </c>
      <c r="AK383" s="3"/>
      <c r="AL383" s="3"/>
    </row>
    <row r="384" spans="1:38" s="28" customFormat="1" x14ac:dyDescent="0.4">
      <c r="A384" s="644" t="s">
        <v>148</v>
      </c>
      <c r="B384" s="532" t="s">
        <v>1281</v>
      </c>
      <c r="C384" s="537">
        <f t="shared" ref="C384:AJ384" si="101">$B$541*C343</f>
        <v>0.80425367730192732</v>
      </c>
      <c r="D384" s="537">
        <f t="shared" si="101"/>
        <v>0.80425367730192743</v>
      </c>
      <c r="E384" s="537">
        <f t="shared" si="101"/>
        <v>0.80425367730192743</v>
      </c>
      <c r="F384" s="537">
        <f t="shared" si="101"/>
        <v>0.76327101616702353</v>
      </c>
      <c r="G384" s="537">
        <f t="shared" si="101"/>
        <v>0.72228835503212008</v>
      </c>
      <c r="H384" s="537">
        <f t="shared" si="101"/>
        <v>0.68130569389721618</v>
      </c>
      <c r="I384" s="537">
        <f t="shared" si="101"/>
        <v>0.64032303276231284</v>
      </c>
      <c r="J384" s="537">
        <f t="shared" si="101"/>
        <v>0.59934037162740905</v>
      </c>
      <c r="K384" s="537">
        <f t="shared" si="101"/>
        <v>0.55835771049250549</v>
      </c>
      <c r="L384" s="537">
        <f t="shared" si="101"/>
        <v>0.51737504935760181</v>
      </c>
      <c r="M384" s="537">
        <f t="shared" si="101"/>
        <v>0.47639238822269814</v>
      </c>
      <c r="N384" s="537">
        <f t="shared" si="101"/>
        <v>0.43540972708779435</v>
      </c>
      <c r="O384" s="537">
        <f t="shared" si="101"/>
        <v>0.39442706595289084</v>
      </c>
      <c r="P384" s="537">
        <f t="shared" si="101"/>
        <v>0.35344440481798733</v>
      </c>
      <c r="Q384" s="537">
        <f t="shared" si="101"/>
        <v>0.31246174368308349</v>
      </c>
      <c r="R384" s="537">
        <f t="shared" si="101"/>
        <v>0.27147908254817987</v>
      </c>
      <c r="S384" s="537">
        <f t="shared" si="101"/>
        <v>0.23049642141327631</v>
      </c>
      <c r="T384" s="537">
        <f t="shared" si="101"/>
        <v>0.18951376027837261</v>
      </c>
      <c r="U384" s="537">
        <f t="shared" si="101"/>
        <v>0.14853109914346901</v>
      </c>
      <c r="V384" s="537">
        <f t="shared" si="101"/>
        <v>0.10754843800856534</v>
      </c>
      <c r="W384" s="537">
        <f t="shared" si="101"/>
        <v>6.6565776873661719E-2</v>
      </c>
      <c r="X384" s="537">
        <f t="shared" si="101"/>
        <v>2.5583115738758037E-2</v>
      </c>
      <c r="Y384" s="537">
        <f t="shared" si="101"/>
        <v>2.5583115738758037E-2</v>
      </c>
      <c r="Z384" s="537">
        <f t="shared" si="101"/>
        <v>2.5583115738758034E-2</v>
      </c>
      <c r="AA384" s="537">
        <f t="shared" si="101"/>
        <v>2.5583115738758037E-2</v>
      </c>
      <c r="AB384" s="537">
        <f t="shared" si="101"/>
        <v>2.5583115738758037E-2</v>
      </c>
      <c r="AC384" s="537">
        <f t="shared" si="101"/>
        <v>2.5583115738758037E-2</v>
      </c>
      <c r="AD384" s="537">
        <f t="shared" si="101"/>
        <v>2.5583115738758037E-2</v>
      </c>
      <c r="AE384" s="537">
        <f t="shared" si="101"/>
        <v>2.5583115738758037E-2</v>
      </c>
      <c r="AF384" s="537">
        <f t="shared" si="101"/>
        <v>2.5583115738758037E-2</v>
      </c>
      <c r="AG384" s="537">
        <f t="shared" si="101"/>
        <v>2.5583115738758037E-2</v>
      </c>
      <c r="AH384" s="537">
        <f t="shared" si="101"/>
        <v>2.5583115738758041E-2</v>
      </c>
      <c r="AI384" s="537">
        <f t="shared" si="101"/>
        <v>2.5583115738758037E-2</v>
      </c>
      <c r="AJ384" s="537">
        <f t="shared" si="101"/>
        <v>2.5583115738758037E-2</v>
      </c>
      <c r="AK384" s="3"/>
      <c r="AL384" s="3"/>
    </row>
    <row r="385" spans="1:38" s="28" customFormat="1" x14ac:dyDescent="0.4">
      <c r="A385" s="644" t="s">
        <v>149</v>
      </c>
      <c r="B385" s="532" t="s">
        <v>1281</v>
      </c>
      <c r="C385" s="537">
        <f t="shared" ref="C385:AJ385" si="102">$B$541*C344</f>
        <v>6.4578738758029998E-3</v>
      </c>
      <c r="D385" s="537">
        <f t="shared" si="102"/>
        <v>6.457873875802999E-3</v>
      </c>
      <c r="E385" s="537">
        <f t="shared" si="102"/>
        <v>6.4578738758029981E-3</v>
      </c>
      <c r="F385" s="537">
        <f t="shared" si="102"/>
        <v>6.196421492167252E-3</v>
      </c>
      <c r="G385" s="537">
        <f t="shared" si="102"/>
        <v>5.9349691085315006E-3</v>
      </c>
      <c r="H385" s="537">
        <f t="shared" si="102"/>
        <v>5.6735167248957528E-3</v>
      </c>
      <c r="I385" s="537">
        <f t="shared" si="102"/>
        <v>5.4120643412600032E-3</v>
      </c>
      <c r="J385" s="537">
        <f t="shared" si="102"/>
        <v>5.1506119576242553E-3</v>
      </c>
      <c r="K385" s="537">
        <f t="shared" si="102"/>
        <v>4.8891595739885049E-3</v>
      </c>
      <c r="L385" s="537">
        <f t="shared" si="102"/>
        <v>4.6277071903527561E-3</v>
      </c>
      <c r="M385" s="537">
        <f t="shared" si="102"/>
        <v>4.3662548067170074E-3</v>
      </c>
      <c r="N385" s="537">
        <f t="shared" si="102"/>
        <v>4.1048024230812595E-3</v>
      </c>
      <c r="O385" s="537">
        <f t="shared" si="102"/>
        <v>3.8433500394455091E-3</v>
      </c>
      <c r="P385" s="537">
        <f t="shared" si="102"/>
        <v>3.5818976558097603E-3</v>
      </c>
      <c r="Q385" s="537">
        <f t="shared" si="102"/>
        <v>3.3204452721740116E-3</v>
      </c>
      <c r="R385" s="537">
        <f t="shared" si="102"/>
        <v>3.0589928885382633E-3</v>
      </c>
      <c r="S385" s="537">
        <f t="shared" si="102"/>
        <v>2.7975405049025146E-3</v>
      </c>
      <c r="T385" s="537">
        <f t="shared" si="102"/>
        <v>2.536088121266765E-3</v>
      </c>
      <c r="U385" s="537">
        <f t="shared" si="102"/>
        <v>2.2746357376310163E-3</v>
      </c>
      <c r="V385" s="537">
        <f t="shared" si="102"/>
        <v>2.0131833539952671E-3</v>
      </c>
      <c r="W385" s="537">
        <f t="shared" si="102"/>
        <v>1.7517309703595186E-3</v>
      </c>
      <c r="X385" s="537">
        <f t="shared" si="102"/>
        <v>1.490278586723769E-3</v>
      </c>
      <c r="Y385" s="537">
        <f t="shared" si="102"/>
        <v>1.490278586723769E-3</v>
      </c>
      <c r="Z385" s="537">
        <f t="shared" si="102"/>
        <v>1.490278586723769E-3</v>
      </c>
      <c r="AA385" s="537">
        <f t="shared" si="102"/>
        <v>1.490278586723769E-3</v>
      </c>
      <c r="AB385" s="537">
        <f t="shared" si="102"/>
        <v>1.4902785867237688E-3</v>
      </c>
      <c r="AC385" s="537">
        <f t="shared" si="102"/>
        <v>1.4902785867237688E-3</v>
      </c>
      <c r="AD385" s="537">
        <f t="shared" si="102"/>
        <v>1.490278586723769E-3</v>
      </c>
      <c r="AE385" s="537">
        <f t="shared" si="102"/>
        <v>1.490278586723769E-3</v>
      </c>
      <c r="AF385" s="537">
        <f t="shared" si="102"/>
        <v>1.490278586723769E-3</v>
      </c>
      <c r="AG385" s="537">
        <f t="shared" si="102"/>
        <v>1.4902785867237688E-3</v>
      </c>
      <c r="AH385" s="537">
        <f t="shared" si="102"/>
        <v>1.490278586723769E-3</v>
      </c>
      <c r="AI385" s="537">
        <f t="shared" si="102"/>
        <v>1.4902785867237688E-3</v>
      </c>
      <c r="AJ385" s="537">
        <f t="shared" si="102"/>
        <v>1.4902785867237688E-3</v>
      </c>
      <c r="AK385" s="3"/>
      <c r="AL385" s="3"/>
    </row>
    <row r="386" spans="1:38" s="28" customFormat="1" x14ac:dyDescent="0.4">
      <c r="A386" s="644" t="s">
        <v>150</v>
      </c>
      <c r="B386" s="532" t="s">
        <v>1281</v>
      </c>
      <c r="C386" s="537">
        <f t="shared" ref="C386:AJ386" si="103">$B$541*C345</f>
        <v>0.20118760920770873</v>
      </c>
      <c r="D386" s="537">
        <f t="shared" si="103"/>
        <v>0.20118760920770876</v>
      </c>
      <c r="E386" s="537">
        <f t="shared" si="103"/>
        <v>0.20118760920770873</v>
      </c>
      <c r="F386" s="537">
        <f t="shared" si="103"/>
        <v>0.19082102219655134</v>
      </c>
      <c r="G386" s="537">
        <f t="shared" si="103"/>
        <v>0.18045443518539386</v>
      </c>
      <c r="H386" s="537">
        <f t="shared" si="103"/>
        <v>0.17008784817423647</v>
      </c>
      <c r="I386" s="537">
        <f t="shared" si="103"/>
        <v>0.15972126116307903</v>
      </c>
      <c r="J386" s="537">
        <f t="shared" si="103"/>
        <v>0.14935467415192158</v>
      </c>
      <c r="K386" s="537">
        <f t="shared" si="103"/>
        <v>0.13898808714076413</v>
      </c>
      <c r="L386" s="537">
        <f t="shared" si="103"/>
        <v>0.12862150012960669</v>
      </c>
      <c r="M386" s="537">
        <f t="shared" si="103"/>
        <v>0.11825491311844924</v>
      </c>
      <c r="N386" s="537">
        <f t="shared" si="103"/>
        <v>0.10788832610729178</v>
      </c>
      <c r="O386" s="537">
        <f t="shared" si="103"/>
        <v>9.7521739096134361E-2</v>
      </c>
      <c r="P386" s="537">
        <f t="shared" si="103"/>
        <v>8.71551520849769E-2</v>
      </c>
      <c r="Q386" s="537">
        <f t="shared" si="103"/>
        <v>7.678856507381944E-2</v>
      </c>
      <c r="R386" s="537">
        <f t="shared" si="103"/>
        <v>6.6421978062662049E-2</v>
      </c>
      <c r="S386" s="537">
        <f t="shared" si="103"/>
        <v>5.6055391051504588E-2</v>
      </c>
      <c r="T386" s="537">
        <f t="shared" si="103"/>
        <v>4.5688804040347142E-2</v>
      </c>
      <c r="U386" s="537">
        <f t="shared" si="103"/>
        <v>3.5322217029189702E-2</v>
      </c>
      <c r="V386" s="537">
        <f t="shared" si="103"/>
        <v>2.4955630018032249E-2</v>
      </c>
      <c r="W386" s="537">
        <f t="shared" si="103"/>
        <v>1.4589043006874806E-2</v>
      </c>
      <c r="X386" s="537">
        <f t="shared" si="103"/>
        <v>4.2224559957173453E-3</v>
      </c>
      <c r="Y386" s="537">
        <f t="shared" si="103"/>
        <v>4.2224559957173445E-3</v>
      </c>
      <c r="Z386" s="537">
        <f t="shared" si="103"/>
        <v>4.2224559957173453E-3</v>
      </c>
      <c r="AA386" s="537">
        <f t="shared" si="103"/>
        <v>4.2224559957173453E-3</v>
      </c>
      <c r="AB386" s="537">
        <f t="shared" si="103"/>
        <v>4.2224559957173453E-3</v>
      </c>
      <c r="AC386" s="537">
        <f t="shared" si="103"/>
        <v>4.2224559957173453E-3</v>
      </c>
      <c r="AD386" s="537">
        <f t="shared" si="103"/>
        <v>4.2224559957173445E-3</v>
      </c>
      <c r="AE386" s="537">
        <f t="shared" si="103"/>
        <v>4.2224559957173445E-3</v>
      </c>
      <c r="AF386" s="537">
        <f t="shared" si="103"/>
        <v>4.2224559957173453E-3</v>
      </c>
      <c r="AG386" s="537">
        <f t="shared" si="103"/>
        <v>4.2224559957173453E-3</v>
      </c>
      <c r="AH386" s="537">
        <f t="shared" si="103"/>
        <v>4.2224559957173453E-3</v>
      </c>
      <c r="AI386" s="537">
        <f t="shared" si="103"/>
        <v>4.2224559957173445E-3</v>
      </c>
      <c r="AJ386" s="537">
        <f t="shared" si="103"/>
        <v>4.2224559957173445E-3</v>
      </c>
      <c r="AK386" s="3"/>
      <c r="AL386" s="3"/>
    </row>
    <row r="387" spans="1:38" s="28" customFormat="1" x14ac:dyDescent="0.4">
      <c r="A387" s="644" t="s">
        <v>151</v>
      </c>
      <c r="B387" s="532" t="s">
        <v>1281</v>
      </c>
      <c r="C387" s="537">
        <f t="shared" ref="C387:AJ387" si="104">$B$541*C346</f>
        <v>8.9416715203426112E-4</v>
      </c>
      <c r="D387" s="537">
        <f t="shared" si="104"/>
        <v>8.9416715203426123E-4</v>
      </c>
      <c r="E387" s="537">
        <f t="shared" si="104"/>
        <v>8.9416715203426123E-4</v>
      </c>
      <c r="F387" s="537">
        <f t="shared" si="104"/>
        <v>9.2554143807055129E-4</v>
      </c>
      <c r="G387" s="537">
        <f t="shared" si="104"/>
        <v>9.5691572410684081E-4</v>
      </c>
      <c r="H387" s="537">
        <f t="shared" si="104"/>
        <v>9.8829001014313065E-4</v>
      </c>
      <c r="I387" s="537">
        <f t="shared" si="104"/>
        <v>1.0196642961794208E-3</v>
      </c>
      <c r="J387" s="537">
        <f t="shared" si="104"/>
        <v>1.0510385822157108E-3</v>
      </c>
      <c r="K387" s="537">
        <f t="shared" si="104"/>
        <v>1.0824128682520007E-3</v>
      </c>
      <c r="L387" s="537">
        <f t="shared" si="104"/>
        <v>1.1137871542882905E-3</v>
      </c>
      <c r="M387" s="537">
        <f t="shared" si="104"/>
        <v>1.14516144032458E-3</v>
      </c>
      <c r="N387" s="537">
        <f t="shared" si="104"/>
        <v>1.1765357263608697E-3</v>
      </c>
      <c r="O387" s="537">
        <f t="shared" si="104"/>
        <v>1.2079100123971601E-3</v>
      </c>
      <c r="P387" s="537">
        <f t="shared" si="104"/>
        <v>1.2392842984334498E-3</v>
      </c>
      <c r="Q387" s="537">
        <f t="shared" si="104"/>
        <v>1.2706585844697396E-3</v>
      </c>
      <c r="R387" s="537">
        <f t="shared" si="104"/>
        <v>1.3020328705060295E-3</v>
      </c>
      <c r="S387" s="537">
        <f t="shared" si="104"/>
        <v>1.3334071565423195E-3</v>
      </c>
      <c r="T387" s="537">
        <f t="shared" si="104"/>
        <v>1.3647814425786094E-3</v>
      </c>
      <c r="U387" s="537">
        <f t="shared" si="104"/>
        <v>1.3961557286148992E-3</v>
      </c>
      <c r="V387" s="537">
        <f t="shared" si="104"/>
        <v>1.4275300146511889E-3</v>
      </c>
      <c r="W387" s="537">
        <f t="shared" si="104"/>
        <v>1.4589043006874791E-3</v>
      </c>
      <c r="X387" s="537">
        <f t="shared" si="104"/>
        <v>1.490278586723769E-3</v>
      </c>
      <c r="Y387" s="537">
        <f t="shared" si="104"/>
        <v>1.490278586723769E-3</v>
      </c>
      <c r="Z387" s="537">
        <f t="shared" si="104"/>
        <v>1.490278586723769E-3</v>
      </c>
      <c r="AA387" s="537">
        <f t="shared" si="104"/>
        <v>1.4902785867237688E-3</v>
      </c>
      <c r="AB387" s="537">
        <f t="shared" si="104"/>
        <v>1.490278586723769E-3</v>
      </c>
      <c r="AC387" s="537">
        <f t="shared" si="104"/>
        <v>1.4902785867237688E-3</v>
      </c>
      <c r="AD387" s="537">
        <f t="shared" si="104"/>
        <v>1.4902785867237688E-3</v>
      </c>
      <c r="AE387" s="537">
        <f t="shared" si="104"/>
        <v>1.490278586723769E-3</v>
      </c>
      <c r="AF387" s="537">
        <f t="shared" si="104"/>
        <v>1.4902785867237688E-3</v>
      </c>
      <c r="AG387" s="537">
        <f t="shared" si="104"/>
        <v>1.4902785867237692E-3</v>
      </c>
      <c r="AH387" s="537">
        <f t="shared" si="104"/>
        <v>1.490278586723769E-3</v>
      </c>
      <c r="AI387" s="537">
        <f t="shared" si="104"/>
        <v>1.4902785867237688E-3</v>
      </c>
      <c r="AJ387" s="537">
        <f t="shared" si="104"/>
        <v>1.490278586723769E-3</v>
      </c>
      <c r="AK387" s="3"/>
      <c r="AL387" s="3"/>
    </row>
    <row r="388" spans="1:38" s="28" customFormat="1" x14ac:dyDescent="0.4">
      <c r="A388" s="644" t="s">
        <v>152</v>
      </c>
      <c r="B388" s="532" t="s">
        <v>1281</v>
      </c>
      <c r="C388" s="537">
        <f t="shared" ref="C388:AJ388" si="105">$B$541*C347</f>
        <v>5.166299100642399E-3</v>
      </c>
      <c r="D388" s="537">
        <f t="shared" si="105"/>
        <v>5.1662991006423981E-3</v>
      </c>
      <c r="E388" s="537">
        <f t="shared" si="105"/>
        <v>5.1662991006423981E-3</v>
      </c>
      <c r="F388" s="537">
        <f t="shared" si="105"/>
        <v>5.1479974337878976E-3</v>
      </c>
      <c r="G388" s="537">
        <f t="shared" si="105"/>
        <v>5.1296957669333945E-3</v>
      </c>
      <c r="H388" s="537">
        <f t="shared" si="105"/>
        <v>5.1113941000788905E-3</v>
      </c>
      <c r="I388" s="537">
        <f t="shared" si="105"/>
        <v>5.0930924332243882E-3</v>
      </c>
      <c r="J388" s="537">
        <f t="shared" si="105"/>
        <v>5.0747907663698869E-3</v>
      </c>
      <c r="K388" s="537">
        <f t="shared" si="105"/>
        <v>5.0564890995153846E-3</v>
      </c>
      <c r="L388" s="537">
        <f t="shared" si="105"/>
        <v>5.0381874326608806E-3</v>
      </c>
      <c r="M388" s="537">
        <f t="shared" si="105"/>
        <v>5.0198857658063792E-3</v>
      </c>
      <c r="N388" s="537">
        <f t="shared" si="105"/>
        <v>5.001584098951877E-3</v>
      </c>
      <c r="O388" s="537">
        <f t="shared" si="105"/>
        <v>4.9832824320973747E-3</v>
      </c>
      <c r="P388" s="537">
        <f t="shared" si="105"/>
        <v>4.9649807652428699E-3</v>
      </c>
      <c r="Q388" s="537">
        <f t="shared" si="105"/>
        <v>4.9466790983883693E-3</v>
      </c>
      <c r="R388" s="537">
        <f t="shared" si="105"/>
        <v>4.9283774315338679E-3</v>
      </c>
      <c r="S388" s="537">
        <f t="shared" si="105"/>
        <v>4.910075764679364E-3</v>
      </c>
      <c r="T388" s="537">
        <f t="shared" si="105"/>
        <v>4.8917740978248617E-3</v>
      </c>
      <c r="U388" s="537">
        <f t="shared" si="105"/>
        <v>4.8734724309703603E-3</v>
      </c>
      <c r="V388" s="537">
        <f t="shared" si="105"/>
        <v>4.8551707641158581E-3</v>
      </c>
      <c r="W388" s="537">
        <f t="shared" si="105"/>
        <v>4.8368690972613549E-3</v>
      </c>
      <c r="X388" s="537">
        <f t="shared" si="105"/>
        <v>4.8185674304068527E-3</v>
      </c>
      <c r="Y388" s="537">
        <f t="shared" si="105"/>
        <v>4.8185674304068527E-3</v>
      </c>
      <c r="Z388" s="537">
        <f t="shared" si="105"/>
        <v>4.8185674304068518E-3</v>
      </c>
      <c r="AA388" s="537">
        <f t="shared" si="105"/>
        <v>4.8185674304068527E-3</v>
      </c>
      <c r="AB388" s="537">
        <f t="shared" si="105"/>
        <v>4.8185674304068527E-3</v>
      </c>
      <c r="AC388" s="537">
        <f t="shared" si="105"/>
        <v>4.8185674304068527E-3</v>
      </c>
      <c r="AD388" s="537">
        <f t="shared" si="105"/>
        <v>4.8185674304068518E-3</v>
      </c>
      <c r="AE388" s="537">
        <f t="shared" si="105"/>
        <v>4.8185674304068527E-3</v>
      </c>
      <c r="AF388" s="537">
        <f t="shared" si="105"/>
        <v>4.8185674304068527E-3</v>
      </c>
      <c r="AG388" s="537">
        <f t="shared" si="105"/>
        <v>4.8185674304068527E-3</v>
      </c>
      <c r="AH388" s="537">
        <f t="shared" si="105"/>
        <v>4.8185674304068527E-3</v>
      </c>
      <c r="AI388" s="537">
        <f t="shared" si="105"/>
        <v>4.8185674304068527E-3</v>
      </c>
      <c r="AJ388" s="537">
        <f t="shared" si="105"/>
        <v>4.8185674304068518E-3</v>
      </c>
      <c r="AK388" s="3"/>
      <c r="AL388" s="3"/>
    </row>
    <row r="389" spans="1:38" s="28" customFormat="1" x14ac:dyDescent="0.4">
      <c r="A389" s="644" t="s">
        <v>153</v>
      </c>
      <c r="B389" s="532" t="s">
        <v>1281</v>
      </c>
      <c r="C389" s="537">
        <f t="shared" ref="C389:AJ389" si="106">$B$541*C348</f>
        <v>4.2969699250535327E-4</v>
      </c>
      <c r="D389" s="537">
        <f t="shared" si="106"/>
        <v>4.2969699250535332E-4</v>
      </c>
      <c r="E389" s="537">
        <f t="shared" si="106"/>
        <v>4.2969699250535327E-4</v>
      </c>
      <c r="F389" s="537">
        <f t="shared" si="106"/>
        <v>4.8551707641158581E-4</v>
      </c>
      <c r="G389" s="537">
        <f t="shared" si="106"/>
        <v>5.4133716031781807E-4</v>
      </c>
      <c r="H389" s="537">
        <f t="shared" si="106"/>
        <v>5.9715724422405034E-4</v>
      </c>
      <c r="I389" s="537">
        <f t="shared" si="106"/>
        <v>6.5297732813028272E-4</v>
      </c>
      <c r="J389" s="537">
        <f t="shared" si="106"/>
        <v>7.0879741203651531E-4</v>
      </c>
      <c r="K389" s="537">
        <f t="shared" si="106"/>
        <v>7.6461749594274779E-4</v>
      </c>
      <c r="L389" s="537">
        <f t="shared" si="106"/>
        <v>8.2043757984897995E-4</v>
      </c>
      <c r="M389" s="537">
        <f t="shared" si="106"/>
        <v>8.7625766375521265E-4</v>
      </c>
      <c r="N389" s="537">
        <f t="shared" si="106"/>
        <v>9.3207774766144471E-4</v>
      </c>
      <c r="O389" s="537">
        <f t="shared" si="106"/>
        <v>9.878978315676773E-4</v>
      </c>
      <c r="P389" s="537">
        <f t="shared" si="106"/>
        <v>1.0437179154739096E-3</v>
      </c>
      <c r="Q389" s="537">
        <f t="shared" si="106"/>
        <v>1.0995379993801423E-3</v>
      </c>
      <c r="R389" s="537">
        <f t="shared" si="106"/>
        <v>1.1553580832863743E-3</v>
      </c>
      <c r="S389" s="537">
        <f t="shared" si="106"/>
        <v>1.211178167192607E-3</v>
      </c>
      <c r="T389" s="537">
        <f t="shared" si="106"/>
        <v>1.2669982510988391E-3</v>
      </c>
      <c r="U389" s="537">
        <f t="shared" si="106"/>
        <v>1.3228183350050716E-3</v>
      </c>
      <c r="V389" s="537">
        <f t="shared" si="106"/>
        <v>1.3786384189113043E-3</v>
      </c>
      <c r="W389" s="537">
        <f t="shared" si="106"/>
        <v>1.4344585028175363E-3</v>
      </c>
      <c r="X389" s="537">
        <f t="shared" si="106"/>
        <v>1.490278586723769E-3</v>
      </c>
      <c r="Y389" s="537">
        <f t="shared" si="106"/>
        <v>1.4902785867237688E-3</v>
      </c>
      <c r="Z389" s="537">
        <f t="shared" si="106"/>
        <v>1.490278586723769E-3</v>
      </c>
      <c r="AA389" s="537">
        <f t="shared" si="106"/>
        <v>1.490278586723769E-3</v>
      </c>
      <c r="AB389" s="537">
        <f t="shared" si="106"/>
        <v>1.490278586723769E-3</v>
      </c>
      <c r="AC389" s="537">
        <f t="shared" si="106"/>
        <v>1.490278586723769E-3</v>
      </c>
      <c r="AD389" s="537">
        <f t="shared" si="106"/>
        <v>1.490278586723769E-3</v>
      </c>
      <c r="AE389" s="537">
        <f t="shared" si="106"/>
        <v>1.4902785867237688E-3</v>
      </c>
      <c r="AF389" s="537">
        <f t="shared" si="106"/>
        <v>1.4902785867237688E-3</v>
      </c>
      <c r="AG389" s="537">
        <f t="shared" si="106"/>
        <v>1.490278586723769E-3</v>
      </c>
      <c r="AH389" s="537">
        <f t="shared" si="106"/>
        <v>1.490278586723769E-3</v>
      </c>
      <c r="AI389" s="537">
        <f t="shared" si="106"/>
        <v>1.4902785867237688E-3</v>
      </c>
      <c r="AJ389" s="537">
        <f t="shared" si="106"/>
        <v>1.490278586723769E-3</v>
      </c>
      <c r="AK389" s="3"/>
      <c r="AL389" s="3"/>
    </row>
    <row r="390" spans="1:38" s="28" customFormat="1" x14ac:dyDescent="0.4">
      <c r="A390" s="645" t="s">
        <v>154</v>
      </c>
      <c r="B390" s="533" t="s">
        <v>1281</v>
      </c>
      <c r="C390" s="537">
        <f t="shared" ref="C390:AJ390" si="107">$B$541*C349</f>
        <v>6.606901734475376E-4</v>
      </c>
      <c r="D390" s="537">
        <f t="shared" si="107"/>
        <v>6.606901734475376E-4</v>
      </c>
      <c r="E390" s="537">
        <f t="shared" si="107"/>
        <v>6.606901734475376E-4</v>
      </c>
      <c r="F390" s="537">
        <f t="shared" si="107"/>
        <v>6.606901734475376E-4</v>
      </c>
      <c r="G390" s="537">
        <f t="shared" si="107"/>
        <v>6.6069017344753749E-4</v>
      </c>
      <c r="H390" s="537">
        <f t="shared" si="107"/>
        <v>6.606901734475376E-4</v>
      </c>
      <c r="I390" s="537">
        <f t="shared" si="107"/>
        <v>6.606901734475376E-4</v>
      </c>
      <c r="J390" s="537">
        <f t="shared" si="107"/>
        <v>6.606901734475376E-4</v>
      </c>
      <c r="K390" s="537">
        <f t="shared" si="107"/>
        <v>6.606901734475376E-4</v>
      </c>
      <c r="L390" s="537">
        <f t="shared" si="107"/>
        <v>6.606901734475376E-4</v>
      </c>
      <c r="M390" s="537">
        <f t="shared" si="107"/>
        <v>6.6069017344753749E-4</v>
      </c>
      <c r="N390" s="537">
        <f t="shared" si="107"/>
        <v>6.6069017344753749E-4</v>
      </c>
      <c r="O390" s="537">
        <f t="shared" si="107"/>
        <v>6.6069017344753749E-4</v>
      </c>
      <c r="P390" s="537">
        <f t="shared" si="107"/>
        <v>6.606901734475376E-4</v>
      </c>
      <c r="Q390" s="537">
        <f t="shared" si="107"/>
        <v>6.6069017344753771E-4</v>
      </c>
      <c r="R390" s="537">
        <f t="shared" si="107"/>
        <v>6.6069017344753749E-4</v>
      </c>
      <c r="S390" s="537">
        <f t="shared" si="107"/>
        <v>6.606901734475376E-4</v>
      </c>
      <c r="T390" s="537">
        <f t="shared" si="107"/>
        <v>6.6069017344753749E-4</v>
      </c>
      <c r="U390" s="537">
        <f t="shared" si="107"/>
        <v>6.606901734475376E-4</v>
      </c>
      <c r="V390" s="537">
        <f t="shared" si="107"/>
        <v>6.6069017344753749E-4</v>
      </c>
      <c r="W390" s="537">
        <f t="shared" si="107"/>
        <v>6.6069017344753749E-4</v>
      </c>
      <c r="X390" s="537">
        <f t="shared" si="107"/>
        <v>6.606901734475376E-4</v>
      </c>
      <c r="Y390" s="537">
        <f t="shared" si="107"/>
        <v>6.606901734475376E-4</v>
      </c>
      <c r="Z390" s="537">
        <f t="shared" si="107"/>
        <v>6.606901734475376E-4</v>
      </c>
      <c r="AA390" s="537">
        <f t="shared" si="107"/>
        <v>6.6069017344753749E-4</v>
      </c>
      <c r="AB390" s="537">
        <f t="shared" si="107"/>
        <v>6.606901734475376E-4</v>
      </c>
      <c r="AC390" s="537">
        <f t="shared" si="107"/>
        <v>6.606901734475376E-4</v>
      </c>
      <c r="AD390" s="537">
        <f t="shared" si="107"/>
        <v>6.606901734475376E-4</v>
      </c>
      <c r="AE390" s="537">
        <f t="shared" si="107"/>
        <v>6.6069017344753771E-4</v>
      </c>
      <c r="AF390" s="537">
        <f t="shared" si="107"/>
        <v>6.606901734475376E-4</v>
      </c>
      <c r="AG390" s="537">
        <f t="shared" si="107"/>
        <v>6.6069017344753749E-4</v>
      </c>
      <c r="AH390" s="537">
        <f t="shared" si="107"/>
        <v>6.6069017344753749E-4</v>
      </c>
      <c r="AI390" s="537">
        <f t="shared" si="107"/>
        <v>6.6069017344753771E-4</v>
      </c>
      <c r="AJ390" s="537">
        <f t="shared" si="107"/>
        <v>6.606901734475376E-4</v>
      </c>
      <c r="AK390" s="3"/>
      <c r="AL390" s="3"/>
    </row>
    <row r="391" spans="1:38" s="28" customFormat="1" x14ac:dyDescent="0.4">
      <c r="A391" s="645" t="s">
        <v>1063</v>
      </c>
      <c r="B391" s="581"/>
      <c r="C391" s="89"/>
      <c r="D391" s="89"/>
      <c r="E391" s="89"/>
      <c r="F391" s="89"/>
      <c r="G391" s="89"/>
      <c r="H391" s="89"/>
      <c r="I391" s="89"/>
      <c r="J391" s="89"/>
      <c r="K391" s="89"/>
      <c r="L391" s="89"/>
      <c r="M391" s="89"/>
      <c r="N391" s="89"/>
      <c r="O391" s="89"/>
      <c r="P391" s="89"/>
      <c r="Q391" s="89"/>
      <c r="R391" s="89"/>
      <c r="S391" s="89"/>
      <c r="T391" s="89"/>
      <c r="U391" s="89"/>
      <c r="V391" s="89"/>
      <c r="W391" s="89"/>
      <c r="X391" s="89"/>
      <c r="Y391" s="89"/>
      <c r="Z391" s="89"/>
      <c r="AA391" s="89"/>
      <c r="AB391" s="89"/>
      <c r="AC391" s="89"/>
      <c r="AD391" s="89"/>
      <c r="AE391" s="89"/>
      <c r="AF391" s="89"/>
      <c r="AG391" s="89"/>
      <c r="AH391" s="89"/>
      <c r="AI391" s="89"/>
      <c r="AJ391" s="89"/>
      <c r="AK391" s="3"/>
      <c r="AL391" s="3"/>
    </row>
    <row r="392" spans="1:38" s="28" customFormat="1" x14ac:dyDescent="0.4">
      <c r="A392" s="581"/>
      <c r="B392" s="581"/>
      <c r="C392" s="89"/>
      <c r="D392" s="89"/>
      <c r="E392" s="89"/>
      <c r="F392" s="89"/>
      <c r="G392" s="89"/>
      <c r="H392" s="89"/>
      <c r="I392" s="89"/>
      <c r="J392" s="89"/>
      <c r="K392" s="89"/>
      <c r="L392" s="89"/>
      <c r="M392" s="89"/>
      <c r="N392" s="89"/>
      <c r="O392" s="89"/>
      <c r="P392" s="89"/>
      <c r="Q392" s="89"/>
      <c r="R392" s="89"/>
      <c r="S392" s="89"/>
      <c r="T392" s="89"/>
      <c r="U392" s="89"/>
      <c r="V392" s="89"/>
      <c r="W392" s="89"/>
      <c r="X392" s="89"/>
      <c r="Y392" s="89"/>
      <c r="Z392" s="89"/>
      <c r="AA392" s="89"/>
      <c r="AB392" s="89"/>
      <c r="AC392" s="89"/>
      <c r="AD392" s="89"/>
      <c r="AE392" s="89"/>
      <c r="AF392" s="89"/>
      <c r="AG392" s="89"/>
      <c r="AH392" s="89"/>
      <c r="AI392" s="89"/>
      <c r="AJ392" s="89"/>
      <c r="AK392" s="3"/>
      <c r="AL392" s="3"/>
    </row>
    <row r="393" spans="1:38" s="28" customFormat="1" ht="17" x14ac:dyDescent="0.4">
      <c r="A393" s="659" t="s">
        <v>1571</v>
      </c>
      <c r="B393" s="581"/>
      <c r="C393" s="89"/>
      <c r="D393" s="89"/>
      <c r="E393" s="89"/>
      <c r="F393" s="89"/>
      <c r="G393" s="89"/>
      <c r="H393" s="89"/>
      <c r="I393" s="89"/>
      <c r="J393" s="89"/>
      <c r="K393" s="89"/>
      <c r="L393" s="89"/>
      <c r="M393" s="89"/>
      <c r="N393" s="89"/>
      <c r="O393" s="89"/>
      <c r="P393" s="89"/>
      <c r="Q393" s="89"/>
      <c r="R393" s="89"/>
      <c r="S393" s="89"/>
      <c r="T393" s="89"/>
      <c r="U393" s="89"/>
      <c r="V393" s="89"/>
      <c r="W393" s="89"/>
      <c r="X393" s="89"/>
      <c r="Y393" s="89"/>
      <c r="Z393" s="89"/>
      <c r="AA393" s="89"/>
      <c r="AB393" s="89"/>
      <c r="AC393" s="89"/>
      <c r="AD393" s="89"/>
      <c r="AE393" s="89"/>
      <c r="AF393" s="89"/>
      <c r="AG393" s="89"/>
      <c r="AH393" s="89"/>
      <c r="AI393" s="89"/>
      <c r="AJ393" s="89"/>
      <c r="AK393" s="3"/>
      <c r="AL393" s="3"/>
    </row>
    <row r="394" spans="1:38" s="28" customFormat="1" x14ac:dyDescent="0.4">
      <c r="A394" s="42" t="s">
        <v>536</v>
      </c>
      <c r="B394" s="1140" t="s">
        <v>136</v>
      </c>
      <c r="C394" s="1159" t="s">
        <v>391</v>
      </c>
      <c r="D394" s="1159" t="s">
        <v>392</v>
      </c>
      <c r="E394" s="1159" t="s">
        <v>393</v>
      </c>
      <c r="F394" s="1159" t="s">
        <v>394</v>
      </c>
      <c r="G394" s="1159" t="s">
        <v>395</v>
      </c>
      <c r="H394" s="1159" t="s">
        <v>396</v>
      </c>
      <c r="I394" s="1159" t="s">
        <v>397</v>
      </c>
      <c r="J394" s="1159" t="s">
        <v>398</v>
      </c>
      <c r="K394" s="1159" t="s">
        <v>399</v>
      </c>
      <c r="L394" s="1159" t="s">
        <v>400</v>
      </c>
      <c r="M394" s="1159" t="s">
        <v>401</v>
      </c>
      <c r="N394" s="1159" t="s">
        <v>402</v>
      </c>
      <c r="O394" s="1159" t="s">
        <v>403</v>
      </c>
      <c r="P394" s="1159" t="s">
        <v>404</v>
      </c>
      <c r="Q394" s="1159" t="s">
        <v>405</v>
      </c>
      <c r="R394" s="1159" t="s">
        <v>406</v>
      </c>
      <c r="S394" s="1159" t="s">
        <v>407</v>
      </c>
      <c r="T394" s="1159" t="s">
        <v>408</v>
      </c>
      <c r="U394" s="1159" t="s">
        <v>409</v>
      </c>
      <c r="V394" s="1159" t="s">
        <v>410</v>
      </c>
      <c r="W394" s="1159" t="s">
        <v>411</v>
      </c>
      <c r="X394" s="1159" t="s">
        <v>412</v>
      </c>
      <c r="Y394" s="1159" t="s">
        <v>413</v>
      </c>
      <c r="Z394" s="1159" t="s">
        <v>414</v>
      </c>
      <c r="AA394" s="1159" t="s">
        <v>415</v>
      </c>
      <c r="AB394" s="1159" t="s">
        <v>416</v>
      </c>
      <c r="AC394" s="1159" t="s">
        <v>417</v>
      </c>
      <c r="AD394" s="1159" t="s">
        <v>418</v>
      </c>
      <c r="AE394" s="1159" t="s">
        <v>419</v>
      </c>
      <c r="AF394" s="1159" t="s">
        <v>420</v>
      </c>
      <c r="AG394" s="987" t="s">
        <v>421</v>
      </c>
      <c r="AH394" s="1159" t="s">
        <v>422</v>
      </c>
      <c r="AI394" s="1159" t="s">
        <v>423</v>
      </c>
      <c r="AJ394" s="1159" t="s">
        <v>424</v>
      </c>
      <c r="AK394" s="3"/>
      <c r="AL394" s="3"/>
    </row>
    <row r="395" spans="1:38" s="28" customFormat="1" x14ac:dyDescent="0.4">
      <c r="A395" s="643" t="s">
        <v>59</v>
      </c>
      <c r="B395" s="532" t="s">
        <v>1282</v>
      </c>
      <c r="C395" s="537">
        <f t="shared" ref="C395:AJ395" si="108">$B$541*C354</f>
        <v>4.3841997291819618E-5</v>
      </c>
      <c r="D395" s="537">
        <f t="shared" si="108"/>
        <v>4.3841997291819611E-5</v>
      </c>
      <c r="E395" s="537">
        <f t="shared" si="108"/>
        <v>4.3841997291819611E-5</v>
      </c>
      <c r="F395" s="537">
        <f t="shared" si="108"/>
        <v>4.3841997291819618E-5</v>
      </c>
      <c r="G395" s="537">
        <f t="shared" si="108"/>
        <v>4.3841997291819611E-5</v>
      </c>
      <c r="H395" s="537">
        <f t="shared" si="108"/>
        <v>4.3841997291819618E-5</v>
      </c>
      <c r="I395" s="537">
        <f t="shared" si="108"/>
        <v>4.3841997291819618E-5</v>
      </c>
      <c r="J395" s="537">
        <f t="shared" si="108"/>
        <v>4.3841997291819618E-5</v>
      </c>
      <c r="K395" s="537">
        <f t="shared" si="108"/>
        <v>4.3841997291819611E-5</v>
      </c>
      <c r="L395" s="537">
        <f t="shared" si="108"/>
        <v>4.3841997291819611E-5</v>
      </c>
      <c r="M395" s="537">
        <f t="shared" si="108"/>
        <v>4.3841997291819611E-5</v>
      </c>
      <c r="N395" s="537">
        <f t="shared" si="108"/>
        <v>4.3841997291819611E-5</v>
      </c>
      <c r="O395" s="537">
        <f t="shared" si="108"/>
        <v>4.3841997291819618E-5</v>
      </c>
      <c r="P395" s="537">
        <f t="shared" si="108"/>
        <v>4.3841997291819611E-5</v>
      </c>
      <c r="Q395" s="537">
        <f t="shared" si="108"/>
        <v>4.3841997291819611E-5</v>
      </c>
      <c r="R395" s="537">
        <f t="shared" si="108"/>
        <v>4.3841997291819611E-5</v>
      </c>
      <c r="S395" s="537">
        <f t="shared" si="108"/>
        <v>4.3841997291819618E-5</v>
      </c>
      <c r="T395" s="537">
        <f t="shared" si="108"/>
        <v>4.3841997291819618E-5</v>
      </c>
      <c r="U395" s="537">
        <f t="shared" si="108"/>
        <v>4.3841997291819604E-5</v>
      </c>
      <c r="V395" s="537">
        <f t="shared" si="108"/>
        <v>4.3841997291819611E-5</v>
      </c>
      <c r="W395" s="537">
        <f t="shared" si="108"/>
        <v>4.3841997291819611E-5</v>
      </c>
      <c r="X395" s="537">
        <f t="shared" si="108"/>
        <v>4.3841997291819618E-5</v>
      </c>
      <c r="Y395" s="537">
        <f t="shared" si="108"/>
        <v>4.3841997291819618E-5</v>
      </c>
      <c r="Z395" s="537">
        <f t="shared" si="108"/>
        <v>4.3841997291819618E-5</v>
      </c>
      <c r="AA395" s="537">
        <f t="shared" si="108"/>
        <v>4.3841997291819604E-5</v>
      </c>
      <c r="AB395" s="537">
        <f t="shared" si="108"/>
        <v>4.3841997291819618E-5</v>
      </c>
      <c r="AC395" s="537">
        <f t="shared" si="108"/>
        <v>4.3841997291819618E-5</v>
      </c>
      <c r="AD395" s="537">
        <f t="shared" si="108"/>
        <v>4.3841997291819618E-5</v>
      </c>
      <c r="AE395" s="537">
        <f t="shared" si="108"/>
        <v>4.3841997291819618E-5</v>
      </c>
      <c r="AF395" s="537">
        <f t="shared" si="108"/>
        <v>4.3841997291819611E-5</v>
      </c>
      <c r="AG395" s="537">
        <f t="shared" si="108"/>
        <v>4.3841997291819611E-5</v>
      </c>
      <c r="AH395" s="537">
        <f t="shared" si="108"/>
        <v>4.3841997291819618E-5</v>
      </c>
      <c r="AI395" s="537">
        <f t="shared" si="108"/>
        <v>4.3841997291819604E-5</v>
      </c>
      <c r="AJ395" s="537">
        <f t="shared" si="108"/>
        <v>4.3841997291819604E-5</v>
      </c>
      <c r="AK395" s="3"/>
      <c r="AL395" s="3"/>
    </row>
    <row r="396" spans="1:38" s="28" customFormat="1" x14ac:dyDescent="0.4">
      <c r="A396" s="647" t="s">
        <v>156</v>
      </c>
      <c r="B396" s="532" t="s">
        <v>1282</v>
      </c>
      <c r="C396" s="537">
        <f t="shared" ref="C396:AJ396" si="109">$B$541*C355</f>
        <v>6.8897216274089914E-4</v>
      </c>
      <c r="D396" s="537">
        <f t="shared" si="109"/>
        <v>6.8897216274089925E-4</v>
      </c>
      <c r="E396" s="537">
        <f t="shared" si="109"/>
        <v>6.8897216274089925E-4</v>
      </c>
      <c r="F396" s="537">
        <f t="shared" si="109"/>
        <v>6.8897216274089947E-4</v>
      </c>
      <c r="G396" s="537">
        <f t="shared" si="109"/>
        <v>6.8897216274089936E-4</v>
      </c>
      <c r="H396" s="537">
        <f t="shared" si="109"/>
        <v>6.8897216274089925E-4</v>
      </c>
      <c r="I396" s="537">
        <f t="shared" si="109"/>
        <v>6.8897216274089936E-4</v>
      </c>
      <c r="J396" s="537">
        <f t="shared" si="109"/>
        <v>6.8897216274089925E-4</v>
      </c>
      <c r="K396" s="537">
        <f t="shared" si="109"/>
        <v>6.8897216274089936E-4</v>
      </c>
      <c r="L396" s="537">
        <f t="shared" si="109"/>
        <v>6.8897216274089925E-4</v>
      </c>
      <c r="M396" s="537">
        <f t="shared" si="109"/>
        <v>6.8897216274089925E-4</v>
      </c>
      <c r="N396" s="537">
        <f t="shared" si="109"/>
        <v>6.8897216274089936E-4</v>
      </c>
      <c r="O396" s="537">
        <f t="shared" si="109"/>
        <v>6.8897216274089925E-4</v>
      </c>
      <c r="P396" s="537">
        <f t="shared" si="109"/>
        <v>6.8897216274089925E-4</v>
      </c>
      <c r="Q396" s="537">
        <f t="shared" si="109"/>
        <v>6.8897216274089936E-4</v>
      </c>
      <c r="R396" s="537">
        <f t="shared" si="109"/>
        <v>6.8897216274089925E-4</v>
      </c>
      <c r="S396" s="537">
        <f t="shared" si="109"/>
        <v>6.8897216274089925E-4</v>
      </c>
      <c r="T396" s="537">
        <f t="shared" si="109"/>
        <v>6.8897216274089936E-4</v>
      </c>
      <c r="U396" s="537">
        <f t="shared" si="109"/>
        <v>6.8897216274089936E-4</v>
      </c>
      <c r="V396" s="537">
        <f t="shared" si="109"/>
        <v>6.8897216274089936E-4</v>
      </c>
      <c r="W396" s="537">
        <f t="shared" si="109"/>
        <v>6.8897216274089925E-4</v>
      </c>
      <c r="X396" s="537">
        <f t="shared" si="109"/>
        <v>6.8897216274089925E-4</v>
      </c>
      <c r="Y396" s="537">
        <f t="shared" si="109"/>
        <v>6.8897216274089936E-4</v>
      </c>
      <c r="Z396" s="537">
        <f t="shared" si="109"/>
        <v>6.8897216274089936E-4</v>
      </c>
      <c r="AA396" s="537">
        <f t="shared" si="109"/>
        <v>6.8897216274089925E-4</v>
      </c>
      <c r="AB396" s="537">
        <f t="shared" si="109"/>
        <v>6.8897216274089925E-4</v>
      </c>
      <c r="AC396" s="537">
        <f t="shared" si="109"/>
        <v>6.8897216274089925E-4</v>
      </c>
      <c r="AD396" s="537">
        <f t="shared" si="109"/>
        <v>6.8897216274089936E-4</v>
      </c>
      <c r="AE396" s="537">
        <f t="shared" si="109"/>
        <v>6.8897216274089925E-4</v>
      </c>
      <c r="AF396" s="537">
        <f t="shared" si="109"/>
        <v>6.8897216274089925E-4</v>
      </c>
      <c r="AG396" s="537">
        <f t="shared" si="109"/>
        <v>6.8897216274089925E-4</v>
      </c>
      <c r="AH396" s="537">
        <f t="shared" si="109"/>
        <v>6.8897216274089936E-4</v>
      </c>
      <c r="AI396" s="537">
        <f t="shared" si="109"/>
        <v>6.8897216274089936E-4</v>
      </c>
      <c r="AJ396" s="537">
        <f t="shared" si="109"/>
        <v>6.8897216274089925E-4</v>
      </c>
      <c r="AK396" s="3"/>
      <c r="AL396" s="3"/>
    </row>
    <row r="397" spans="1:38" s="28" customFormat="1" x14ac:dyDescent="0.4">
      <c r="A397" s="645" t="s">
        <v>76</v>
      </c>
      <c r="B397" s="533" t="s">
        <v>1282</v>
      </c>
      <c r="C397" s="537">
        <f t="shared" ref="C397:AJ397" si="110">$B$541*C356</f>
        <v>3.0915417558886505E-3</v>
      </c>
      <c r="D397" s="537">
        <f t="shared" si="110"/>
        <v>3.0915417558886522E-3</v>
      </c>
      <c r="E397" s="537">
        <f t="shared" si="110"/>
        <v>3.0915417558886513E-3</v>
      </c>
      <c r="F397" s="537">
        <f t="shared" si="110"/>
        <v>3.0915417558886513E-3</v>
      </c>
      <c r="G397" s="537">
        <f t="shared" si="110"/>
        <v>3.0915417558886509E-3</v>
      </c>
      <c r="H397" s="537">
        <f t="shared" si="110"/>
        <v>3.0915417558886513E-3</v>
      </c>
      <c r="I397" s="537">
        <f t="shared" si="110"/>
        <v>3.0915417558886518E-3</v>
      </c>
      <c r="J397" s="537">
        <f t="shared" si="110"/>
        <v>3.0915417558886513E-3</v>
      </c>
      <c r="K397" s="537">
        <f t="shared" si="110"/>
        <v>3.0915417558886518E-3</v>
      </c>
      <c r="L397" s="537">
        <f t="shared" si="110"/>
        <v>3.0915417558886509E-3</v>
      </c>
      <c r="M397" s="537">
        <f t="shared" si="110"/>
        <v>3.0915417558886513E-3</v>
      </c>
      <c r="N397" s="537">
        <f t="shared" si="110"/>
        <v>3.0915417558886513E-3</v>
      </c>
      <c r="O397" s="537">
        <f t="shared" si="110"/>
        <v>3.0915417558886509E-3</v>
      </c>
      <c r="P397" s="537">
        <f t="shared" si="110"/>
        <v>3.0915417558886518E-3</v>
      </c>
      <c r="Q397" s="537">
        <f t="shared" si="110"/>
        <v>3.0915417558886509E-3</v>
      </c>
      <c r="R397" s="537">
        <f t="shared" si="110"/>
        <v>3.0915417558886513E-3</v>
      </c>
      <c r="S397" s="537">
        <f t="shared" si="110"/>
        <v>3.0915417558886513E-3</v>
      </c>
      <c r="T397" s="537">
        <f t="shared" si="110"/>
        <v>3.0915417558886518E-3</v>
      </c>
      <c r="U397" s="537">
        <f t="shared" si="110"/>
        <v>3.0915417558886513E-3</v>
      </c>
      <c r="V397" s="537">
        <f t="shared" si="110"/>
        <v>3.0915417558886509E-3</v>
      </c>
      <c r="W397" s="537">
        <f t="shared" si="110"/>
        <v>3.0915417558886509E-3</v>
      </c>
      <c r="X397" s="537">
        <f t="shared" si="110"/>
        <v>3.0915417558886518E-3</v>
      </c>
      <c r="Y397" s="537">
        <f t="shared" si="110"/>
        <v>3.0915417558886518E-3</v>
      </c>
      <c r="Z397" s="537">
        <f t="shared" si="110"/>
        <v>3.0915417558886513E-3</v>
      </c>
      <c r="AA397" s="537">
        <f t="shared" si="110"/>
        <v>3.0915417558886513E-3</v>
      </c>
      <c r="AB397" s="537">
        <f t="shared" si="110"/>
        <v>3.0915417558886518E-3</v>
      </c>
      <c r="AC397" s="537">
        <f t="shared" si="110"/>
        <v>3.0915417558886518E-3</v>
      </c>
      <c r="AD397" s="537">
        <f t="shared" si="110"/>
        <v>3.0915417558886513E-3</v>
      </c>
      <c r="AE397" s="537">
        <f t="shared" si="110"/>
        <v>3.0915417558886518E-3</v>
      </c>
      <c r="AF397" s="537">
        <f t="shared" si="110"/>
        <v>3.0915417558886509E-3</v>
      </c>
      <c r="AG397" s="537">
        <f t="shared" si="110"/>
        <v>3.0915417558886513E-3</v>
      </c>
      <c r="AH397" s="537">
        <f t="shared" si="110"/>
        <v>3.0915417558886518E-3</v>
      </c>
      <c r="AI397" s="537">
        <f t="shared" si="110"/>
        <v>3.0915417558886513E-3</v>
      </c>
      <c r="AJ397" s="537">
        <f t="shared" si="110"/>
        <v>3.0915417558886518E-3</v>
      </c>
      <c r="AK397" s="3"/>
      <c r="AL397" s="3"/>
    </row>
    <row r="398" spans="1:38" s="28" customFormat="1" x14ac:dyDescent="0.4">
      <c r="A398" s="645" t="s">
        <v>1063</v>
      </c>
      <c r="B398" s="581"/>
      <c r="C398" s="89"/>
      <c r="D398" s="89"/>
      <c r="E398" s="89"/>
      <c r="F398" s="89"/>
      <c r="G398" s="89"/>
      <c r="H398" s="89"/>
      <c r="I398" s="89"/>
      <c r="J398" s="89"/>
      <c r="K398" s="89"/>
      <c r="L398" s="89"/>
      <c r="M398" s="89"/>
      <c r="N398" s="89"/>
      <c r="O398" s="89"/>
      <c r="P398" s="89"/>
      <c r="Q398" s="89"/>
      <c r="R398" s="89"/>
      <c r="S398" s="89"/>
      <c r="T398" s="89"/>
      <c r="U398" s="89"/>
      <c r="V398" s="89"/>
      <c r="W398" s="89"/>
      <c r="X398" s="89"/>
      <c r="Y398" s="89"/>
      <c r="Z398" s="89"/>
      <c r="AA398" s="89"/>
      <c r="AB398" s="89"/>
      <c r="AC398" s="89"/>
      <c r="AD398" s="89"/>
      <c r="AE398" s="89"/>
      <c r="AF398" s="89"/>
      <c r="AG398" s="89"/>
      <c r="AH398" s="89"/>
      <c r="AI398" s="89"/>
      <c r="AJ398" s="89"/>
      <c r="AK398" s="3"/>
      <c r="AL398" s="3"/>
    </row>
    <row r="399" spans="1:38" s="28" customFormat="1" x14ac:dyDescent="0.4">
      <c r="A399" s="581"/>
      <c r="B399" s="581"/>
      <c r="C399" s="89"/>
      <c r="D399" s="89"/>
      <c r="E399" s="89"/>
      <c r="F399" s="89"/>
      <c r="G399" s="89"/>
      <c r="H399" s="89"/>
      <c r="I399" s="89"/>
      <c r="J399" s="89"/>
      <c r="K399" s="89"/>
      <c r="L399" s="89"/>
      <c r="M399" s="89"/>
      <c r="N399" s="89"/>
      <c r="O399" s="89"/>
      <c r="P399" s="89"/>
      <c r="Q399" s="89"/>
      <c r="R399" s="89"/>
      <c r="S399" s="89"/>
      <c r="T399" s="89"/>
      <c r="U399" s="89"/>
      <c r="V399" s="89"/>
      <c r="W399" s="89"/>
      <c r="X399" s="89"/>
      <c r="Y399" s="89"/>
      <c r="Z399" s="89"/>
      <c r="AA399" s="89"/>
      <c r="AB399" s="89"/>
      <c r="AC399" s="89"/>
      <c r="AD399" s="89"/>
      <c r="AE399" s="89"/>
      <c r="AF399" s="89"/>
      <c r="AG399" s="89"/>
      <c r="AH399" s="89"/>
      <c r="AI399" s="89"/>
      <c r="AJ399" s="89"/>
      <c r="AK399" s="3"/>
      <c r="AL399" s="3"/>
    </row>
    <row r="400" spans="1:38" s="28" customFormat="1" ht="17" x14ac:dyDescent="0.4">
      <c r="A400" s="659" t="s">
        <v>1572</v>
      </c>
      <c r="B400" s="581"/>
      <c r="C400" s="89"/>
      <c r="D400" s="89"/>
      <c r="E400" s="89"/>
      <c r="F400" s="89"/>
      <c r="G400" s="89"/>
      <c r="H400" s="89"/>
      <c r="I400" s="89"/>
      <c r="J400" s="89"/>
      <c r="K400" s="89"/>
      <c r="L400" s="89"/>
      <c r="M400" s="89"/>
      <c r="N400" s="89"/>
      <c r="O400" s="89"/>
      <c r="P400" s="89"/>
      <c r="Q400" s="89"/>
      <c r="R400" s="89"/>
      <c r="S400" s="89"/>
      <c r="T400" s="89"/>
      <c r="U400" s="89"/>
      <c r="V400" s="89"/>
      <c r="W400" s="89"/>
      <c r="X400" s="89"/>
      <c r="Y400" s="89"/>
      <c r="Z400" s="89"/>
      <c r="AA400" s="89"/>
      <c r="AB400" s="89"/>
      <c r="AC400" s="89"/>
      <c r="AD400" s="89"/>
      <c r="AE400" s="89"/>
      <c r="AF400" s="89"/>
      <c r="AG400" s="89"/>
      <c r="AH400" s="89"/>
      <c r="AI400" s="89"/>
      <c r="AJ400" s="89"/>
      <c r="AK400" s="3"/>
      <c r="AL400" s="3"/>
    </row>
    <row r="401" spans="1:38" s="28" customFormat="1" x14ac:dyDescent="0.4">
      <c r="A401" s="1207" t="s">
        <v>390</v>
      </c>
      <c r="B401" s="1140" t="s">
        <v>136</v>
      </c>
      <c r="C401" s="1159" t="s">
        <v>391</v>
      </c>
      <c r="D401" s="1159" t="s">
        <v>392</v>
      </c>
      <c r="E401" s="1159" t="s">
        <v>393</v>
      </c>
      <c r="F401" s="1159" t="s">
        <v>394</v>
      </c>
      <c r="G401" s="1159" t="s">
        <v>395</v>
      </c>
      <c r="H401" s="1159" t="s">
        <v>396</v>
      </c>
      <c r="I401" s="1159" t="s">
        <v>397</v>
      </c>
      <c r="J401" s="1159" t="s">
        <v>398</v>
      </c>
      <c r="K401" s="1159" t="s">
        <v>399</v>
      </c>
      <c r="L401" s="1159" t="s">
        <v>400</v>
      </c>
      <c r="M401" s="1159" t="s">
        <v>401</v>
      </c>
      <c r="N401" s="1159" t="s">
        <v>402</v>
      </c>
      <c r="O401" s="1159" t="s">
        <v>403</v>
      </c>
      <c r="P401" s="1159" t="s">
        <v>404</v>
      </c>
      <c r="Q401" s="1159" t="s">
        <v>405</v>
      </c>
      <c r="R401" s="1159" t="s">
        <v>406</v>
      </c>
      <c r="S401" s="1159" t="s">
        <v>407</v>
      </c>
      <c r="T401" s="1159" t="s">
        <v>408</v>
      </c>
      <c r="U401" s="1159" t="s">
        <v>409</v>
      </c>
      <c r="V401" s="1159" t="s">
        <v>410</v>
      </c>
      <c r="W401" s="1159" t="s">
        <v>411</v>
      </c>
      <c r="X401" s="1159" t="s">
        <v>412</v>
      </c>
      <c r="Y401" s="1159" t="s">
        <v>413</v>
      </c>
      <c r="Z401" s="1159" t="s">
        <v>414</v>
      </c>
      <c r="AA401" s="1159" t="s">
        <v>415</v>
      </c>
      <c r="AB401" s="1159" t="s">
        <v>416</v>
      </c>
      <c r="AC401" s="1159" t="s">
        <v>417</v>
      </c>
      <c r="AD401" s="1159" t="s">
        <v>418</v>
      </c>
      <c r="AE401" s="1159" t="s">
        <v>419</v>
      </c>
      <c r="AF401" s="1159" t="s">
        <v>420</v>
      </c>
      <c r="AG401" s="987" t="s">
        <v>421</v>
      </c>
      <c r="AH401" s="1159" t="s">
        <v>422</v>
      </c>
      <c r="AI401" s="1159" t="s">
        <v>423</v>
      </c>
      <c r="AJ401" s="1159" t="s">
        <v>424</v>
      </c>
      <c r="AK401" s="3"/>
      <c r="AL401" s="3"/>
    </row>
    <row r="402" spans="1:38" s="28" customFormat="1" x14ac:dyDescent="0.4">
      <c r="A402" s="643" t="s">
        <v>157</v>
      </c>
      <c r="B402" s="532" t="s">
        <v>1279</v>
      </c>
      <c r="C402" s="537">
        <f t="shared" ref="C402:AJ402" si="111">$B$541*C361</f>
        <v>2.8353854389721632E-5</v>
      </c>
      <c r="D402" s="537">
        <f t="shared" si="111"/>
        <v>2.8353854389721632E-5</v>
      </c>
      <c r="E402" s="537">
        <f t="shared" si="111"/>
        <v>2.8353854389721635E-5</v>
      </c>
      <c r="F402" s="537">
        <f t="shared" si="111"/>
        <v>2.8353854389721635E-5</v>
      </c>
      <c r="G402" s="537">
        <f t="shared" si="111"/>
        <v>2.8353854389721635E-5</v>
      </c>
      <c r="H402" s="537">
        <f t="shared" si="111"/>
        <v>2.8353854389721632E-5</v>
      </c>
      <c r="I402" s="537">
        <f t="shared" si="111"/>
        <v>2.8353854389721632E-5</v>
      </c>
      <c r="J402" s="537">
        <f t="shared" si="111"/>
        <v>2.8353854389721635E-5</v>
      </c>
      <c r="K402" s="537">
        <f t="shared" si="111"/>
        <v>2.8353854389721632E-5</v>
      </c>
      <c r="L402" s="537">
        <f t="shared" si="111"/>
        <v>2.8353854389721628E-5</v>
      </c>
      <c r="M402" s="537">
        <f t="shared" si="111"/>
        <v>2.8353854389721632E-5</v>
      </c>
      <c r="N402" s="537">
        <f t="shared" si="111"/>
        <v>2.8353854389721632E-5</v>
      </c>
      <c r="O402" s="537">
        <f t="shared" si="111"/>
        <v>2.8353854389721638E-5</v>
      </c>
      <c r="P402" s="537">
        <f t="shared" si="111"/>
        <v>2.8353854389721635E-5</v>
      </c>
      <c r="Q402" s="537">
        <f t="shared" si="111"/>
        <v>2.8353854389721635E-5</v>
      </c>
      <c r="R402" s="537">
        <f t="shared" si="111"/>
        <v>2.8353854389721632E-5</v>
      </c>
      <c r="S402" s="537">
        <f t="shared" si="111"/>
        <v>2.8353854389721628E-5</v>
      </c>
      <c r="T402" s="537">
        <f t="shared" si="111"/>
        <v>2.8353854389721638E-5</v>
      </c>
      <c r="U402" s="537">
        <f t="shared" si="111"/>
        <v>2.8353854389721632E-5</v>
      </c>
      <c r="V402" s="537">
        <f t="shared" si="111"/>
        <v>2.8353854389721635E-5</v>
      </c>
      <c r="W402" s="537">
        <f t="shared" si="111"/>
        <v>2.8353854389721635E-5</v>
      </c>
      <c r="X402" s="537">
        <f t="shared" si="111"/>
        <v>2.8353854389721635E-5</v>
      </c>
      <c r="Y402" s="537">
        <f t="shared" si="111"/>
        <v>2.8353854389721632E-5</v>
      </c>
      <c r="Z402" s="537">
        <f t="shared" si="111"/>
        <v>2.8353854389721638E-5</v>
      </c>
      <c r="AA402" s="537">
        <f t="shared" si="111"/>
        <v>2.8353854389721632E-5</v>
      </c>
      <c r="AB402" s="537">
        <f t="shared" si="111"/>
        <v>2.8353854389721635E-5</v>
      </c>
      <c r="AC402" s="537">
        <f t="shared" si="111"/>
        <v>2.8353854389721632E-5</v>
      </c>
      <c r="AD402" s="537">
        <f t="shared" si="111"/>
        <v>2.8353854389721632E-5</v>
      </c>
      <c r="AE402" s="537">
        <f t="shared" si="111"/>
        <v>2.8353854389721635E-5</v>
      </c>
      <c r="AF402" s="537">
        <f t="shared" si="111"/>
        <v>2.8353854389721628E-5</v>
      </c>
      <c r="AG402" s="537">
        <f t="shared" si="111"/>
        <v>2.8353854389721628E-5</v>
      </c>
      <c r="AH402" s="537">
        <f t="shared" si="111"/>
        <v>2.8353854389721632E-5</v>
      </c>
      <c r="AI402" s="537">
        <f t="shared" si="111"/>
        <v>2.8353854389721635E-5</v>
      </c>
      <c r="AJ402" s="537">
        <f t="shared" si="111"/>
        <v>2.8353854389721632E-5</v>
      </c>
      <c r="AK402" s="3"/>
      <c r="AL402" s="3"/>
    </row>
    <row r="403" spans="1:38" s="28" customFormat="1" x14ac:dyDescent="0.4">
      <c r="A403" s="533" t="s">
        <v>158</v>
      </c>
      <c r="B403" s="533" t="s">
        <v>1279</v>
      </c>
      <c r="C403" s="534">
        <f t="shared" ref="C403:AJ403" si="112">$B$541*C362</f>
        <v>5.7841862955032117E-5</v>
      </c>
      <c r="D403" s="534">
        <f t="shared" si="112"/>
        <v>5.7841862955032117E-5</v>
      </c>
      <c r="E403" s="534">
        <f t="shared" si="112"/>
        <v>5.7841862955032123E-5</v>
      </c>
      <c r="F403" s="534">
        <f t="shared" si="112"/>
        <v>5.784186295503211E-5</v>
      </c>
      <c r="G403" s="534">
        <f t="shared" si="112"/>
        <v>5.7841862955032117E-5</v>
      </c>
      <c r="H403" s="534">
        <f t="shared" si="112"/>
        <v>5.7841862955032123E-5</v>
      </c>
      <c r="I403" s="534">
        <f t="shared" si="112"/>
        <v>5.7841862955032117E-5</v>
      </c>
      <c r="J403" s="534">
        <f t="shared" si="112"/>
        <v>5.7841862955032117E-5</v>
      </c>
      <c r="K403" s="534">
        <f t="shared" si="112"/>
        <v>5.7841862955032117E-5</v>
      </c>
      <c r="L403" s="534">
        <f t="shared" si="112"/>
        <v>5.7841862955032117E-5</v>
      </c>
      <c r="M403" s="534">
        <f t="shared" si="112"/>
        <v>5.7841862955032123E-5</v>
      </c>
      <c r="N403" s="534">
        <f t="shared" si="112"/>
        <v>5.7841862955032117E-5</v>
      </c>
      <c r="O403" s="534">
        <f t="shared" si="112"/>
        <v>5.7841862955032123E-5</v>
      </c>
      <c r="P403" s="534">
        <f t="shared" si="112"/>
        <v>5.7841862955032123E-5</v>
      </c>
      <c r="Q403" s="534">
        <f t="shared" si="112"/>
        <v>5.7841862955032117E-5</v>
      </c>
      <c r="R403" s="534">
        <f t="shared" si="112"/>
        <v>5.784186295503211E-5</v>
      </c>
      <c r="S403" s="534">
        <f t="shared" si="112"/>
        <v>5.7841862955032117E-5</v>
      </c>
      <c r="T403" s="534">
        <f t="shared" si="112"/>
        <v>5.7841862955032117E-5</v>
      </c>
      <c r="U403" s="534">
        <f t="shared" si="112"/>
        <v>5.784186295503213E-5</v>
      </c>
      <c r="V403" s="534">
        <f t="shared" si="112"/>
        <v>5.7841862955032123E-5</v>
      </c>
      <c r="W403" s="534">
        <f t="shared" si="112"/>
        <v>5.7841862955032117E-5</v>
      </c>
      <c r="X403" s="534">
        <f t="shared" si="112"/>
        <v>5.7841862955032117E-5</v>
      </c>
      <c r="Y403" s="534">
        <f t="shared" si="112"/>
        <v>5.7841862955032123E-5</v>
      </c>
      <c r="Z403" s="534">
        <f t="shared" si="112"/>
        <v>5.7841862955032123E-5</v>
      </c>
      <c r="AA403" s="534">
        <f t="shared" si="112"/>
        <v>5.7841862955032103E-5</v>
      </c>
      <c r="AB403" s="534">
        <f t="shared" si="112"/>
        <v>5.7841862955032123E-5</v>
      </c>
      <c r="AC403" s="534">
        <f t="shared" si="112"/>
        <v>5.7841862955032123E-5</v>
      </c>
      <c r="AD403" s="534">
        <f t="shared" si="112"/>
        <v>5.784186295503211E-5</v>
      </c>
      <c r="AE403" s="534">
        <f t="shared" si="112"/>
        <v>5.7841862955032103E-5</v>
      </c>
      <c r="AF403" s="534">
        <f t="shared" si="112"/>
        <v>5.784186295503211E-5</v>
      </c>
      <c r="AG403" s="534">
        <f t="shared" si="112"/>
        <v>5.784186295503211E-5</v>
      </c>
      <c r="AH403" s="534">
        <f t="shared" si="112"/>
        <v>5.7841862955032117E-5</v>
      </c>
      <c r="AI403" s="534">
        <f t="shared" si="112"/>
        <v>5.7841862955032117E-5</v>
      </c>
      <c r="AJ403" s="534">
        <f t="shared" si="112"/>
        <v>5.7841862955032123E-5</v>
      </c>
      <c r="AK403" s="3"/>
      <c r="AL403" s="3"/>
    </row>
    <row r="404" spans="1:38" s="28" customFormat="1" x14ac:dyDescent="0.4">
      <c r="A404" s="533" t="s">
        <v>159</v>
      </c>
      <c r="B404" s="533" t="s">
        <v>1279</v>
      </c>
      <c r="C404" s="534">
        <f t="shared" ref="C404:AJ404" si="113">$B$541*C363</f>
        <v>9.016525695931479E-4</v>
      </c>
      <c r="D404" s="534">
        <f t="shared" si="113"/>
        <v>9.01652569593148E-4</v>
      </c>
      <c r="E404" s="534">
        <f t="shared" si="113"/>
        <v>9.0165256959314768E-4</v>
      </c>
      <c r="F404" s="534">
        <f t="shared" si="113"/>
        <v>9.0165256959314779E-4</v>
      </c>
      <c r="G404" s="534">
        <f t="shared" si="113"/>
        <v>9.0165256959314779E-4</v>
      </c>
      <c r="H404" s="534">
        <f t="shared" si="113"/>
        <v>9.016525695931479E-4</v>
      </c>
      <c r="I404" s="534">
        <f t="shared" si="113"/>
        <v>9.016525695931479E-4</v>
      </c>
      <c r="J404" s="534">
        <f t="shared" si="113"/>
        <v>9.016525695931479E-4</v>
      </c>
      <c r="K404" s="534">
        <f t="shared" si="113"/>
        <v>9.01652569593148E-4</v>
      </c>
      <c r="L404" s="534">
        <f t="shared" si="113"/>
        <v>9.01652569593148E-4</v>
      </c>
      <c r="M404" s="534">
        <f t="shared" si="113"/>
        <v>9.016525695931479E-4</v>
      </c>
      <c r="N404" s="534">
        <f t="shared" si="113"/>
        <v>9.016525695931479E-4</v>
      </c>
      <c r="O404" s="534">
        <f t="shared" si="113"/>
        <v>9.0165256959314779E-4</v>
      </c>
      <c r="P404" s="534">
        <f t="shared" si="113"/>
        <v>9.016525695931479E-4</v>
      </c>
      <c r="Q404" s="534">
        <f t="shared" si="113"/>
        <v>9.01652569593148E-4</v>
      </c>
      <c r="R404" s="534">
        <f t="shared" si="113"/>
        <v>9.0165256959314779E-4</v>
      </c>
      <c r="S404" s="534">
        <f t="shared" si="113"/>
        <v>9.0165256959314779E-4</v>
      </c>
      <c r="T404" s="534">
        <f t="shared" si="113"/>
        <v>9.01652569593148E-4</v>
      </c>
      <c r="U404" s="534">
        <f t="shared" si="113"/>
        <v>9.016525695931479E-4</v>
      </c>
      <c r="V404" s="534">
        <f t="shared" si="113"/>
        <v>9.016525695931479E-4</v>
      </c>
      <c r="W404" s="534">
        <f t="shared" si="113"/>
        <v>9.016525695931479E-4</v>
      </c>
      <c r="X404" s="534">
        <f t="shared" si="113"/>
        <v>9.0165256959314768E-4</v>
      </c>
      <c r="Y404" s="534">
        <f t="shared" si="113"/>
        <v>9.016525695931479E-4</v>
      </c>
      <c r="Z404" s="534">
        <f t="shared" si="113"/>
        <v>9.016525695931479E-4</v>
      </c>
      <c r="AA404" s="534">
        <f t="shared" si="113"/>
        <v>9.0165256959314779E-4</v>
      </c>
      <c r="AB404" s="534">
        <f t="shared" si="113"/>
        <v>9.0165256959314779E-4</v>
      </c>
      <c r="AC404" s="534">
        <f t="shared" si="113"/>
        <v>9.0165256959314779E-4</v>
      </c>
      <c r="AD404" s="534">
        <f t="shared" si="113"/>
        <v>9.016525695931479E-4</v>
      </c>
      <c r="AE404" s="534">
        <f t="shared" si="113"/>
        <v>9.016525695931479E-4</v>
      </c>
      <c r="AF404" s="534">
        <f t="shared" si="113"/>
        <v>9.0165256959314779E-4</v>
      </c>
      <c r="AG404" s="534">
        <f t="shared" si="113"/>
        <v>9.0165256959314779E-4</v>
      </c>
      <c r="AH404" s="534">
        <f t="shared" si="113"/>
        <v>9.016525695931479E-4</v>
      </c>
      <c r="AI404" s="534">
        <f t="shared" si="113"/>
        <v>9.016525695931479E-4</v>
      </c>
      <c r="AJ404" s="534">
        <f t="shared" si="113"/>
        <v>9.016525695931479E-4</v>
      </c>
      <c r="AK404" s="3"/>
      <c r="AL404" s="3"/>
    </row>
    <row r="405" spans="1:38" s="28" customFormat="1" x14ac:dyDescent="0.4">
      <c r="A405" s="647" t="s">
        <v>1063</v>
      </c>
      <c r="B405" s="581"/>
      <c r="C405" s="89"/>
      <c r="D405" s="89"/>
      <c r="E405" s="89"/>
      <c r="F405" s="89"/>
      <c r="G405" s="89"/>
      <c r="H405" s="89"/>
      <c r="I405" s="89"/>
      <c r="J405" s="89"/>
      <c r="K405" s="89"/>
      <c r="L405" s="89"/>
      <c r="M405" s="89"/>
      <c r="N405" s="89"/>
      <c r="O405" s="89"/>
      <c r="P405" s="89"/>
      <c r="Q405" s="89"/>
      <c r="R405" s="89"/>
      <c r="S405" s="89"/>
      <c r="T405" s="89"/>
      <c r="U405" s="89"/>
      <c r="V405" s="89"/>
      <c r="W405" s="89"/>
      <c r="X405" s="89"/>
      <c r="Y405" s="89"/>
      <c r="Z405" s="89"/>
      <c r="AA405" s="89"/>
      <c r="AB405" s="89"/>
      <c r="AC405" s="89"/>
      <c r="AD405" s="89"/>
      <c r="AE405" s="89"/>
      <c r="AF405" s="89"/>
      <c r="AG405" s="89"/>
      <c r="AH405" s="89"/>
      <c r="AI405" s="89"/>
      <c r="AJ405" s="89"/>
      <c r="AK405" s="3"/>
      <c r="AL405" s="3"/>
    </row>
    <row r="406" spans="1:38" s="28" customFormat="1" x14ac:dyDescent="0.4">
      <c r="A406" s="581"/>
      <c r="B406" s="581"/>
      <c r="C406" s="89"/>
      <c r="D406" s="89"/>
      <c r="E406" s="89"/>
      <c r="F406" s="89"/>
      <c r="G406" s="89"/>
      <c r="H406" s="89"/>
      <c r="I406" s="89"/>
      <c r="J406" s="89"/>
      <c r="K406" s="89"/>
      <c r="L406" s="89"/>
      <c r="M406" s="89"/>
      <c r="N406" s="89"/>
      <c r="O406" s="89"/>
      <c r="P406" s="89"/>
      <c r="Q406" s="89"/>
      <c r="R406" s="89"/>
      <c r="S406" s="89"/>
      <c r="T406" s="89"/>
      <c r="U406" s="89"/>
      <c r="V406" s="89"/>
      <c r="W406" s="89"/>
      <c r="X406" s="89"/>
      <c r="Y406" s="89"/>
      <c r="Z406" s="89"/>
      <c r="AA406" s="89"/>
      <c r="AB406" s="89"/>
      <c r="AC406" s="89"/>
      <c r="AD406" s="89"/>
      <c r="AE406" s="89"/>
      <c r="AF406" s="89"/>
      <c r="AG406" s="89"/>
      <c r="AH406" s="89"/>
      <c r="AI406" s="89"/>
      <c r="AJ406" s="89"/>
      <c r="AK406" s="3"/>
      <c r="AL406" s="3"/>
    </row>
    <row r="407" spans="1:38" ht="17" x14ac:dyDescent="0.45">
      <c r="A407" s="90" t="s">
        <v>1573</v>
      </c>
      <c r="AI407" s="28"/>
      <c r="AJ407" s="28"/>
    </row>
    <row r="408" spans="1:38" s="28" customFormat="1" ht="17" x14ac:dyDescent="0.45">
      <c r="A408" s="88" t="s">
        <v>1574</v>
      </c>
      <c r="B408" s="581"/>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3"/>
      <c r="AL408" s="3"/>
    </row>
    <row r="409" spans="1:38" s="28" customFormat="1" x14ac:dyDescent="0.4">
      <c r="A409" s="88" t="s">
        <v>794</v>
      </c>
      <c r="B409" s="88" t="s">
        <v>136</v>
      </c>
      <c r="C409" s="230" t="s">
        <v>391</v>
      </c>
      <c r="D409" s="230" t="s">
        <v>392</v>
      </c>
      <c r="E409" s="230" t="s">
        <v>393</v>
      </c>
      <c r="F409" s="230" t="s">
        <v>394</v>
      </c>
      <c r="G409" s="230" t="s">
        <v>395</v>
      </c>
      <c r="H409" s="230" t="s">
        <v>396</v>
      </c>
      <c r="I409" s="230" t="s">
        <v>397</v>
      </c>
      <c r="J409" s="230" t="s">
        <v>398</v>
      </c>
      <c r="K409" s="230" t="s">
        <v>399</v>
      </c>
      <c r="L409" s="230" t="s">
        <v>400</v>
      </c>
      <c r="M409" s="230" t="s">
        <v>401</v>
      </c>
      <c r="N409" s="230" t="s">
        <v>402</v>
      </c>
      <c r="O409" s="230" t="s">
        <v>403</v>
      </c>
      <c r="P409" s="230" t="s">
        <v>404</v>
      </c>
      <c r="Q409" s="230" t="s">
        <v>405</v>
      </c>
      <c r="R409" s="230" t="s">
        <v>406</v>
      </c>
      <c r="S409" s="230" t="s">
        <v>407</v>
      </c>
      <c r="T409" s="230" t="s">
        <v>408</v>
      </c>
      <c r="U409" s="230" t="s">
        <v>409</v>
      </c>
      <c r="V409" s="230" t="s">
        <v>410</v>
      </c>
      <c r="W409" s="230" t="s">
        <v>411</v>
      </c>
      <c r="X409" s="230" t="s">
        <v>412</v>
      </c>
      <c r="Y409" s="230" t="s">
        <v>413</v>
      </c>
      <c r="Z409" s="230" t="s">
        <v>414</v>
      </c>
      <c r="AA409" s="230" t="s">
        <v>415</v>
      </c>
      <c r="AB409" s="230" t="s">
        <v>416</v>
      </c>
      <c r="AC409" s="230" t="s">
        <v>417</v>
      </c>
      <c r="AD409" s="230" t="s">
        <v>418</v>
      </c>
      <c r="AE409" s="230" t="s">
        <v>419</v>
      </c>
      <c r="AF409" s="230" t="s">
        <v>420</v>
      </c>
      <c r="AG409" s="230" t="s">
        <v>421</v>
      </c>
      <c r="AH409" s="230" t="s">
        <v>422</v>
      </c>
      <c r="AI409" s="230" t="s">
        <v>423</v>
      </c>
      <c r="AJ409" s="230" t="s">
        <v>424</v>
      </c>
      <c r="AK409" s="3"/>
      <c r="AL409" s="3"/>
    </row>
    <row r="410" spans="1:38" ht="17" x14ac:dyDescent="0.4">
      <c r="A410" s="581" t="s">
        <v>137</v>
      </c>
      <c r="B410" s="1411" t="s">
        <v>1390</v>
      </c>
      <c r="C410" s="89">
        <f t="shared" ref="C410:AJ410" si="114">(C115+C116)*C369</f>
        <v>699.54720282655251</v>
      </c>
      <c r="D410" s="89">
        <f t="shared" si="114"/>
        <v>691.96696997858658</v>
      </c>
      <c r="E410" s="89">
        <f t="shared" si="114"/>
        <v>680.86734330835122</v>
      </c>
      <c r="F410" s="89">
        <f t="shared" si="114"/>
        <v>628.43681051647093</v>
      </c>
      <c r="G410" s="89">
        <f t="shared" si="114"/>
        <v>613.02250855187174</v>
      </c>
      <c r="H410" s="89">
        <f t="shared" si="114"/>
        <v>582.51841830219223</v>
      </c>
      <c r="I410" s="89">
        <f t="shared" si="114"/>
        <v>548.63491365532957</v>
      </c>
      <c r="J410" s="89">
        <f t="shared" si="114"/>
        <v>518.31345022411233</v>
      </c>
      <c r="K410" s="89">
        <f t="shared" si="114"/>
        <v>488.81226141707162</v>
      </c>
      <c r="L410" s="89">
        <f t="shared" si="114"/>
        <v>460.61461910449071</v>
      </c>
      <c r="M410" s="89">
        <f t="shared" si="114"/>
        <v>425.32505056794048</v>
      </c>
      <c r="N410" s="89">
        <f t="shared" si="114"/>
        <v>393.57295682273309</v>
      </c>
      <c r="O410" s="89">
        <f t="shared" si="114"/>
        <v>364.5572987448233</v>
      </c>
      <c r="P410" s="89">
        <f t="shared" si="114"/>
        <v>338.18676292497963</v>
      </c>
      <c r="Q410" s="89">
        <f t="shared" si="114"/>
        <v>310.88609210893981</v>
      </c>
      <c r="R410" s="89">
        <f t="shared" si="114"/>
        <v>283.75119186993032</v>
      </c>
      <c r="S410" s="89">
        <f t="shared" si="114"/>
        <v>256.90896893399582</v>
      </c>
      <c r="T410" s="89">
        <f t="shared" si="114"/>
        <v>231.92835542363846</v>
      </c>
      <c r="U410" s="89">
        <f t="shared" si="114"/>
        <v>207.39467689768327</v>
      </c>
      <c r="V410" s="89">
        <f t="shared" si="114"/>
        <v>181.99887417856695</v>
      </c>
      <c r="W410" s="89">
        <f t="shared" si="114"/>
        <v>157.3048836906394</v>
      </c>
      <c r="X410" s="89">
        <f t="shared" si="114"/>
        <v>132.99499263078744</v>
      </c>
      <c r="Y410" s="89">
        <f t="shared" si="114"/>
        <v>129.25747798962601</v>
      </c>
      <c r="Z410" s="89">
        <f t="shared" si="114"/>
        <v>125.80867016094868</v>
      </c>
      <c r="AA410" s="89">
        <f t="shared" si="114"/>
        <v>117.03529502911663</v>
      </c>
      <c r="AB410" s="89">
        <f t="shared" si="114"/>
        <v>113.02212381849982</v>
      </c>
      <c r="AC410" s="89">
        <f t="shared" si="114"/>
        <v>108.87623538439362</v>
      </c>
      <c r="AD410" s="89">
        <f t="shared" si="114"/>
        <v>103.94113094760181</v>
      </c>
      <c r="AE410" s="89">
        <f t="shared" si="114"/>
        <v>99.728253537531558</v>
      </c>
      <c r="AF410" s="89">
        <f t="shared" si="114"/>
        <v>95.75269973762903</v>
      </c>
      <c r="AG410" s="89">
        <f t="shared" si="114"/>
        <v>92.463322945846826</v>
      </c>
      <c r="AH410" s="89">
        <f t="shared" si="114"/>
        <v>87.279991301578804</v>
      </c>
      <c r="AI410" s="89">
        <f t="shared" si="114"/>
        <v>82.260213616938216</v>
      </c>
      <c r="AJ410" s="89">
        <f t="shared" si="114"/>
        <v>77.217810967882514</v>
      </c>
    </row>
    <row r="411" spans="1:38" ht="17" x14ac:dyDescent="0.4">
      <c r="A411" s="581" t="s">
        <v>139</v>
      </c>
      <c r="B411" s="1411" t="s">
        <v>1390</v>
      </c>
      <c r="C411" s="89">
        <f t="shared" ref="C411:AJ411" si="115">(C110+C111)*C370</f>
        <v>354.42151968639189</v>
      </c>
      <c r="D411" s="89">
        <f t="shared" si="115"/>
        <v>346.36080458774154</v>
      </c>
      <c r="E411" s="89">
        <f t="shared" si="115"/>
        <v>337.55025552642604</v>
      </c>
      <c r="F411" s="89">
        <f t="shared" si="115"/>
        <v>318.21759401304365</v>
      </c>
      <c r="G411" s="89">
        <f t="shared" si="115"/>
        <v>299.27585743455381</v>
      </c>
      <c r="H411" s="89">
        <f t="shared" si="115"/>
        <v>282.72447770170163</v>
      </c>
      <c r="I411" s="89">
        <f t="shared" si="115"/>
        <v>261.70611009997833</v>
      </c>
      <c r="J411" s="89">
        <f t="shared" si="115"/>
        <v>248.08231135604831</v>
      </c>
      <c r="K411" s="89">
        <f t="shared" si="115"/>
        <v>233.58214918053989</v>
      </c>
      <c r="L411" s="89">
        <f t="shared" si="115"/>
        <v>219.73441348513012</v>
      </c>
      <c r="M411" s="89">
        <f t="shared" si="115"/>
        <v>221.22200653032226</v>
      </c>
      <c r="N411" s="89">
        <f t="shared" si="115"/>
        <v>181.17223042194965</v>
      </c>
      <c r="O411" s="89">
        <f t="shared" si="115"/>
        <v>165.17101967273223</v>
      </c>
      <c r="P411" s="89">
        <f t="shared" si="115"/>
        <v>146.97064693856262</v>
      </c>
      <c r="Q411" s="89">
        <f t="shared" si="115"/>
        <v>136.86490315869361</v>
      </c>
      <c r="R411" s="89">
        <f t="shared" si="115"/>
        <v>118.30846370022317</v>
      </c>
      <c r="S411" s="89">
        <f t="shared" si="115"/>
        <v>127.71127658594828</v>
      </c>
      <c r="T411" s="89">
        <f t="shared" si="115"/>
        <v>114.92863487034506</v>
      </c>
      <c r="U411" s="89">
        <f t="shared" si="115"/>
        <v>105.06855462281558</v>
      </c>
      <c r="V411" s="89">
        <f t="shared" si="115"/>
        <v>94.606430713897453</v>
      </c>
      <c r="W411" s="89">
        <f t="shared" si="115"/>
        <v>84.140459758515661</v>
      </c>
      <c r="X411" s="89">
        <f t="shared" si="115"/>
        <v>73.729228861530871</v>
      </c>
      <c r="Y411" s="89">
        <f t="shared" si="115"/>
        <v>70.629400842772924</v>
      </c>
      <c r="Z411" s="89">
        <f t="shared" si="115"/>
        <v>68.173366872089034</v>
      </c>
      <c r="AA411" s="89">
        <f t="shared" si="115"/>
        <v>66.03687142680235</v>
      </c>
      <c r="AB411" s="89">
        <f t="shared" si="115"/>
        <v>64.19270301185324</v>
      </c>
      <c r="AC411" s="89">
        <f t="shared" si="115"/>
        <v>61.095106690732997</v>
      </c>
      <c r="AD411" s="89">
        <f t="shared" si="115"/>
        <v>57.095371959775058</v>
      </c>
      <c r="AE411" s="89">
        <f t="shared" si="115"/>
        <v>54.701292958737632</v>
      </c>
      <c r="AF411" s="89">
        <f t="shared" si="115"/>
        <v>52.140014156276095</v>
      </c>
      <c r="AG411" s="89">
        <f t="shared" si="115"/>
        <v>49.971564858449682</v>
      </c>
      <c r="AH411" s="89">
        <f t="shared" si="115"/>
        <v>46.818936902399905</v>
      </c>
      <c r="AI411" s="89">
        <f t="shared" si="115"/>
        <v>46.399732789319309</v>
      </c>
      <c r="AJ411" s="89">
        <f t="shared" si="115"/>
        <v>43.482346052442878</v>
      </c>
    </row>
    <row r="412" spans="1:38" ht="17" x14ac:dyDescent="0.4">
      <c r="A412" s="581" t="s">
        <v>140</v>
      </c>
      <c r="B412" s="1411" t="s">
        <v>1390</v>
      </c>
      <c r="C412" s="89">
        <f t="shared" ref="C412:AJ412" si="116">(C112+C113)*C371</f>
        <v>7.6488755488323257</v>
      </c>
      <c r="D412" s="89">
        <f t="shared" si="116"/>
        <v>7.6297446641035513</v>
      </c>
      <c r="E412" s="89">
        <f t="shared" si="116"/>
        <v>7.9714918322130437</v>
      </c>
      <c r="F412" s="89">
        <f t="shared" si="116"/>
        <v>8.4359607300987438</v>
      </c>
      <c r="G412" s="89">
        <f t="shared" si="116"/>
        <v>8.8844500072011279</v>
      </c>
      <c r="H412" s="89">
        <f t="shared" si="116"/>
        <v>9.3152016477338915</v>
      </c>
      <c r="I412" s="89">
        <f t="shared" si="116"/>
        <v>9.9307525851753375</v>
      </c>
      <c r="J412" s="89">
        <f t="shared" si="116"/>
        <v>10.321172136537102</v>
      </c>
      <c r="K412" s="89">
        <f t="shared" si="116"/>
        <v>10.770421560621433</v>
      </c>
      <c r="L412" s="89">
        <f t="shared" si="116"/>
        <v>11.216382590263555</v>
      </c>
      <c r="M412" s="89">
        <f t="shared" si="116"/>
        <v>10.941044113426608</v>
      </c>
      <c r="N412" s="89">
        <f t="shared" si="116"/>
        <v>12.718508194855694</v>
      </c>
      <c r="O412" s="89">
        <f t="shared" si="116"/>
        <v>13.357725948201031</v>
      </c>
      <c r="P412" s="89">
        <f t="shared" si="116"/>
        <v>14.176834845807592</v>
      </c>
      <c r="Q412" s="89">
        <f t="shared" si="116"/>
        <v>14.651715003789784</v>
      </c>
      <c r="R412" s="89">
        <f t="shared" si="116"/>
        <v>15.552479287387161</v>
      </c>
      <c r="S412" s="89">
        <f t="shared" si="116"/>
        <v>14.389575708996523</v>
      </c>
      <c r="T412" s="89">
        <f t="shared" si="116"/>
        <v>14.979539319749559</v>
      </c>
      <c r="U412" s="89">
        <f t="shared" si="116"/>
        <v>15.401235129463835</v>
      </c>
      <c r="V412" s="89">
        <f t="shared" si="116"/>
        <v>15.910271728430573</v>
      </c>
      <c r="W412" s="89">
        <f t="shared" si="116"/>
        <v>16.489692069896094</v>
      </c>
      <c r="X412" s="89">
        <f t="shared" si="116"/>
        <v>16.940878860174312</v>
      </c>
      <c r="Y412" s="89">
        <f t="shared" si="116"/>
        <v>16.878554273720454</v>
      </c>
      <c r="Z412" s="89">
        <f t="shared" si="116"/>
        <v>16.818938708781189</v>
      </c>
      <c r="AA412" s="89">
        <f t="shared" si="116"/>
        <v>17.081135529273837</v>
      </c>
      <c r="AB412" s="89">
        <f t="shared" si="116"/>
        <v>16.916853741926126</v>
      </c>
      <c r="AC412" s="89">
        <f t="shared" si="116"/>
        <v>16.880798972935484</v>
      </c>
      <c r="AD412" s="89">
        <f t="shared" si="116"/>
        <v>16.80177017810988</v>
      </c>
      <c r="AE412" s="89">
        <f t="shared" si="116"/>
        <v>16.774694205979348</v>
      </c>
      <c r="AF412" s="89">
        <f t="shared" si="116"/>
        <v>16.727678012395511</v>
      </c>
      <c r="AG412" s="89">
        <f t="shared" si="116"/>
        <v>16.674491744573395</v>
      </c>
      <c r="AH412" s="89">
        <f t="shared" si="116"/>
        <v>16.608446882516965</v>
      </c>
      <c r="AI412" s="89">
        <f t="shared" si="116"/>
        <v>16.392685140582952</v>
      </c>
      <c r="AJ412" s="89">
        <f t="shared" si="116"/>
        <v>16.371861852179567</v>
      </c>
    </row>
    <row r="413" spans="1:38" ht="17" x14ac:dyDescent="0.4">
      <c r="A413" s="581" t="s">
        <v>141</v>
      </c>
      <c r="B413" s="1411" t="s">
        <v>1390</v>
      </c>
      <c r="C413" s="89">
        <f t="shared" ref="C413:AJ413" si="117">C114*C372</f>
        <v>13.44240358458244</v>
      </c>
      <c r="D413" s="89">
        <f t="shared" si="117"/>
        <v>14.91477387687366</v>
      </c>
      <c r="E413" s="89">
        <f t="shared" si="117"/>
        <v>16.555736187366168</v>
      </c>
      <c r="F413" s="89">
        <f t="shared" si="117"/>
        <v>17.668265426775829</v>
      </c>
      <c r="G413" s="89">
        <f t="shared" si="117"/>
        <v>18.208382805696139</v>
      </c>
      <c r="H413" s="89">
        <f t="shared" si="117"/>
        <v>18.911285109191226</v>
      </c>
      <c r="I413" s="89">
        <f t="shared" si="117"/>
        <v>19.260250744969138</v>
      </c>
      <c r="J413" s="89">
        <f t="shared" si="117"/>
        <v>19.574210185047662</v>
      </c>
      <c r="K413" s="89">
        <f t="shared" si="117"/>
        <v>19.704764053575619</v>
      </c>
      <c r="L413" s="89">
        <f t="shared" si="117"/>
        <v>19.63556600782216</v>
      </c>
      <c r="M413" s="89">
        <f t="shared" si="117"/>
        <v>19.709686531494281</v>
      </c>
      <c r="N413" s="89">
        <f t="shared" si="117"/>
        <v>19.737128460376816</v>
      </c>
      <c r="O413" s="89">
        <f t="shared" si="117"/>
        <v>19.08310857917099</v>
      </c>
      <c r="P413" s="89">
        <f t="shared" si="117"/>
        <v>18.352919172466493</v>
      </c>
      <c r="Q413" s="89">
        <f t="shared" si="117"/>
        <v>17.735498085471143</v>
      </c>
      <c r="R413" s="89">
        <f t="shared" si="117"/>
        <v>17.06026614488178</v>
      </c>
      <c r="S413" s="89">
        <f t="shared" si="117"/>
        <v>15.327531992358249</v>
      </c>
      <c r="T413" s="89">
        <f t="shared" si="117"/>
        <v>13.946692362537153</v>
      </c>
      <c r="U413" s="89">
        <f t="shared" si="117"/>
        <v>12.423484530941414</v>
      </c>
      <c r="V413" s="89">
        <f t="shared" si="117"/>
        <v>10.736186958326602</v>
      </c>
      <c r="W413" s="89">
        <f t="shared" si="117"/>
        <v>8.9689695122028255</v>
      </c>
      <c r="X413" s="89">
        <f t="shared" si="117"/>
        <v>7.1638586561576929</v>
      </c>
      <c r="Y413" s="89">
        <f t="shared" si="117"/>
        <v>7.4581296424259484</v>
      </c>
      <c r="Z413" s="89">
        <f t="shared" si="117"/>
        <v>7.7267236246190816</v>
      </c>
      <c r="AA413" s="89">
        <f t="shared" si="117"/>
        <v>8.0607531554527352</v>
      </c>
      <c r="AB413" s="89">
        <f t="shared" si="117"/>
        <v>8.314138496351525</v>
      </c>
      <c r="AC413" s="89">
        <f t="shared" si="117"/>
        <v>8.5785272968710107</v>
      </c>
      <c r="AD413" s="89">
        <f t="shared" si="117"/>
        <v>8.8907639471992361</v>
      </c>
      <c r="AE413" s="89">
        <f t="shared" si="117"/>
        <v>9.1230520334844858</v>
      </c>
      <c r="AF413" s="89">
        <f t="shared" si="117"/>
        <v>9.3566192560251409</v>
      </c>
      <c r="AG413" s="89">
        <f t="shared" si="117"/>
        <v>9.5636813484289043</v>
      </c>
      <c r="AH413" s="89">
        <f t="shared" si="117"/>
        <v>9.8024695872789689</v>
      </c>
      <c r="AI413" s="89">
        <f t="shared" si="117"/>
        <v>10.05922518890913</v>
      </c>
      <c r="AJ413" s="89">
        <f t="shared" si="117"/>
        <v>10.301476268737471</v>
      </c>
    </row>
    <row r="414" spans="1:38" ht="17" x14ac:dyDescent="0.4">
      <c r="A414" s="581" t="s">
        <v>142</v>
      </c>
      <c r="B414" s="1411" t="s">
        <v>1390</v>
      </c>
      <c r="C414" s="89">
        <f t="shared" ref="C414:AJ414" si="118">(C127+C128+C132+C133+C135)*C373</f>
        <v>563.11237286139465</v>
      </c>
      <c r="D414" s="89">
        <f t="shared" si="118"/>
        <v>553.88050072612009</v>
      </c>
      <c r="E414" s="89">
        <f t="shared" si="118"/>
        <v>536.66284701123061</v>
      </c>
      <c r="F414" s="89">
        <f t="shared" si="118"/>
        <v>509.8829176233462</v>
      </c>
      <c r="G414" s="89">
        <f t="shared" si="118"/>
        <v>478.07864951323415</v>
      </c>
      <c r="H414" s="89">
        <f t="shared" si="118"/>
        <v>462.54380992767796</v>
      </c>
      <c r="I414" s="89">
        <f t="shared" si="118"/>
        <v>435.76974686387933</v>
      </c>
      <c r="J414" s="89">
        <f t="shared" si="118"/>
        <v>413.80698937374962</v>
      </c>
      <c r="K414" s="89">
        <f t="shared" si="118"/>
        <v>393.18532657494194</v>
      </c>
      <c r="L414" s="89">
        <f t="shared" si="118"/>
        <v>371.96653735955806</v>
      </c>
      <c r="M414" s="89">
        <f t="shared" si="118"/>
        <v>352.31584078060513</v>
      </c>
      <c r="N414" s="89">
        <f t="shared" si="118"/>
        <v>332.3129626254788</v>
      </c>
      <c r="O414" s="89">
        <f t="shared" si="118"/>
        <v>323.89811315580988</v>
      </c>
      <c r="P414" s="89">
        <f t="shared" si="118"/>
        <v>305.2957451521163</v>
      </c>
      <c r="Q414" s="89">
        <f t="shared" si="118"/>
        <v>337.424924451923</v>
      </c>
      <c r="R414" s="89">
        <f t="shared" si="118"/>
        <v>277.72913586460152</v>
      </c>
      <c r="S414" s="89">
        <f t="shared" si="118"/>
        <v>240.99402493261624</v>
      </c>
      <c r="T414" s="89">
        <f t="shared" si="118"/>
        <v>222.78093955445115</v>
      </c>
      <c r="U414" s="89">
        <f t="shared" si="118"/>
        <v>206.58210707215406</v>
      </c>
      <c r="V414" s="89">
        <f t="shared" si="118"/>
        <v>187.82652274571575</v>
      </c>
      <c r="W414" s="89">
        <f t="shared" si="118"/>
        <v>170.20813085340407</v>
      </c>
      <c r="X414" s="89">
        <f t="shared" si="118"/>
        <v>155.60570128994448</v>
      </c>
      <c r="Y414" s="89">
        <f t="shared" si="118"/>
        <v>149.46915163872924</v>
      </c>
      <c r="Z414" s="89">
        <f t="shared" si="118"/>
        <v>145.6439916142559</v>
      </c>
      <c r="AA414" s="89">
        <f t="shared" si="118"/>
        <v>141.589782645409</v>
      </c>
      <c r="AB414" s="89">
        <f t="shared" si="118"/>
        <v>138.07684576298675</v>
      </c>
      <c r="AC414" s="89">
        <f t="shared" si="118"/>
        <v>135.55688084053037</v>
      </c>
      <c r="AD414" s="89">
        <f t="shared" si="118"/>
        <v>128.91190224761445</v>
      </c>
      <c r="AE414" s="89">
        <f t="shared" si="118"/>
        <v>126.3689044704166</v>
      </c>
      <c r="AF414" s="89">
        <f t="shared" si="118"/>
        <v>118.67806365849879</v>
      </c>
      <c r="AG414" s="89">
        <f t="shared" si="118"/>
        <v>116.90325424036392</v>
      </c>
      <c r="AH414" s="89">
        <f t="shared" si="118"/>
        <v>111.98275401262921</v>
      </c>
      <c r="AI414" s="89">
        <f t="shared" si="118"/>
        <v>107.16590163123118</v>
      </c>
      <c r="AJ414" s="89">
        <f t="shared" si="118"/>
        <v>103.07970258635443</v>
      </c>
    </row>
    <row r="415" spans="1:38" ht="17" x14ac:dyDescent="0.4">
      <c r="A415" s="581" t="s">
        <v>144</v>
      </c>
      <c r="B415" s="1411" t="s">
        <v>1390</v>
      </c>
      <c r="C415" s="89">
        <f t="shared" ref="C415:AJ415" si="119">(C129+C130)*C374</f>
        <v>15.065149928187132</v>
      </c>
      <c r="D415" s="89">
        <f t="shared" si="119"/>
        <v>15.274831561311759</v>
      </c>
      <c r="E415" s="89">
        <f t="shared" si="119"/>
        <v>15.460192126727897</v>
      </c>
      <c r="F415" s="89">
        <f t="shared" si="119"/>
        <v>14.949959830581543</v>
      </c>
      <c r="G415" s="89">
        <f t="shared" si="119"/>
        <v>14.832865920418913</v>
      </c>
      <c r="H415" s="89">
        <f t="shared" si="119"/>
        <v>14.283557246240878</v>
      </c>
      <c r="I415" s="89">
        <f t="shared" si="119"/>
        <v>13.197870830775146</v>
      </c>
      <c r="J415" s="89">
        <f t="shared" si="119"/>
        <v>12.69834947484723</v>
      </c>
      <c r="K415" s="89">
        <f t="shared" si="119"/>
        <v>12.2042618830805</v>
      </c>
      <c r="L415" s="89">
        <f t="shared" si="119"/>
        <v>11.916575774853174</v>
      </c>
      <c r="M415" s="89">
        <f t="shared" si="119"/>
        <v>16.313909458902565</v>
      </c>
      <c r="N415" s="89">
        <f t="shared" si="119"/>
        <v>15.595121547950514</v>
      </c>
      <c r="O415" s="89">
        <f t="shared" si="119"/>
        <v>14.819986700096868</v>
      </c>
      <c r="P415" s="89">
        <f t="shared" si="119"/>
        <v>14.030773811819602</v>
      </c>
      <c r="Q415" s="89">
        <f t="shared" si="119"/>
        <v>9.8902590901321599</v>
      </c>
      <c r="R415" s="89">
        <f t="shared" si="119"/>
        <v>9.9164539404929481</v>
      </c>
      <c r="S415" s="89">
        <f t="shared" si="119"/>
        <v>9.6985115768711641</v>
      </c>
      <c r="T415" s="89">
        <f t="shared" si="119"/>
        <v>9.1038194724940276</v>
      </c>
      <c r="U415" s="89">
        <f t="shared" si="119"/>
        <v>8.465078295861213</v>
      </c>
      <c r="V415" s="89">
        <f t="shared" si="119"/>
        <v>7.8248645311542404</v>
      </c>
      <c r="W415" s="89">
        <f t="shared" si="119"/>
        <v>6.9221733575332971</v>
      </c>
      <c r="X415" s="89">
        <f t="shared" si="119"/>
        <v>6.273883360876388</v>
      </c>
      <c r="Y415" s="89">
        <f t="shared" si="119"/>
        <v>6.1896778399032302</v>
      </c>
      <c r="Z415" s="89">
        <f t="shared" si="119"/>
        <v>6.0304577085341498</v>
      </c>
      <c r="AA415" s="89">
        <f t="shared" si="119"/>
        <v>5.9403028844487569</v>
      </c>
      <c r="AB415" s="89">
        <f t="shared" si="119"/>
        <v>5.8706655287888916</v>
      </c>
      <c r="AC415" s="89">
        <f t="shared" si="119"/>
        <v>5.7923330378111455</v>
      </c>
      <c r="AD415" s="89">
        <f t="shared" si="119"/>
        <v>5.7114072608613977</v>
      </c>
      <c r="AE415" s="89">
        <f t="shared" si="119"/>
        <v>5.5965018103667781</v>
      </c>
      <c r="AF415" s="89">
        <f t="shared" si="119"/>
        <v>5.5109233732907974</v>
      </c>
      <c r="AG415" s="89">
        <f t="shared" si="119"/>
        <v>5.4604305699536315</v>
      </c>
      <c r="AH415" s="89">
        <f t="shared" si="119"/>
        <v>5.3621526589265365</v>
      </c>
      <c r="AI415" s="89">
        <f t="shared" si="119"/>
        <v>5.2872524582058489</v>
      </c>
      <c r="AJ415" s="89">
        <f t="shared" si="119"/>
        <v>5.2141065391721009</v>
      </c>
    </row>
    <row r="416" spans="1:38" ht="17" x14ac:dyDescent="0.4">
      <c r="A416" s="581" t="s">
        <v>145</v>
      </c>
      <c r="B416" s="1411" t="s">
        <v>1390</v>
      </c>
      <c r="C416" s="89">
        <f t="shared" ref="C416:AJ416" si="120">C131*C375</f>
        <v>1.2465859103711778</v>
      </c>
      <c r="D416" s="89">
        <f t="shared" si="120"/>
        <v>1.3236051151456969</v>
      </c>
      <c r="E416" s="89">
        <f t="shared" si="120"/>
        <v>1.4559461174484047</v>
      </c>
      <c r="F416" s="89">
        <f t="shared" si="120"/>
        <v>1.6217349485241108</v>
      </c>
      <c r="G416" s="89">
        <f t="shared" si="120"/>
        <v>1.8161505511267917</v>
      </c>
      <c r="H416" s="89">
        <f t="shared" si="120"/>
        <v>1.9645030826335799</v>
      </c>
      <c r="I416" s="89">
        <f t="shared" si="120"/>
        <v>2.1771841186910574</v>
      </c>
      <c r="J416" s="89">
        <f t="shared" si="120"/>
        <v>2.376607528034155</v>
      </c>
      <c r="K416" s="89">
        <f t="shared" si="120"/>
        <v>2.5973441026218977</v>
      </c>
      <c r="L416" s="89">
        <f t="shared" si="120"/>
        <v>2.7798191458847454</v>
      </c>
      <c r="M416" s="89">
        <f t="shared" si="120"/>
        <v>3.0123060687243788</v>
      </c>
      <c r="N416" s="89">
        <f t="shared" si="120"/>
        <v>3.2146760022690026</v>
      </c>
      <c r="O416" s="89">
        <f t="shared" si="120"/>
        <v>3.4362768128504606</v>
      </c>
      <c r="P416" s="89">
        <f t="shared" si="120"/>
        <v>3.6511324295285679</v>
      </c>
      <c r="Q416" s="89">
        <f t="shared" si="120"/>
        <v>3.6937509689317238</v>
      </c>
      <c r="R416" s="89">
        <f t="shared" si="120"/>
        <v>4.0008060643783496</v>
      </c>
      <c r="S416" s="89">
        <f t="shared" si="120"/>
        <v>4.3112942408022814</v>
      </c>
      <c r="T416" s="89">
        <f t="shared" si="120"/>
        <v>4.5330175875152428</v>
      </c>
      <c r="U416" s="89">
        <f t="shared" si="120"/>
        <v>4.7643638158357167</v>
      </c>
      <c r="V416" s="89">
        <f t="shared" si="120"/>
        <v>5.010001019933827</v>
      </c>
      <c r="W416" s="89">
        <f t="shared" si="120"/>
        <v>5.2741667171956665</v>
      </c>
      <c r="X416" s="89">
        <f t="shared" si="120"/>
        <v>5.5076244433765629</v>
      </c>
      <c r="Y416" s="89">
        <f t="shared" si="120"/>
        <v>5.7438600715141419</v>
      </c>
      <c r="Z416" s="89">
        <f t="shared" si="120"/>
        <v>5.970772646804023</v>
      </c>
      <c r="AA416" s="89">
        <f t="shared" si="120"/>
        <v>6.1687249084307796</v>
      </c>
      <c r="AB416" s="89">
        <f t="shared" si="120"/>
        <v>6.3595067822361324</v>
      </c>
      <c r="AC416" s="89">
        <f t="shared" si="120"/>
        <v>6.5319445429217149</v>
      </c>
      <c r="AD416" s="89">
        <f t="shared" si="120"/>
        <v>6.7732830712475289</v>
      </c>
      <c r="AE416" s="89">
        <f t="shared" si="120"/>
        <v>6.9381865043410764</v>
      </c>
      <c r="AF416" s="89">
        <f t="shared" si="120"/>
        <v>7.1300369672602004</v>
      </c>
      <c r="AG416" s="89">
        <f t="shared" si="120"/>
        <v>7.2392034116512995</v>
      </c>
      <c r="AH416" s="89">
        <f t="shared" si="120"/>
        <v>7.401745107935418</v>
      </c>
      <c r="AI416" s="89">
        <f t="shared" si="120"/>
        <v>7.5421019650096879</v>
      </c>
      <c r="AJ416" s="89">
        <f t="shared" si="120"/>
        <v>7.6721136405187318</v>
      </c>
    </row>
    <row r="417" spans="1:38" ht="17" x14ac:dyDescent="0.4">
      <c r="A417" s="581" t="s">
        <v>146</v>
      </c>
      <c r="B417" s="1411" t="s">
        <v>1390</v>
      </c>
      <c r="C417" s="89">
        <f t="shared" ref="C417:AJ417" si="121">C134*C376</f>
        <v>2.0332466175795396</v>
      </c>
      <c r="D417" s="89">
        <f t="shared" si="121"/>
        <v>2.1929007533194</v>
      </c>
      <c r="E417" s="89">
        <f t="shared" si="121"/>
        <v>2.869159328282548</v>
      </c>
      <c r="F417" s="89">
        <f t="shared" si="121"/>
        <v>2.1333369248997407</v>
      </c>
      <c r="G417" s="89">
        <f t="shared" si="121"/>
        <v>2.1142995753806249</v>
      </c>
      <c r="H417" s="89">
        <f t="shared" si="121"/>
        <v>2.0884837756539447</v>
      </c>
      <c r="I417" s="89">
        <f t="shared" si="121"/>
        <v>2.0742057635146076</v>
      </c>
      <c r="J417" s="89">
        <f t="shared" si="121"/>
        <v>2.0596393066855869</v>
      </c>
      <c r="K417" s="89">
        <f t="shared" si="121"/>
        <v>2.0451449610289871</v>
      </c>
      <c r="L417" s="89">
        <f t="shared" si="121"/>
        <v>2.0364195091660586</v>
      </c>
      <c r="M417" s="89">
        <f t="shared" si="121"/>
        <v>2.3193837497456489</v>
      </c>
      <c r="N417" s="89">
        <f t="shared" si="121"/>
        <v>2.3110188537448253</v>
      </c>
      <c r="O417" s="89">
        <f t="shared" si="121"/>
        <v>2.2944332840880195</v>
      </c>
      <c r="P417" s="89">
        <f t="shared" si="121"/>
        <v>2.2751074898792196</v>
      </c>
      <c r="Q417" s="89">
        <f t="shared" si="121"/>
        <v>1.795279748590588</v>
      </c>
      <c r="R417" s="89">
        <f t="shared" si="121"/>
        <v>1.7710503946571678</v>
      </c>
      <c r="S417" s="89">
        <f t="shared" si="121"/>
        <v>1.7719157287262184</v>
      </c>
      <c r="T417" s="89">
        <f t="shared" si="121"/>
        <v>1.7593683847249824</v>
      </c>
      <c r="U417" s="89">
        <f t="shared" si="121"/>
        <v>1.7463883736892216</v>
      </c>
      <c r="V417" s="89">
        <f t="shared" si="121"/>
        <v>1.7130730120307684</v>
      </c>
      <c r="W417" s="89">
        <f t="shared" si="121"/>
        <v>1.6837958760278853</v>
      </c>
      <c r="X417" s="89">
        <f t="shared" si="121"/>
        <v>1.6478845121622798</v>
      </c>
      <c r="Y417" s="89">
        <f t="shared" si="121"/>
        <v>1.6139922611244595</v>
      </c>
      <c r="Z417" s="89">
        <f t="shared" si="121"/>
        <v>1.5724562258100243</v>
      </c>
      <c r="AA417" s="89">
        <f t="shared" si="121"/>
        <v>1.5482268718766035</v>
      </c>
      <c r="AB417" s="89">
        <f t="shared" si="121"/>
        <v>1.5196708475979297</v>
      </c>
      <c r="AC417" s="89">
        <f t="shared" si="121"/>
        <v>1.4908263786295717</v>
      </c>
      <c r="AD417" s="89">
        <f t="shared" si="121"/>
        <v>1.4376083333829517</v>
      </c>
      <c r="AE417" s="89">
        <f t="shared" si="121"/>
        <v>1.4063120845522834</v>
      </c>
      <c r="AF417" s="89">
        <f t="shared" si="121"/>
        <v>1.3572764873060752</v>
      </c>
      <c r="AG417" s="89">
        <f t="shared" si="121"/>
        <v>1.3391044718560099</v>
      </c>
      <c r="AH417" s="89">
        <f t="shared" si="121"/>
        <v>1.3072313336459744</v>
      </c>
      <c r="AI417" s="89">
        <f t="shared" si="121"/>
        <v>1.2804059775054017</v>
      </c>
      <c r="AJ417" s="89">
        <f t="shared" si="121"/>
        <v>1.2331010483972948</v>
      </c>
    </row>
    <row r="418" spans="1:38" ht="17" x14ac:dyDescent="0.4">
      <c r="A418" s="581" t="s">
        <v>115</v>
      </c>
      <c r="B418" s="1411" t="s">
        <v>1390</v>
      </c>
      <c r="C418" s="89">
        <f>SUBTOTAL(109,C410:C417)</f>
        <v>1656.5173569638916</v>
      </c>
      <c r="D418" s="89">
        <f t="shared" ref="D418:AJ418" si="122">SUBTOTAL(109,D410:D417)</f>
        <v>1633.5441312632022</v>
      </c>
      <c r="E418" s="89">
        <f t="shared" si="122"/>
        <v>1599.3929714380458</v>
      </c>
      <c r="F418" s="89">
        <f t="shared" si="122"/>
        <v>1501.3465800137408</v>
      </c>
      <c r="G418" s="89">
        <f t="shared" si="122"/>
        <v>1436.2331643594835</v>
      </c>
      <c r="H418" s="89">
        <f t="shared" si="122"/>
        <v>1374.3497367930254</v>
      </c>
      <c r="I418" s="89">
        <f t="shared" si="122"/>
        <v>1292.7510346623123</v>
      </c>
      <c r="J418" s="89">
        <f t="shared" si="122"/>
        <v>1227.2327295850619</v>
      </c>
      <c r="K418" s="89">
        <f t="shared" si="122"/>
        <v>1162.9016737334821</v>
      </c>
      <c r="L418" s="89">
        <f t="shared" si="122"/>
        <v>1099.9003329771685</v>
      </c>
      <c r="M418" s="89">
        <f t="shared" si="122"/>
        <v>1051.1592278011615</v>
      </c>
      <c r="N418" s="89">
        <f t="shared" si="122"/>
        <v>960.63460292935827</v>
      </c>
      <c r="O418" s="89">
        <f t="shared" si="122"/>
        <v>906.61796289777271</v>
      </c>
      <c r="P418" s="89">
        <f t="shared" si="122"/>
        <v>842.93992276516008</v>
      </c>
      <c r="Q418" s="89">
        <f t="shared" si="122"/>
        <v>832.94242261647173</v>
      </c>
      <c r="R418" s="89">
        <f t="shared" si="122"/>
        <v>728.0898472665524</v>
      </c>
      <c r="S418" s="89">
        <f t="shared" si="122"/>
        <v>671.11309970031471</v>
      </c>
      <c r="T418" s="89">
        <f t="shared" si="122"/>
        <v>613.9603669754556</v>
      </c>
      <c r="U418" s="89">
        <f t="shared" si="122"/>
        <v>561.84588873844439</v>
      </c>
      <c r="V418" s="89">
        <f t="shared" si="122"/>
        <v>505.62622488805613</v>
      </c>
      <c r="W418" s="89">
        <f t="shared" si="122"/>
        <v>450.99227183541495</v>
      </c>
      <c r="X418" s="89">
        <f t="shared" si="122"/>
        <v>399.86405261501</v>
      </c>
      <c r="Y418" s="89">
        <f t="shared" si="122"/>
        <v>387.2402445598164</v>
      </c>
      <c r="Z418" s="89">
        <f t="shared" si="122"/>
        <v>377.74537756184208</v>
      </c>
      <c r="AA418" s="89">
        <f t="shared" si="122"/>
        <v>363.46109245081072</v>
      </c>
      <c r="AB418" s="89">
        <f t="shared" si="122"/>
        <v>354.2725079902404</v>
      </c>
      <c r="AC418" s="89">
        <f t="shared" si="122"/>
        <v>344.80265314482591</v>
      </c>
      <c r="AD418" s="89">
        <f t="shared" si="122"/>
        <v>329.56323794579237</v>
      </c>
      <c r="AE418" s="89">
        <f t="shared" si="122"/>
        <v>320.63719760540977</v>
      </c>
      <c r="AF418" s="89">
        <f t="shared" si="122"/>
        <v>306.65331164868161</v>
      </c>
      <c r="AG418" s="89">
        <f t="shared" si="122"/>
        <v>299.61505359112368</v>
      </c>
      <c r="AH418" s="89">
        <f t="shared" si="122"/>
        <v>286.56372778691184</v>
      </c>
      <c r="AI418" s="89">
        <f t="shared" si="122"/>
        <v>276.38751876770169</v>
      </c>
      <c r="AJ418" s="89">
        <f t="shared" si="122"/>
        <v>264.57251895568504</v>
      </c>
    </row>
    <row r="419" spans="1:38" x14ac:dyDescent="0.4">
      <c r="A419" s="1301" t="s">
        <v>1063</v>
      </c>
      <c r="B419" s="1301"/>
      <c r="C419" s="599"/>
      <c r="D419" s="599"/>
      <c r="E419" s="599"/>
      <c r="F419" s="599"/>
      <c r="G419" s="599"/>
      <c r="H419" s="599"/>
      <c r="I419" s="599"/>
      <c r="J419" s="599"/>
      <c r="K419" s="599"/>
      <c r="L419" s="599"/>
      <c r="M419" s="599"/>
      <c r="N419" s="599"/>
      <c r="O419" s="599"/>
      <c r="P419" s="599"/>
      <c r="Q419" s="599"/>
      <c r="R419" s="599"/>
      <c r="S419" s="599"/>
      <c r="T419" s="599"/>
      <c r="U419" s="599"/>
      <c r="V419" s="599"/>
      <c r="W419" s="599"/>
      <c r="X419" s="599"/>
      <c r="Y419" s="599"/>
      <c r="Z419" s="599"/>
      <c r="AA419" s="599"/>
      <c r="AB419" s="599"/>
      <c r="AC419" s="599"/>
      <c r="AD419" s="599"/>
      <c r="AE419" s="599"/>
      <c r="AF419" s="599"/>
      <c r="AG419" s="599"/>
      <c r="AH419" s="599"/>
      <c r="AI419" s="599"/>
      <c r="AJ419" s="599"/>
    </row>
    <row r="420" spans="1:38" x14ac:dyDescent="0.4">
      <c r="A420" s="581"/>
      <c r="B420" s="581"/>
      <c r="C420" s="89"/>
      <c r="D420" s="89"/>
      <c r="E420" s="89"/>
      <c r="F420" s="89"/>
      <c r="G420" s="89"/>
      <c r="H420" s="89"/>
      <c r="I420" s="89"/>
      <c r="J420" s="89"/>
      <c r="K420" s="89"/>
      <c r="L420" s="89"/>
      <c r="M420" s="89"/>
      <c r="N420" s="89"/>
      <c r="O420" s="89"/>
      <c r="P420" s="89"/>
      <c r="Q420" s="89"/>
      <c r="R420" s="89"/>
      <c r="S420" s="89"/>
      <c r="T420" s="89"/>
      <c r="U420" s="89"/>
      <c r="V420" s="89"/>
      <c r="W420" s="89"/>
      <c r="X420" s="89"/>
      <c r="Y420" s="89"/>
      <c r="Z420" s="89"/>
      <c r="AA420" s="89"/>
      <c r="AB420" s="89"/>
      <c r="AC420" s="89"/>
      <c r="AD420" s="89"/>
      <c r="AE420" s="89"/>
      <c r="AF420" s="89"/>
      <c r="AG420" s="89"/>
      <c r="AH420" s="89"/>
      <c r="AI420" s="89"/>
      <c r="AJ420" s="89"/>
    </row>
    <row r="421" spans="1:38" x14ac:dyDescent="0.4">
      <c r="A421" s="660" t="s">
        <v>534</v>
      </c>
    </row>
    <row r="422" spans="1:38" x14ac:dyDescent="0.4">
      <c r="A422" s="581"/>
      <c r="B422" s="581"/>
      <c r="C422" s="89"/>
      <c r="D422" s="89"/>
      <c r="E422" s="89"/>
      <c r="F422" s="89"/>
      <c r="G422" s="89"/>
      <c r="H422" s="89"/>
      <c r="I422" s="89"/>
      <c r="J422" s="89"/>
      <c r="K422" s="89"/>
      <c r="L422" s="89"/>
      <c r="M422" s="89"/>
      <c r="N422" s="89"/>
      <c r="O422" s="89"/>
      <c r="P422" s="89"/>
      <c r="Q422" s="89"/>
      <c r="R422" s="89"/>
      <c r="S422" s="89"/>
      <c r="T422" s="89"/>
      <c r="U422" s="89"/>
      <c r="V422" s="89"/>
      <c r="W422" s="89"/>
      <c r="X422" s="89"/>
      <c r="Y422" s="89"/>
      <c r="Z422" s="89"/>
      <c r="AA422" s="89"/>
      <c r="AB422" s="89"/>
      <c r="AC422" s="89"/>
      <c r="AD422" s="89"/>
      <c r="AE422" s="89"/>
      <c r="AF422" s="89"/>
      <c r="AG422" s="89"/>
      <c r="AH422" s="89"/>
      <c r="AI422" s="89"/>
      <c r="AJ422" s="89"/>
    </row>
    <row r="423" spans="1:38" ht="17" x14ac:dyDescent="0.45">
      <c r="A423" s="88" t="s">
        <v>1575</v>
      </c>
      <c r="B423" s="581"/>
      <c r="C423" s="89"/>
      <c r="D423" s="89"/>
      <c r="E423" s="89"/>
      <c r="F423" s="89"/>
      <c r="G423" s="89"/>
      <c r="H423" s="89"/>
      <c r="I423" s="89"/>
      <c r="J423" s="89"/>
      <c r="K423" s="89"/>
      <c r="L423" s="89"/>
      <c r="M423" s="89"/>
      <c r="N423" s="89"/>
      <c r="O423" s="89"/>
      <c r="P423" s="89"/>
      <c r="Q423" s="89"/>
      <c r="R423" s="89"/>
      <c r="S423" s="89"/>
      <c r="T423" s="89"/>
      <c r="U423" s="89"/>
      <c r="V423" s="89"/>
      <c r="W423" s="89"/>
      <c r="X423" s="89"/>
      <c r="Y423" s="89"/>
      <c r="Z423" s="89"/>
      <c r="AA423" s="89"/>
      <c r="AB423" s="89"/>
      <c r="AC423" s="89"/>
      <c r="AD423" s="89"/>
      <c r="AE423" s="89"/>
      <c r="AF423" s="89"/>
      <c r="AG423" s="89"/>
      <c r="AH423" s="89"/>
      <c r="AI423" s="89"/>
      <c r="AJ423" s="89"/>
    </row>
    <row r="424" spans="1:38" s="28" customFormat="1" x14ac:dyDescent="0.4">
      <c r="A424" s="88" t="s">
        <v>795</v>
      </c>
      <c r="B424" s="88" t="s">
        <v>136</v>
      </c>
      <c r="C424" s="230" t="s">
        <v>391</v>
      </c>
      <c r="D424" s="230" t="s">
        <v>392</v>
      </c>
      <c r="E424" s="230" t="s">
        <v>393</v>
      </c>
      <c r="F424" s="230" t="s">
        <v>394</v>
      </c>
      <c r="G424" s="230" t="s">
        <v>395</v>
      </c>
      <c r="H424" s="230" t="s">
        <v>396</v>
      </c>
      <c r="I424" s="230" t="s">
        <v>397</v>
      </c>
      <c r="J424" s="230" t="s">
        <v>398</v>
      </c>
      <c r="K424" s="230" t="s">
        <v>399</v>
      </c>
      <c r="L424" s="230" t="s">
        <v>400</v>
      </c>
      <c r="M424" s="230" t="s">
        <v>401</v>
      </c>
      <c r="N424" s="230" t="s">
        <v>402</v>
      </c>
      <c r="O424" s="230" t="s">
        <v>403</v>
      </c>
      <c r="P424" s="230" t="s">
        <v>404</v>
      </c>
      <c r="Q424" s="230" t="s">
        <v>405</v>
      </c>
      <c r="R424" s="230" t="s">
        <v>406</v>
      </c>
      <c r="S424" s="230" t="s">
        <v>407</v>
      </c>
      <c r="T424" s="230" t="s">
        <v>408</v>
      </c>
      <c r="U424" s="230" t="s">
        <v>409</v>
      </c>
      <c r="V424" s="230" t="s">
        <v>410</v>
      </c>
      <c r="W424" s="230" t="s">
        <v>411</v>
      </c>
      <c r="X424" s="230" t="s">
        <v>412</v>
      </c>
      <c r="Y424" s="230" t="s">
        <v>413</v>
      </c>
      <c r="Z424" s="230" t="s">
        <v>414</v>
      </c>
      <c r="AA424" s="230" t="s">
        <v>415</v>
      </c>
      <c r="AB424" s="230" t="s">
        <v>416</v>
      </c>
      <c r="AC424" s="230" t="s">
        <v>417</v>
      </c>
      <c r="AD424" s="230" t="s">
        <v>418</v>
      </c>
      <c r="AE424" s="230" t="s">
        <v>419</v>
      </c>
      <c r="AF424" s="230" t="s">
        <v>420</v>
      </c>
      <c r="AG424" s="230" t="s">
        <v>421</v>
      </c>
      <c r="AH424" s="230" t="s">
        <v>422</v>
      </c>
      <c r="AI424" s="230" t="s">
        <v>423</v>
      </c>
      <c r="AJ424" s="230" t="s">
        <v>424</v>
      </c>
      <c r="AK424" s="3"/>
      <c r="AL424" s="3"/>
    </row>
    <row r="425" spans="1:38" ht="17" x14ac:dyDescent="0.4">
      <c r="A425" s="646" t="s">
        <v>993</v>
      </c>
      <c r="B425" s="1411" t="s">
        <v>1390</v>
      </c>
      <c r="C425" s="89">
        <f t="shared" ref="C425:C434" si="123">C152*C381</f>
        <v>48.231376180728056</v>
      </c>
      <c r="D425" s="89">
        <f>$C425+((D$409-$C$409)*($C425-$AA425)/($C$409-$AA$409))</f>
        <v>46.463574603854397</v>
      </c>
      <c r="E425" s="89">
        <f t="shared" ref="E425:Z434" si="124">$C425+((E$409-$C$409)*($C425-$AA425)/($C$409-$AA$409))</f>
        <v>44.695773026980731</v>
      </c>
      <c r="F425" s="89">
        <f t="shared" si="124"/>
        <v>42.927971450107073</v>
      </c>
      <c r="G425" s="89">
        <f t="shared" si="124"/>
        <v>41.160169873233407</v>
      </c>
      <c r="H425" s="89">
        <f t="shared" si="124"/>
        <v>39.392368296359749</v>
      </c>
      <c r="I425" s="89">
        <f t="shared" si="124"/>
        <v>37.624566719486083</v>
      </c>
      <c r="J425" s="89">
        <f t="shared" si="124"/>
        <v>35.856765142612424</v>
      </c>
      <c r="K425" s="89">
        <f t="shared" si="124"/>
        <v>34.088963565738759</v>
      </c>
      <c r="L425" s="89">
        <f t="shared" si="124"/>
        <v>32.3211619888651</v>
      </c>
      <c r="M425" s="89">
        <f t="shared" si="124"/>
        <v>30.553360411991438</v>
      </c>
      <c r="N425" s="89">
        <f t="shared" si="124"/>
        <v>28.785558835117776</v>
      </c>
      <c r="O425" s="89">
        <f t="shared" si="124"/>
        <v>27.017757258244114</v>
      </c>
      <c r="P425" s="89">
        <f t="shared" si="124"/>
        <v>25.249955681370455</v>
      </c>
      <c r="Q425" s="89">
        <f t="shared" si="124"/>
        <v>23.482154104496789</v>
      </c>
      <c r="R425" s="89">
        <f t="shared" si="124"/>
        <v>21.714352527623127</v>
      </c>
      <c r="S425" s="89">
        <f t="shared" si="124"/>
        <v>19.946550950749465</v>
      </c>
      <c r="T425" s="89">
        <f t="shared" si="124"/>
        <v>18.178749373875807</v>
      </c>
      <c r="U425" s="89">
        <f t="shared" si="124"/>
        <v>16.410947797002144</v>
      </c>
      <c r="V425" s="89">
        <f t="shared" si="124"/>
        <v>14.643146220128479</v>
      </c>
      <c r="W425" s="89">
        <f t="shared" si="124"/>
        <v>12.87534464325482</v>
      </c>
      <c r="X425" s="89">
        <f t="shared" si="124"/>
        <v>11.107543066381155</v>
      </c>
      <c r="Y425" s="89">
        <f t="shared" si="124"/>
        <v>9.3397414895074959</v>
      </c>
      <c r="Z425" s="89">
        <f t="shared" si="124"/>
        <v>7.5719399126338374</v>
      </c>
      <c r="AA425" s="89">
        <f t="shared" ref="AA425:AJ425" si="125">AA152*AA381</f>
        <v>5.8041383357601708</v>
      </c>
      <c r="AB425" s="89">
        <f t="shared" si="125"/>
        <v>5.4256075747323349</v>
      </c>
      <c r="AC425" s="89">
        <f t="shared" si="125"/>
        <v>5.9303152561027845</v>
      </c>
      <c r="AD425" s="89">
        <f t="shared" si="125"/>
        <v>5.9303152561027836</v>
      </c>
      <c r="AE425" s="89">
        <f t="shared" si="125"/>
        <v>5.9303152561027836</v>
      </c>
      <c r="AF425" s="89">
        <f t="shared" si="125"/>
        <v>5.9303152561027836</v>
      </c>
      <c r="AG425" s="89">
        <f t="shared" si="125"/>
        <v>6.0564921764453956</v>
      </c>
      <c r="AH425" s="89">
        <f t="shared" si="125"/>
        <v>5.9934037162740896</v>
      </c>
      <c r="AI425" s="89">
        <f t="shared" si="125"/>
        <v>5.9934037162740896</v>
      </c>
      <c r="AJ425" s="89">
        <f t="shared" si="125"/>
        <v>5.8672267959314786</v>
      </c>
    </row>
    <row r="426" spans="1:38" ht="17" x14ac:dyDescent="0.4">
      <c r="A426" s="644" t="s">
        <v>994</v>
      </c>
      <c r="B426" s="1411" t="s">
        <v>1390</v>
      </c>
      <c r="C426" s="89">
        <f t="shared" si="123"/>
        <v>0.94980421927194869</v>
      </c>
      <c r="D426" s="89">
        <f t="shared" ref="D426:S434" si="126">$C426+((D$409-$C$409)*($C426-$AA426)/($C$409-$AA$409))</f>
        <v>0.91267144448608151</v>
      </c>
      <c r="E426" s="89">
        <f t="shared" si="126"/>
        <v>0.87553866970021421</v>
      </c>
      <c r="F426" s="89">
        <f t="shared" si="126"/>
        <v>0.83840589491434692</v>
      </c>
      <c r="G426" s="89">
        <f t="shared" si="126"/>
        <v>0.80127312012847973</v>
      </c>
      <c r="H426" s="89">
        <f t="shared" si="126"/>
        <v>0.76414034534261244</v>
      </c>
      <c r="I426" s="89">
        <f t="shared" si="126"/>
        <v>0.72700757055674525</v>
      </c>
      <c r="J426" s="89">
        <f t="shared" si="126"/>
        <v>0.68987479577087796</v>
      </c>
      <c r="K426" s="89">
        <f t="shared" si="126"/>
        <v>0.65274202098501077</v>
      </c>
      <c r="L426" s="89">
        <f t="shared" si="126"/>
        <v>0.61560924619914359</v>
      </c>
      <c r="M426" s="89">
        <f t="shared" si="126"/>
        <v>0.57847647141327618</v>
      </c>
      <c r="N426" s="89">
        <f t="shared" si="126"/>
        <v>0.541343696627409</v>
      </c>
      <c r="O426" s="89">
        <f t="shared" si="126"/>
        <v>0.50421092184154181</v>
      </c>
      <c r="P426" s="89">
        <f t="shared" si="126"/>
        <v>0.46707814705567458</v>
      </c>
      <c r="Q426" s="89">
        <f t="shared" si="126"/>
        <v>0.42994537226980734</v>
      </c>
      <c r="R426" s="89">
        <f t="shared" si="126"/>
        <v>0.39281259748394015</v>
      </c>
      <c r="S426" s="89">
        <f t="shared" si="126"/>
        <v>0.35567982269807286</v>
      </c>
      <c r="T426" s="89">
        <f t="shared" si="124"/>
        <v>0.31854704791220556</v>
      </c>
      <c r="U426" s="89">
        <f t="shared" si="124"/>
        <v>0.28141427312633838</v>
      </c>
      <c r="V426" s="89">
        <f t="shared" si="124"/>
        <v>0.24428149834047119</v>
      </c>
      <c r="W426" s="89">
        <f t="shared" si="124"/>
        <v>0.20714872355460379</v>
      </c>
      <c r="X426" s="89">
        <f t="shared" si="124"/>
        <v>0.1700159487687366</v>
      </c>
      <c r="Y426" s="89">
        <f t="shared" si="124"/>
        <v>0.13288317398286942</v>
      </c>
      <c r="Z426" s="89">
        <f t="shared" si="124"/>
        <v>9.5750399197002123E-2</v>
      </c>
      <c r="AA426" s="89">
        <f t="shared" ref="AA426:AJ426" si="127">AA153*AA382</f>
        <v>5.8617624411134911E-2</v>
      </c>
      <c r="AB426" s="89">
        <f t="shared" si="127"/>
        <v>0.2051616854389722</v>
      </c>
      <c r="AC426" s="89">
        <f t="shared" si="127"/>
        <v>5.8617624411134911E-2</v>
      </c>
      <c r="AD426" s="89">
        <f t="shared" si="127"/>
        <v>5.8617624411134904E-2</v>
      </c>
      <c r="AE426" s="89">
        <f t="shared" si="127"/>
        <v>5.8617624411134911E-2</v>
      </c>
      <c r="AF426" s="89">
        <f t="shared" si="127"/>
        <v>5.8617624411134911E-2</v>
      </c>
      <c r="AG426" s="89">
        <f t="shared" si="127"/>
        <v>5.8617624411134904E-2</v>
      </c>
      <c r="AH426" s="89">
        <f t="shared" si="127"/>
        <v>5.8617624411134911E-2</v>
      </c>
      <c r="AI426" s="89">
        <f t="shared" si="127"/>
        <v>5.8617624411134911E-2</v>
      </c>
      <c r="AJ426" s="89">
        <f t="shared" si="127"/>
        <v>5.8617624411134911E-2</v>
      </c>
    </row>
    <row r="427" spans="1:38" ht="17" x14ac:dyDescent="0.4">
      <c r="A427" s="644" t="s">
        <v>995</v>
      </c>
      <c r="B427" s="1411" t="s">
        <v>1390</v>
      </c>
      <c r="C427" s="89">
        <f t="shared" si="123"/>
        <v>0</v>
      </c>
      <c r="D427" s="89">
        <f t="shared" si="126"/>
        <v>0</v>
      </c>
      <c r="E427" s="89">
        <f t="shared" si="124"/>
        <v>0</v>
      </c>
      <c r="F427" s="89">
        <f t="shared" si="124"/>
        <v>0</v>
      </c>
      <c r="G427" s="89">
        <f t="shared" si="124"/>
        <v>0</v>
      </c>
      <c r="H427" s="89">
        <f t="shared" si="124"/>
        <v>0</v>
      </c>
      <c r="I427" s="89">
        <f t="shared" si="124"/>
        <v>0</v>
      </c>
      <c r="J427" s="89">
        <f t="shared" si="124"/>
        <v>0</v>
      </c>
      <c r="K427" s="89">
        <f t="shared" si="124"/>
        <v>0</v>
      </c>
      <c r="L427" s="89">
        <f t="shared" si="124"/>
        <v>0</v>
      </c>
      <c r="M427" s="89">
        <f t="shared" si="124"/>
        <v>0</v>
      </c>
      <c r="N427" s="89">
        <f t="shared" si="124"/>
        <v>0</v>
      </c>
      <c r="O427" s="89">
        <f t="shared" si="124"/>
        <v>0</v>
      </c>
      <c r="P427" s="89">
        <f t="shared" si="124"/>
        <v>0</v>
      </c>
      <c r="Q427" s="89">
        <f t="shared" si="124"/>
        <v>0</v>
      </c>
      <c r="R427" s="89">
        <f t="shared" si="124"/>
        <v>0</v>
      </c>
      <c r="S427" s="89">
        <f t="shared" si="124"/>
        <v>0</v>
      </c>
      <c r="T427" s="89">
        <f t="shared" si="124"/>
        <v>0</v>
      </c>
      <c r="U427" s="89">
        <f t="shared" si="124"/>
        <v>0</v>
      </c>
      <c r="V427" s="89">
        <f t="shared" si="124"/>
        <v>0</v>
      </c>
      <c r="W427" s="89">
        <f t="shared" si="124"/>
        <v>0</v>
      </c>
      <c r="X427" s="89">
        <f t="shared" si="124"/>
        <v>0</v>
      </c>
      <c r="Y427" s="89">
        <f t="shared" si="124"/>
        <v>0</v>
      </c>
      <c r="Z427" s="89">
        <f t="shared" si="124"/>
        <v>0</v>
      </c>
      <c r="AA427" s="89">
        <f t="shared" ref="AA427:AJ427" si="128">AA154*AA383</f>
        <v>0</v>
      </c>
      <c r="AB427" s="89">
        <f t="shared" si="128"/>
        <v>0</v>
      </c>
      <c r="AC427" s="89">
        <f t="shared" si="128"/>
        <v>0</v>
      </c>
      <c r="AD427" s="89">
        <f t="shared" si="128"/>
        <v>0</v>
      </c>
      <c r="AE427" s="89">
        <f t="shared" si="128"/>
        <v>0</v>
      </c>
      <c r="AF427" s="89">
        <f t="shared" si="128"/>
        <v>0</v>
      </c>
      <c r="AG427" s="89">
        <f t="shared" si="128"/>
        <v>0</v>
      </c>
      <c r="AH427" s="89">
        <f t="shared" si="128"/>
        <v>0</v>
      </c>
      <c r="AI427" s="89">
        <f t="shared" si="128"/>
        <v>0</v>
      </c>
      <c r="AJ427" s="89">
        <f t="shared" si="128"/>
        <v>0</v>
      </c>
    </row>
    <row r="428" spans="1:38" ht="17" x14ac:dyDescent="0.4">
      <c r="A428" s="581" t="s">
        <v>148</v>
      </c>
      <c r="B428" s="1411" t="s">
        <v>1390</v>
      </c>
      <c r="C428" s="89">
        <f t="shared" si="123"/>
        <v>4.8255220638115635</v>
      </c>
      <c r="D428" s="89">
        <f t="shared" si="126"/>
        <v>4.6351182760438974</v>
      </c>
      <c r="E428" s="89">
        <f t="shared" si="124"/>
        <v>4.4447144882762313</v>
      </c>
      <c r="F428" s="89">
        <f t="shared" si="124"/>
        <v>4.2543107005085652</v>
      </c>
      <c r="G428" s="89">
        <f t="shared" si="124"/>
        <v>4.0639069127408991</v>
      </c>
      <c r="H428" s="89">
        <f t="shared" si="124"/>
        <v>3.8735031249732335</v>
      </c>
      <c r="I428" s="89">
        <f t="shared" si="124"/>
        <v>3.6830993372055678</v>
      </c>
      <c r="J428" s="89">
        <f t="shared" si="124"/>
        <v>3.4926955494379017</v>
      </c>
      <c r="K428" s="89">
        <f t="shared" si="124"/>
        <v>3.3022917616702356</v>
      </c>
      <c r="L428" s="89">
        <f t="shared" si="124"/>
        <v>3.1118879739025695</v>
      </c>
      <c r="M428" s="89">
        <f t="shared" si="124"/>
        <v>2.9214841861349035</v>
      </c>
      <c r="N428" s="89">
        <f t="shared" si="124"/>
        <v>2.7310803983672378</v>
      </c>
      <c r="O428" s="89">
        <f t="shared" si="124"/>
        <v>2.5406766105995717</v>
      </c>
      <c r="P428" s="89">
        <f t="shared" si="124"/>
        <v>2.3502728228319056</v>
      </c>
      <c r="Q428" s="89">
        <f t="shared" si="124"/>
        <v>2.1598690350642396</v>
      </c>
      <c r="R428" s="89">
        <f t="shared" si="124"/>
        <v>1.9694652472965739</v>
      </c>
      <c r="S428" s="89">
        <f t="shared" si="124"/>
        <v>1.7790614595289078</v>
      </c>
      <c r="T428" s="89">
        <f t="shared" si="124"/>
        <v>1.5886576717612417</v>
      </c>
      <c r="U428" s="89">
        <f t="shared" si="124"/>
        <v>1.3982538839935756</v>
      </c>
      <c r="V428" s="89">
        <f t="shared" si="124"/>
        <v>1.20785009622591</v>
      </c>
      <c r="W428" s="89">
        <f t="shared" si="124"/>
        <v>1.0174463084582439</v>
      </c>
      <c r="X428" s="89">
        <f t="shared" si="124"/>
        <v>0.82704252069057782</v>
      </c>
      <c r="Y428" s="89">
        <f t="shared" si="124"/>
        <v>0.63663873292291218</v>
      </c>
      <c r="Z428" s="89">
        <f t="shared" si="124"/>
        <v>0.44623494515524609</v>
      </c>
      <c r="AA428" s="89">
        <f t="shared" ref="AA428:AJ428" si="129">AA155*AA384</f>
        <v>0.25583115738758039</v>
      </c>
      <c r="AB428" s="89">
        <f t="shared" si="129"/>
        <v>0.46049608329764469</v>
      </c>
      <c r="AC428" s="89">
        <f t="shared" si="129"/>
        <v>0.30699738886509642</v>
      </c>
      <c r="AD428" s="89">
        <f t="shared" si="129"/>
        <v>0.30699738886509642</v>
      </c>
      <c r="AE428" s="89">
        <f t="shared" si="129"/>
        <v>0.25583115738758039</v>
      </c>
      <c r="AF428" s="89">
        <f t="shared" si="129"/>
        <v>0.25583115738758039</v>
      </c>
      <c r="AG428" s="89">
        <f t="shared" si="129"/>
        <v>0.33258050460385447</v>
      </c>
      <c r="AH428" s="89">
        <f t="shared" si="129"/>
        <v>0.25583115738758039</v>
      </c>
      <c r="AI428" s="89">
        <f t="shared" si="129"/>
        <v>0.23024804164882234</v>
      </c>
      <c r="AJ428" s="89">
        <f t="shared" si="129"/>
        <v>0.4093298518201286</v>
      </c>
    </row>
    <row r="429" spans="1:38" ht="17" x14ac:dyDescent="0.4">
      <c r="A429" s="581" t="s">
        <v>149</v>
      </c>
      <c r="B429" s="1411" t="s">
        <v>1390</v>
      </c>
      <c r="C429" s="89">
        <f t="shared" si="123"/>
        <v>1.9373621627409E-2</v>
      </c>
      <c r="D429" s="89">
        <f t="shared" si="126"/>
        <v>1.8814767157387585E-2</v>
      </c>
      <c r="E429" s="89">
        <f t="shared" si="124"/>
        <v>1.8255912687366174E-2</v>
      </c>
      <c r="F429" s="89">
        <f t="shared" si="124"/>
        <v>1.7697058217344758E-2</v>
      </c>
      <c r="G429" s="89">
        <f t="shared" si="124"/>
        <v>1.7138203747323347E-2</v>
      </c>
      <c r="H429" s="89">
        <f t="shared" si="124"/>
        <v>1.6579349277301932E-2</v>
      </c>
      <c r="I429" s="89">
        <f t="shared" si="124"/>
        <v>1.602049480728052E-2</v>
      </c>
      <c r="J429" s="89">
        <f t="shared" si="124"/>
        <v>1.5461640337259105E-2</v>
      </c>
      <c r="K429" s="89">
        <f t="shared" si="124"/>
        <v>1.4902785867237693E-2</v>
      </c>
      <c r="L429" s="89">
        <f t="shared" si="124"/>
        <v>1.4343931397216278E-2</v>
      </c>
      <c r="M429" s="89">
        <f t="shared" si="124"/>
        <v>1.3785076927194866E-2</v>
      </c>
      <c r="N429" s="89">
        <f t="shared" si="124"/>
        <v>1.3226222457173451E-2</v>
      </c>
      <c r="O429" s="89">
        <f t="shared" si="124"/>
        <v>1.2667367987152036E-2</v>
      </c>
      <c r="P429" s="89">
        <f t="shared" si="124"/>
        <v>1.2108513517130624E-2</v>
      </c>
      <c r="Q429" s="89">
        <f t="shared" si="124"/>
        <v>1.1549659047109211E-2</v>
      </c>
      <c r="R429" s="89">
        <f t="shared" si="124"/>
        <v>1.0990804577087798E-2</v>
      </c>
      <c r="S429" s="89">
        <f t="shared" si="124"/>
        <v>1.0431950107066384E-2</v>
      </c>
      <c r="T429" s="89">
        <f t="shared" si="124"/>
        <v>9.873095637044969E-3</v>
      </c>
      <c r="U429" s="89">
        <f t="shared" si="124"/>
        <v>9.3142411670235573E-3</v>
      </c>
      <c r="V429" s="89">
        <f t="shared" si="124"/>
        <v>8.7553866970021422E-3</v>
      </c>
      <c r="W429" s="89">
        <f t="shared" si="124"/>
        <v>8.1965322269807305E-3</v>
      </c>
      <c r="X429" s="89">
        <f t="shared" si="124"/>
        <v>7.6376777569593154E-3</v>
      </c>
      <c r="Y429" s="89">
        <f t="shared" si="124"/>
        <v>7.078823286937902E-3</v>
      </c>
      <c r="Z429" s="89">
        <f t="shared" si="124"/>
        <v>6.5199688169164886E-3</v>
      </c>
      <c r="AA429" s="89">
        <f t="shared" ref="AA429:AJ429" si="130">AA156*AA385</f>
        <v>5.961114346895076E-3</v>
      </c>
      <c r="AB429" s="89">
        <f t="shared" si="130"/>
        <v>5.9611143468950752E-3</v>
      </c>
      <c r="AC429" s="89">
        <f t="shared" si="130"/>
        <v>5.9611143468950752E-3</v>
      </c>
      <c r="AD429" s="89">
        <f t="shared" si="130"/>
        <v>7.4513929336188448E-3</v>
      </c>
      <c r="AE429" s="89">
        <f t="shared" si="130"/>
        <v>5.961114346895076E-3</v>
      </c>
      <c r="AF429" s="89">
        <f t="shared" si="130"/>
        <v>5.961114346895076E-3</v>
      </c>
      <c r="AG429" s="89">
        <f t="shared" si="130"/>
        <v>5.9611143468950752E-3</v>
      </c>
      <c r="AH429" s="89">
        <f t="shared" si="130"/>
        <v>5.961114346895076E-3</v>
      </c>
      <c r="AI429" s="89">
        <f t="shared" si="130"/>
        <v>5.9611143468950752E-3</v>
      </c>
      <c r="AJ429" s="89">
        <f t="shared" si="130"/>
        <v>5.9611143468950752E-3</v>
      </c>
    </row>
    <row r="430" spans="1:38" ht="17" x14ac:dyDescent="0.4">
      <c r="A430" s="581" t="s">
        <v>150</v>
      </c>
      <c r="B430" s="1411" t="s">
        <v>1390</v>
      </c>
      <c r="C430" s="89">
        <f t="shared" si="123"/>
        <v>10.461755678800854</v>
      </c>
      <c r="D430" s="89">
        <f t="shared" si="126"/>
        <v>10.039220302837256</v>
      </c>
      <c r="E430" s="89">
        <f t="shared" si="124"/>
        <v>9.6166849268736598</v>
      </c>
      <c r="F430" s="89">
        <f t="shared" si="124"/>
        <v>9.1941495509100619</v>
      </c>
      <c r="G430" s="89">
        <f t="shared" si="124"/>
        <v>8.771614174946464</v>
      </c>
      <c r="H430" s="89">
        <f t="shared" si="124"/>
        <v>8.3490787989828679</v>
      </c>
      <c r="I430" s="89">
        <f t="shared" si="124"/>
        <v>7.92654342301927</v>
      </c>
      <c r="J430" s="89">
        <f t="shared" si="124"/>
        <v>7.504008047055672</v>
      </c>
      <c r="K430" s="89">
        <f t="shared" si="124"/>
        <v>7.0814726710920759</v>
      </c>
      <c r="L430" s="89">
        <f t="shared" si="124"/>
        <v>6.658937295128478</v>
      </c>
      <c r="M430" s="89">
        <f t="shared" si="124"/>
        <v>6.236401919164881</v>
      </c>
      <c r="N430" s="89">
        <f t="shared" si="124"/>
        <v>5.813866543201283</v>
      </c>
      <c r="O430" s="89">
        <f t="shared" si="124"/>
        <v>5.391331167237686</v>
      </c>
      <c r="P430" s="89">
        <f t="shared" si="124"/>
        <v>4.9687957912740881</v>
      </c>
      <c r="Q430" s="89">
        <f t="shared" si="124"/>
        <v>4.5462604153104911</v>
      </c>
      <c r="R430" s="89">
        <f t="shared" si="124"/>
        <v>4.1237250393468949</v>
      </c>
      <c r="S430" s="89">
        <f t="shared" si="124"/>
        <v>3.701189663383297</v>
      </c>
      <c r="T430" s="89">
        <f t="shared" si="124"/>
        <v>3.2786542874196991</v>
      </c>
      <c r="U430" s="89">
        <f t="shared" si="124"/>
        <v>2.8561189114561021</v>
      </c>
      <c r="V430" s="89">
        <f t="shared" si="124"/>
        <v>2.4335835354925059</v>
      </c>
      <c r="W430" s="89">
        <f t="shared" si="124"/>
        <v>2.011048159528908</v>
      </c>
      <c r="X430" s="89">
        <f t="shared" si="124"/>
        <v>1.5885127835653101</v>
      </c>
      <c r="Y430" s="89">
        <f t="shared" si="124"/>
        <v>1.1659774076017122</v>
      </c>
      <c r="Z430" s="89">
        <f t="shared" si="124"/>
        <v>0.74344203163811606</v>
      </c>
      <c r="AA430" s="89">
        <f t="shared" ref="AA430:AJ430" si="131">AA157*AA386</f>
        <v>0.32090665567451826</v>
      </c>
      <c r="AB430" s="89">
        <f t="shared" si="131"/>
        <v>0.30401683169164884</v>
      </c>
      <c r="AC430" s="89">
        <f t="shared" si="131"/>
        <v>0.40535577558886515</v>
      </c>
      <c r="AD430" s="89">
        <f t="shared" si="131"/>
        <v>0.41802314357601711</v>
      </c>
      <c r="AE430" s="89">
        <f t="shared" si="131"/>
        <v>0.43491296755888648</v>
      </c>
      <c r="AF430" s="89">
        <f t="shared" si="131"/>
        <v>0.43491296755888659</v>
      </c>
      <c r="AG430" s="89">
        <f t="shared" si="131"/>
        <v>0.41802314357601716</v>
      </c>
      <c r="AH430" s="89">
        <f t="shared" si="131"/>
        <v>0.46869261552462532</v>
      </c>
      <c r="AI430" s="89">
        <f t="shared" si="131"/>
        <v>0.4095782315845824</v>
      </c>
      <c r="AJ430" s="89">
        <f t="shared" si="131"/>
        <v>0.42646805556745176</v>
      </c>
    </row>
    <row r="431" spans="1:38" ht="17" x14ac:dyDescent="0.4">
      <c r="A431" s="581" t="s">
        <v>151</v>
      </c>
      <c r="B431" s="1411" t="s">
        <v>1390</v>
      </c>
      <c r="C431" s="89">
        <f t="shared" si="123"/>
        <v>6.6168369250535319E-2</v>
      </c>
      <c r="D431" s="89">
        <f t="shared" si="126"/>
        <v>7.347073432548179E-2</v>
      </c>
      <c r="E431" s="89">
        <f t="shared" si="124"/>
        <v>8.0773099400428261E-2</v>
      </c>
      <c r="F431" s="89">
        <f t="shared" si="124"/>
        <v>8.8075464475374718E-2</v>
      </c>
      <c r="G431" s="89">
        <f t="shared" si="124"/>
        <v>9.5377829550321189E-2</v>
      </c>
      <c r="H431" s="89">
        <f t="shared" si="124"/>
        <v>0.10268019462526765</v>
      </c>
      <c r="I431" s="89">
        <f t="shared" si="124"/>
        <v>0.10998255970021412</v>
      </c>
      <c r="J431" s="89">
        <f t="shared" si="124"/>
        <v>0.11728492477516059</v>
      </c>
      <c r="K431" s="89">
        <f t="shared" si="124"/>
        <v>0.12458728985010706</v>
      </c>
      <c r="L431" s="89">
        <f t="shared" si="124"/>
        <v>0.13188965492505353</v>
      </c>
      <c r="M431" s="89">
        <f t="shared" si="124"/>
        <v>0.13919201999999997</v>
      </c>
      <c r="N431" s="89">
        <f t="shared" si="124"/>
        <v>0.14649438507494644</v>
      </c>
      <c r="O431" s="89">
        <f t="shared" si="124"/>
        <v>0.15379675014989291</v>
      </c>
      <c r="P431" s="89">
        <f t="shared" si="124"/>
        <v>0.16109911522483938</v>
      </c>
      <c r="Q431" s="89">
        <f t="shared" si="124"/>
        <v>0.16840148029978586</v>
      </c>
      <c r="R431" s="89">
        <f t="shared" si="124"/>
        <v>0.17570384537473233</v>
      </c>
      <c r="S431" s="89">
        <f t="shared" si="124"/>
        <v>0.1830062104496788</v>
      </c>
      <c r="T431" s="89">
        <f t="shared" si="124"/>
        <v>0.19030857552462527</v>
      </c>
      <c r="U431" s="89">
        <f t="shared" si="124"/>
        <v>0.19761094059957174</v>
      </c>
      <c r="V431" s="89">
        <f t="shared" si="124"/>
        <v>0.20491330567451818</v>
      </c>
      <c r="W431" s="89">
        <f t="shared" si="124"/>
        <v>0.21221567074946465</v>
      </c>
      <c r="X431" s="89">
        <f t="shared" si="124"/>
        <v>0.21951803582441112</v>
      </c>
      <c r="Y431" s="89">
        <f t="shared" si="124"/>
        <v>0.22682040089935759</v>
      </c>
      <c r="Z431" s="89">
        <f t="shared" si="124"/>
        <v>0.23412276597430406</v>
      </c>
      <c r="AA431" s="89">
        <f t="shared" ref="AA431:AJ431" si="132">AA158*AA387</f>
        <v>0.24142513104925054</v>
      </c>
      <c r="AB431" s="89">
        <f t="shared" si="132"/>
        <v>0.24589596680942188</v>
      </c>
      <c r="AC431" s="89">
        <f t="shared" si="132"/>
        <v>0.27421125995717344</v>
      </c>
      <c r="AD431" s="89">
        <f t="shared" si="132"/>
        <v>0.26526958843683085</v>
      </c>
      <c r="AE431" s="89">
        <f t="shared" si="132"/>
        <v>0.26526958843683091</v>
      </c>
      <c r="AF431" s="89">
        <f t="shared" si="132"/>
        <v>0.26377930985010706</v>
      </c>
      <c r="AG431" s="89">
        <f t="shared" si="132"/>
        <v>0.27421125995717355</v>
      </c>
      <c r="AH431" s="89">
        <f t="shared" si="132"/>
        <v>0.28166265289079234</v>
      </c>
      <c r="AI431" s="89">
        <f t="shared" si="132"/>
        <v>0.25036680256959315</v>
      </c>
      <c r="AJ431" s="89">
        <f t="shared" si="132"/>
        <v>0.24291540963597436</v>
      </c>
    </row>
    <row r="432" spans="1:38" ht="17" x14ac:dyDescent="0.4">
      <c r="A432" s="581" t="s">
        <v>152</v>
      </c>
      <c r="B432" s="1411" t="s">
        <v>1390</v>
      </c>
      <c r="C432" s="89">
        <f t="shared" si="123"/>
        <v>0.50629731186295512</v>
      </c>
      <c r="D432" s="89">
        <f t="shared" si="126"/>
        <v>0.50849133311563177</v>
      </c>
      <c r="E432" s="89">
        <f t="shared" si="124"/>
        <v>0.51068535436830842</v>
      </c>
      <c r="F432" s="89">
        <f t="shared" si="124"/>
        <v>0.51287937562098507</v>
      </c>
      <c r="G432" s="89">
        <f t="shared" si="124"/>
        <v>0.51507339687366172</v>
      </c>
      <c r="H432" s="89">
        <f t="shared" si="124"/>
        <v>0.51726741812633836</v>
      </c>
      <c r="I432" s="89">
        <f t="shared" si="124"/>
        <v>0.51946143937901512</v>
      </c>
      <c r="J432" s="89">
        <f t="shared" si="124"/>
        <v>0.52165546063169177</v>
      </c>
      <c r="K432" s="89">
        <f t="shared" si="124"/>
        <v>0.52384948188436842</v>
      </c>
      <c r="L432" s="89">
        <f t="shared" si="124"/>
        <v>0.52604350313704507</v>
      </c>
      <c r="M432" s="89">
        <f t="shared" si="124"/>
        <v>0.52823752438972171</v>
      </c>
      <c r="N432" s="89">
        <f t="shared" si="124"/>
        <v>0.53043154564239836</v>
      </c>
      <c r="O432" s="89">
        <f t="shared" si="124"/>
        <v>0.53262556689507501</v>
      </c>
      <c r="P432" s="89">
        <f t="shared" si="124"/>
        <v>0.53481958814775166</v>
      </c>
      <c r="Q432" s="89">
        <f t="shared" si="124"/>
        <v>0.5370136094004283</v>
      </c>
      <c r="R432" s="89">
        <f t="shared" si="124"/>
        <v>0.53920763065310495</v>
      </c>
      <c r="S432" s="89">
        <f t="shared" si="124"/>
        <v>0.5414016519057816</v>
      </c>
      <c r="T432" s="89">
        <f t="shared" si="124"/>
        <v>0.54359567315845825</v>
      </c>
      <c r="U432" s="89">
        <f t="shared" si="124"/>
        <v>0.5457896944111349</v>
      </c>
      <c r="V432" s="89">
        <f t="shared" si="124"/>
        <v>0.54798371566381165</v>
      </c>
      <c r="W432" s="89">
        <f t="shared" si="124"/>
        <v>0.5501777369164883</v>
      </c>
      <c r="X432" s="89">
        <f t="shared" si="124"/>
        <v>0.55237175816916495</v>
      </c>
      <c r="Y432" s="89">
        <f t="shared" si="124"/>
        <v>0.5545657794218416</v>
      </c>
      <c r="Z432" s="89">
        <f t="shared" si="124"/>
        <v>0.55675980067451825</v>
      </c>
      <c r="AA432" s="89">
        <f t="shared" ref="AA432:AJ432" si="133">AA159*AA388</f>
        <v>0.55895382192719489</v>
      </c>
      <c r="AB432" s="89">
        <f t="shared" si="133"/>
        <v>0.54931668706638126</v>
      </c>
      <c r="AC432" s="89">
        <f t="shared" si="133"/>
        <v>0.52040528248394013</v>
      </c>
      <c r="AD432" s="89">
        <f t="shared" si="133"/>
        <v>0.53004241734475366</v>
      </c>
      <c r="AE432" s="89">
        <f t="shared" si="133"/>
        <v>0.53967955220556751</v>
      </c>
      <c r="AF432" s="89">
        <f t="shared" si="133"/>
        <v>0.54449811963597439</v>
      </c>
      <c r="AG432" s="89">
        <f t="shared" si="133"/>
        <v>0.53004241734475377</v>
      </c>
      <c r="AH432" s="89">
        <f t="shared" si="133"/>
        <v>0.48667531047109214</v>
      </c>
      <c r="AI432" s="89">
        <f t="shared" si="133"/>
        <v>0.48667531047109214</v>
      </c>
      <c r="AJ432" s="89">
        <f t="shared" si="133"/>
        <v>0.47221960817987146</v>
      </c>
    </row>
    <row r="433" spans="1:38" ht="17" x14ac:dyDescent="0.4">
      <c r="A433" s="581" t="s">
        <v>153</v>
      </c>
      <c r="B433" s="1411" t="s">
        <v>1390</v>
      </c>
      <c r="C433" s="89">
        <f t="shared" si="123"/>
        <v>0.12847940075910064</v>
      </c>
      <c r="D433" s="89">
        <f t="shared" si="126"/>
        <v>0.15131719565966273</v>
      </c>
      <c r="E433" s="89">
        <f t="shared" si="124"/>
        <v>0.17415499056022485</v>
      </c>
      <c r="F433" s="89">
        <f t="shared" si="124"/>
        <v>0.19699278546078694</v>
      </c>
      <c r="G433" s="89">
        <f t="shared" si="124"/>
        <v>0.21983058036134906</v>
      </c>
      <c r="H433" s="89">
        <f t="shared" si="124"/>
        <v>0.24266837526191115</v>
      </c>
      <c r="I433" s="89">
        <f t="shared" si="124"/>
        <v>0.26550617016247324</v>
      </c>
      <c r="J433" s="89">
        <f t="shared" si="124"/>
        <v>0.28834396506303533</v>
      </c>
      <c r="K433" s="89">
        <f t="shared" si="124"/>
        <v>0.31118175996359743</v>
      </c>
      <c r="L433" s="89">
        <f t="shared" si="124"/>
        <v>0.33401955486415957</v>
      </c>
      <c r="M433" s="89">
        <f t="shared" si="124"/>
        <v>0.35685734976472167</v>
      </c>
      <c r="N433" s="89">
        <f t="shared" si="124"/>
        <v>0.37969514466528376</v>
      </c>
      <c r="O433" s="89">
        <f t="shared" si="124"/>
        <v>0.40253293956584585</v>
      </c>
      <c r="P433" s="89">
        <f t="shared" si="124"/>
        <v>0.42537073446640794</v>
      </c>
      <c r="Q433" s="89">
        <f t="shared" si="124"/>
        <v>0.44820852936697003</v>
      </c>
      <c r="R433" s="89">
        <f t="shared" si="124"/>
        <v>0.47104632426753212</v>
      </c>
      <c r="S433" s="89">
        <f t="shared" si="124"/>
        <v>0.49388411916809427</v>
      </c>
      <c r="T433" s="89">
        <f t="shared" si="124"/>
        <v>0.51672191406865631</v>
      </c>
      <c r="U433" s="89">
        <f t="shared" si="124"/>
        <v>0.53955970896921845</v>
      </c>
      <c r="V433" s="89">
        <f t="shared" si="124"/>
        <v>0.5623975038697806</v>
      </c>
      <c r="W433" s="89">
        <f t="shared" si="124"/>
        <v>0.58523529877034264</v>
      </c>
      <c r="X433" s="89">
        <f t="shared" si="124"/>
        <v>0.60807309367090467</v>
      </c>
      <c r="Y433" s="89">
        <f t="shared" si="124"/>
        <v>0.63091088857146693</v>
      </c>
      <c r="Z433" s="89">
        <f t="shared" si="124"/>
        <v>0.65374868347202897</v>
      </c>
      <c r="AA433" s="89">
        <f t="shared" ref="AA433:AJ433" si="134">AA160*AA389</f>
        <v>0.67658647837259112</v>
      </c>
      <c r="AB433" s="89">
        <f t="shared" si="134"/>
        <v>0.69148926423982882</v>
      </c>
      <c r="AC433" s="89">
        <f t="shared" si="134"/>
        <v>0.69596010000000008</v>
      </c>
      <c r="AD433" s="89">
        <f t="shared" si="134"/>
        <v>0.68999898565310502</v>
      </c>
      <c r="AE433" s="89">
        <f t="shared" si="134"/>
        <v>0.66019341391862962</v>
      </c>
      <c r="AF433" s="89">
        <f t="shared" si="134"/>
        <v>0.65721285674518204</v>
      </c>
      <c r="AG433" s="89">
        <f t="shared" si="134"/>
        <v>0.67658647837259112</v>
      </c>
      <c r="AH433" s="89">
        <f t="shared" si="134"/>
        <v>0.61101422055674526</v>
      </c>
      <c r="AI433" s="89">
        <f t="shared" si="134"/>
        <v>0.64529062805139192</v>
      </c>
      <c r="AJ433" s="89">
        <f t="shared" si="134"/>
        <v>0.56481558436830848</v>
      </c>
    </row>
    <row r="434" spans="1:38" ht="17" x14ac:dyDescent="0.4">
      <c r="A434" s="581" t="s">
        <v>154</v>
      </c>
      <c r="B434" s="1411" t="s">
        <v>1390</v>
      </c>
      <c r="C434" s="89">
        <f t="shared" si="123"/>
        <v>0.13279872486295505</v>
      </c>
      <c r="D434" s="89">
        <f t="shared" si="126"/>
        <v>0.13494596792665955</v>
      </c>
      <c r="E434" s="89">
        <f t="shared" si="124"/>
        <v>0.13709321099036403</v>
      </c>
      <c r="F434" s="89">
        <f t="shared" si="124"/>
        <v>0.13924045405406854</v>
      </c>
      <c r="G434" s="89">
        <f t="shared" si="124"/>
        <v>0.14138769711777305</v>
      </c>
      <c r="H434" s="89">
        <f t="shared" si="124"/>
        <v>0.14353494018147753</v>
      </c>
      <c r="I434" s="89">
        <f t="shared" si="124"/>
        <v>0.14568218324518203</v>
      </c>
      <c r="J434" s="89">
        <f t="shared" si="124"/>
        <v>0.14782942630888651</v>
      </c>
      <c r="K434" s="89">
        <f t="shared" si="124"/>
        <v>0.14997666937259102</v>
      </c>
      <c r="L434" s="89">
        <f t="shared" si="124"/>
        <v>0.15212391243629553</v>
      </c>
      <c r="M434" s="89">
        <f t="shared" si="124"/>
        <v>0.15427115550000001</v>
      </c>
      <c r="N434" s="89">
        <f t="shared" si="124"/>
        <v>0.15641839856370451</v>
      </c>
      <c r="O434" s="89">
        <f t="shared" si="124"/>
        <v>0.15856564162740899</v>
      </c>
      <c r="P434" s="89">
        <f t="shared" si="124"/>
        <v>0.1607128846911135</v>
      </c>
      <c r="Q434" s="89">
        <f t="shared" si="124"/>
        <v>0.16286012775481801</v>
      </c>
      <c r="R434" s="89">
        <f t="shared" si="124"/>
        <v>0.16500737081852249</v>
      </c>
      <c r="S434" s="89">
        <f t="shared" si="124"/>
        <v>0.16715461388222699</v>
      </c>
      <c r="T434" s="89">
        <f t="shared" si="124"/>
        <v>0.1693018569459315</v>
      </c>
      <c r="U434" s="89">
        <f t="shared" si="124"/>
        <v>0.17144910000963598</v>
      </c>
      <c r="V434" s="89">
        <f t="shared" si="124"/>
        <v>0.17359634307334049</v>
      </c>
      <c r="W434" s="89">
        <f t="shared" si="124"/>
        <v>0.17574358613704499</v>
      </c>
      <c r="X434" s="89">
        <f t="shared" si="124"/>
        <v>0.17789082920074947</v>
      </c>
      <c r="Y434" s="89">
        <f t="shared" si="124"/>
        <v>0.18003807226445398</v>
      </c>
      <c r="Z434" s="89">
        <f t="shared" si="124"/>
        <v>0.18218531532815846</v>
      </c>
      <c r="AA434" s="89">
        <f t="shared" ref="AA434:AJ434" si="135">AA161*AA390</f>
        <v>0.18433255839186297</v>
      </c>
      <c r="AB434" s="89">
        <f t="shared" si="135"/>
        <v>0.17508289596359747</v>
      </c>
      <c r="AC434" s="89">
        <f t="shared" si="135"/>
        <v>0.14336976763811565</v>
      </c>
      <c r="AD434" s="89">
        <f t="shared" si="135"/>
        <v>0.14270907746466813</v>
      </c>
      <c r="AE434" s="89">
        <f t="shared" si="135"/>
        <v>0.1420483872912206</v>
      </c>
      <c r="AF434" s="89">
        <f t="shared" si="135"/>
        <v>0.14204838729122057</v>
      </c>
      <c r="AG434" s="89">
        <f t="shared" si="135"/>
        <v>0.1446911479850107</v>
      </c>
      <c r="AH434" s="89">
        <f t="shared" si="135"/>
        <v>0.14336976763811562</v>
      </c>
      <c r="AI434" s="89">
        <f t="shared" si="135"/>
        <v>0.1420483872912206</v>
      </c>
      <c r="AJ434" s="89">
        <f t="shared" si="135"/>
        <v>0.18367186821841544</v>
      </c>
    </row>
    <row r="435" spans="1:38" ht="17" x14ac:dyDescent="0.4">
      <c r="A435" s="581" t="s">
        <v>115</v>
      </c>
      <c r="B435" s="1411" t="s">
        <v>1390</v>
      </c>
      <c r="C435" s="89">
        <f>SUBTOTAL(109,C425:C434)</f>
        <v>65.321575570975369</v>
      </c>
      <c r="D435" s="89">
        <f t="shared" ref="D435:AJ435" si="136">SUBTOTAL(109,D425:D434)</f>
        <v>62.937624625406457</v>
      </c>
      <c r="E435" s="89">
        <f t="shared" si="136"/>
        <v>60.55367367983753</v>
      </c>
      <c r="F435" s="89">
        <f t="shared" si="136"/>
        <v>58.169722734268596</v>
      </c>
      <c r="G435" s="89">
        <f t="shared" si="136"/>
        <v>55.78577178869967</v>
      </c>
      <c r="H435" s="89">
        <f t="shared" si="136"/>
        <v>53.40182084313075</v>
      </c>
      <c r="I435" s="89">
        <f t="shared" si="136"/>
        <v>51.01786989756183</v>
      </c>
      <c r="J435" s="89">
        <f t="shared" si="136"/>
        <v>48.633918951992911</v>
      </c>
      <c r="K435" s="89">
        <f t="shared" si="136"/>
        <v>46.24996800642397</v>
      </c>
      <c r="L435" s="89">
        <f t="shared" si="136"/>
        <v>43.866017060855057</v>
      </c>
      <c r="M435" s="89">
        <f t="shared" si="136"/>
        <v>41.482066115286138</v>
      </c>
      <c r="N435" s="89">
        <f t="shared" si="136"/>
        <v>39.098115169717211</v>
      </c>
      <c r="O435" s="89">
        <f t="shared" si="136"/>
        <v>36.714164224148291</v>
      </c>
      <c r="P435" s="89">
        <f t="shared" si="136"/>
        <v>34.330213278579365</v>
      </c>
      <c r="Q435" s="89">
        <f t="shared" si="136"/>
        <v>31.946262333010438</v>
      </c>
      <c r="R435" s="89">
        <f t="shared" si="136"/>
        <v>29.562311387441515</v>
      </c>
      <c r="S435" s="89">
        <f t="shared" si="136"/>
        <v>27.178360441872591</v>
      </c>
      <c r="T435" s="89">
        <f t="shared" si="136"/>
        <v>24.794409496303668</v>
      </c>
      <c r="U435" s="89">
        <f t="shared" si="136"/>
        <v>22.410458550734742</v>
      </c>
      <c r="V435" s="89">
        <f t="shared" si="136"/>
        <v>20.026507605165822</v>
      </c>
      <c r="W435" s="89">
        <f t="shared" si="136"/>
        <v>17.642556659596899</v>
      </c>
      <c r="X435" s="89">
        <f t="shared" si="136"/>
        <v>15.258605714027967</v>
      </c>
      <c r="Y435" s="89">
        <f t="shared" si="136"/>
        <v>12.874654768459045</v>
      </c>
      <c r="Z435" s="89">
        <f t="shared" si="136"/>
        <v>10.490703822890129</v>
      </c>
      <c r="AA435" s="89">
        <f t="shared" si="136"/>
        <v>8.1067528773211972</v>
      </c>
      <c r="AB435" s="89">
        <f t="shared" si="136"/>
        <v>8.0630281035867259</v>
      </c>
      <c r="AC435" s="89">
        <f t="shared" si="136"/>
        <v>8.3411935693940062</v>
      </c>
      <c r="AD435" s="89">
        <f t="shared" si="136"/>
        <v>8.3494248747880082</v>
      </c>
      <c r="AE435" s="89">
        <f t="shared" si="136"/>
        <v>8.2928290616595266</v>
      </c>
      <c r="AF435" s="89">
        <f t="shared" si="136"/>
        <v>8.2931767933297653</v>
      </c>
      <c r="AG435" s="89">
        <f t="shared" si="136"/>
        <v>8.4972058670428279</v>
      </c>
      <c r="AH435" s="89">
        <f t="shared" si="136"/>
        <v>8.3052281795010714</v>
      </c>
      <c r="AI435" s="89">
        <f t="shared" si="136"/>
        <v>8.2221898566488232</v>
      </c>
      <c r="AJ435" s="89">
        <f t="shared" si="136"/>
        <v>8.2312259124796583</v>
      </c>
    </row>
    <row r="436" spans="1:38" x14ac:dyDescent="0.4">
      <c r="A436" s="581" t="s">
        <v>1063</v>
      </c>
      <c r="B436" s="581"/>
      <c r="C436" s="89"/>
      <c r="D436" s="89"/>
      <c r="E436" s="89"/>
      <c r="F436" s="89"/>
      <c r="G436" s="89"/>
      <c r="H436" s="89"/>
      <c r="I436" s="89"/>
      <c r="J436" s="89"/>
      <c r="K436" s="89"/>
      <c r="L436" s="89"/>
      <c r="M436" s="89"/>
      <c r="N436" s="89"/>
      <c r="O436" s="89"/>
      <c r="P436" s="89"/>
      <c r="Q436" s="89"/>
      <c r="R436" s="89"/>
      <c r="S436" s="89"/>
      <c r="T436" s="89"/>
      <c r="U436" s="89"/>
      <c r="V436" s="89"/>
      <c r="W436" s="89"/>
      <c r="X436" s="89"/>
      <c r="Y436" s="89"/>
      <c r="Z436" s="89"/>
      <c r="AA436" s="89"/>
      <c r="AB436" s="89"/>
      <c r="AC436" s="89"/>
      <c r="AD436" s="89"/>
      <c r="AE436" s="89"/>
      <c r="AF436" s="89"/>
      <c r="AG436" s="89"/>
      <c r="AH436" s="89"/>
      <c r="AI436" s="89"/>
      <c r="AJ436" s="89"/>
    </row>
    <row r="437" spans="1:38" x14ac:dyDescent="0.4">
      <c r="A437" s="581"/>
      <c r="B437" s="581"/>
      <c r="C437" s="89"/>
      <c r="D437" s="89"/>
      <c r="E437" s="89"/>
      <c r="F437" s="89"/>
      <c r="G437" s="89"/>
      <c r="H437" s="89"/>
      <c r="I437" s="89"/>
      <c r="J437" s="89"/>
      <c r="K437" s="89"/>
      <c r="L437" s="89"/>
      <c r="M437" s="89"/>
      <c r="N437" s="89"/>
      <c r="O437" s="89"/>
      <c r="P437" s="89"/>
      <c r="Q437" s="89"/>
      <c r="R437" s="89"/>
      <c r="S437" s="89"/>
      <c r="T437" s="89"/>
      <c r="U437" s="89"/>
      <c r="V437" s="89"/>
      <c r="W437" s="89"/>
      <c r="X437" s="89"/>
      <c r="Y437" s="89"/>
      <c r="Z437" s="89"/>
      <c r="AA437" s="89"/>
      <c r="AB437" s="89"/>
      <c r="AC437" s="89"/>
      <c r="AD437" s="89"/>
      <c r="AE437" s="89"/>
      <c r="AF437" s="89"/>
      <c r="AG437" s="89"/>
      <c r="AH437" s="89"/>
      <c r="AI437" s="89"/>
      <c r="AJ437" s="89"/>
    </row>
    <row r="438" spans="1:38" x14ac:dyDescent="0.4">
      <c r="A438" s="1407" t="s">
        <v>1009</v>
      </c>
      <c r="B438" s="581"/>
      <c r="C438" s="89"/>
      <c r="D438" s="89"/>
      <c r="E438" s="89"/>
      <c r="F438" s="89"/>
      <c r="G438" s="89"/>
      <c r="H438" s="89"/>
      <c r="I438" s="89"/>
      <c r="J438" s="89"/>
      <c r="K438" s="89"/>
      <c r="L438" s="89"/>
      <c r="M438" s="89"/>
      <c r="N438" s="89"/>
      <c r="O438" s="89"/>
      <c r="P438" s="89"/>
      <c r="Q438" s="89"/>
      <c r="R438" s="89"/>
      <c r="S438" s="89"/>
      <c r="T438" s="89"/>
      <c r="U438" s="89"/>
      <c r="V438" s="89"/>
      <c r="W438" s="89"/>
      <c r="X438" s="89"/>
      <c r="Y438" s="89"/>
      <c r="Z438" s="89"/>
      <c r="AA438" s="89"/>
      <c r="AB438" s="89"/>
      <c r="AC438" s="89"/>
      <c r="AD438" s="89"/>
      <c r="AE438" s="89"/>
      <c r="AF438" s="89"/>
      <c r="AG438" s="89"/>
      <c r="AH438" s="89"/>
      <c r="AI438" s="89"/>
      <c r="AJ438" s="89"/>
    </row>
    <row r="439" spans="1:38" x14ac:dyDescent="0.4">
      <c r="A439" s="581"/>
      <c r="B439" s="581"/>
      <c r="C439" s="89"/>
      <c r="D439" s="89"/>
      <c r="E439" s="89"/>
      <c r="F439" s="89"/>
      <c r="G439" s="89"/>
      <c r="H439" s="89"/>
      <c r="I439" s="89"/>
      <c r="J439" s="89"/>
      <c r="K439" s="89"/>
      <c r="L439" s="89"/>
      <c r="M439" s="89"/>
      <c r="N439" s="89"/>
      <c r="O439" s="89"/>
      <c r="P439" s="89"/>
      <c r="Q439" s="89"/>
      <c r="R439" s="89"/>
      <c r="S439" s="89"/>
      <c r="T439" s="89"/>
      <c r="U439" s="89"/>
      <c r="V439" s="89"/>
      <c r="W439" s="89"/>
      <c r="X439" s="89"/>
      <c r="Y439" s="89"/>
      <c r="Z439" s="89"/>
      <c r="AA439" s="89"/>
      <c r="AB439" s="89"/>
      <c r="AC439" s="89"/>
      <c r="AD439" s="89"/>
      <c r="AE439" s="89"/>
      <c r="AF439" s="89"/>
      <c r="AG439" s="89"/>
      <c r="AH439" s="89"/>
      <c r="AI439" s="89"/>
      <c r="AJ439" s="89"/>
    </row>
    <row r="440" spans="1:38" ht="17" x14ac:dyDescent="0.45">
      <c r="A440" s="88" t="s">
        <v>1576</v>
      </c>
      <c r="B440" s="581"/>
      <c r="C440" s="89"/>
      <c r="D440" s="89"/>
      <c r="E440" s="89"/>
      <c r="F440" s="89"/>
      <c r="G440" s="89"/>
      <c r="H440" s="89"/>
      <c r="I440" s="89"/>
      <c r="J440" s="89"/>
      <c r="K440" s="89"/>
      <c r="L440" s="89"/>
      <c r="M440" s="89"/>
      <c r="N440" s="89"/>
      <c r="O440" s="89"/>
      <c r="P440" s="89"/>
      <c r="Q440" s="89"/>
      <c r="R440" s="89"/>
      <c r="S440" s="89"/>
      <c r="T440" s="89"/>
      <c r="U440" s="89"/>
      <c r="V440" s="89"/>
      <c r="W440" s="89"/>
      <c r="X440" s="89"/>
      <c r="Y440" s="89"/>
      <c r="Z440" s="89"/>
      <c r="AA440" s="89"/>
      <c r="AB440" s="89"/>
      <c r="AC440" s="89"/>
      <c r="AD440" s="89"/>
      <c r="AE440" s="89"/>
      <c r="AF440" s="89"/>
      <c r="AG440" s="89"/>
      <c r="AH440" s="89"/>
      <c r="AI440" s="89"/>
      <c r="AJ440" s="89"/>
    </row>
    <row r="441" spans="1:38" s="28" customFormat="1" x14ac:dyDescent="0.4">
      <c r="A441" s="88" t="s">
        <v>536</v>
      </c>
      <c r="B441" s="88" t="s">
        <v>136</v>
      </c>
      <c r="C441" s="230" t="s">
        <v>391</v>
      </c>
      <c r="D441" s="230" t="s">
        <v>392</v>
      </c>
      <c r="E441" s="230" t="s">
        <v>393</v>
      </c>
      <c r="F441" s="230" t="s">
        <v>394</v>
      </c>
      <c r="G441" s="230" t="s">
        <v>395</v>
      </c>
      <c r="H441" s="230" t="s">
        <v>396</v>
      </c>
      <c r="I441" s="230" t="s">
        <v>397</v>
      </c>
      <c r="J441" s="230" t="s">
        <v>398</v>
      </c>
      <c r="K441" s="230" t="s">
        <v>399</v>
      </c>
      <c r="L441" s="230" t="s">
        <v>400</v>
      </c>
      <c r="M441" s="230" t="s">
        <v>401</v>
      </c>
      <c r="N441" s="230" t="s">
        <v>402</v>
      </c>
      <c r="O441" s="230" t="s">
        <v>403</v>
      </c>
      <c r="P441" s="230" t="s">
        <v>404</v>
      </c>
      <c r="Q441" s="230" t="s">
        <v>405</v>
      </c>
      <c r="R441" s="230" t="s">
        <v>406</v>
      </c>
      <c r="S441" s="230" t="s">
        <v>407</v>
      </c>
      <c r="T441" s="230" t="s">
        <v>408</v>
      </c>
      <c r="U441" s="230" t="s">
        <v>409</v>
      </c>
      <c r="V441" s="230" t="s">
        <v>410</v>
      </c>
      <c r="W441" s="230" t="s">
        <v>411</v>
      </c>
      <c r="X441" s="230" t="s">
        <v>412</v>
      </c>
      <c r="Y441" s="230" t="s">
        <v>413</v>
      </c>
      <c r="Z441" s="230" t="s">
        <v>414</v>
      </c>
      <c r="AA441" s="230" t="s">
        <v>415</v>
      </c>
      <c r="AB441" s="230" t="s">
        <v>416</v>
      </c>
      <c r="AC441" s="230" t="s">
        <v>417</v>
      </c>
      <c r="AD441" s="230" t="s">
        <v>418</v>
      </c>
      <c r="AE441" s="230" t="s">
        <v>419</v>
      </c>
      <c r="AF441" s="230" t="s">
        <v>420</v>
      </c>
      <c r="AG441" s="230" t="s">
        <v>421</v>
      </c>
      <c r="AH441" s="230" t="s">
        <v>422</v>
      </c>
      <c r="AI441" s="230" t="s">
        <v>423</v>
      </c>
      <c r="AJ441" s="230" t="s">
        <v>424</v>
      </c>
      <c r="AK441" s="3"/>
      <c r="AL441" s="3"/>
    </row>
    <row r="442" spans="1:38" ht="17" x14ac:dyDescent="0.4">
      <c r="A442" s="581" t="s">
        <v>59</v>
      </c>
      <c r="B442" s="1411" t="s">
        <v>1390</v>
      </c>
      <c r="C442" s="89">
        <f t="shared" ref="C442:AJ442" si="137">C169*C395</f>
        <v>49.034161189092522</v>
      </c>
      <c r="D442" s="89">
        <f t="shared" si="137"/>
        <v>49.433430258429119</v>
      </c>
      <c r="E442" s="89">
        <f t="shared" si="137"/>
        <v>49.888290980331746</v>
      </c>
      <c r="F442" s="89">
        <f t="shared" si="137"/>
        <v>50.656928876851936</v>
      </c>
      <c r="G442" s="89">
        <f t="shared" si="137"/>
        <v>51.727813502701913</v>
      </c>
      <c r="H442" s="89">
        <f t="shared" si="137"/>
        <v>51.771260922018115</v>
      </c>
      <c r="I442" s="89">
        <f t="shared" si="137"/>
        <v>52.098190695823213</v>
      </c>
      <c r="J442" s="89">
        <f t="shared" si="137"/>
        <v>52.807422686012977</v>
      </c>
      <c r="K442" s="89">
        <f t="shared" si="137"/>
        <v>53.157807928369195</v>
      </c>
      <c r="L442" s="89">
        <f t="shared" si="137"/>
        <v>54.052228515119602</v>
      </c>
      <c r="M442" s="89">
        <f t="shared" si="137"/>
        <v>56.064313138830371</v>
      </c>
      <c r="N442" s="89">
        <f t="shared" si="137"/>
        <v>56.249633261382897</v>
      </c>
      <c r="O442" s="89">
        <f t="shared" si="137"/>
        <v>56.81712407432822</v>
      </c>
      <c r="P442" s="89">
        <f t="shared" si="137"/>
        <v>58.078151442432819</v>
      </c>
      <c r="Q442" s="89">
        <f t="shared" si="137"/>
        <v>57.263874026731848</v>
      </c>
      <c r="R442" s="89">
        <f t="shared" si="137"/>
        <v>56.885342222114282</v>
      </c>
      <c r="S442" s="89">
        <f t="shared" si="137"/>
        <v>59.136190363076309</v>
      </c>
      <c r="T442" s="89">
        <f t="shared" si="137"/>
        <v>59.689564052893658</v>
      </c>
      <c r="U442" s="89">
        <f t="shared" si="137"/>
        <v>59.884288283865253</v>
      </c>
      <c r="V442" s="89">
        <f t="shared" si="137"/>
        <v>60.079012514836883</v>
      </c>
      <c r="W442" s="89">
        <f t="shared" si="137"/>
        <v>60.922488700734199</v>
      </c>
      <c r="X442" s="89">
        <f t="shared" si="137"/>
        <v>61.743298574031655</v>
      </c>
      <c r="Y442" s="89">
        <f t="shared" si="137"/>
        <v>63.480888452698338</v>
      </c>
      <c r="Z442" s="89">
        <f t="shared" si="137"/>
        <v>64.341550701534047</v>
      </c>
      <c r="AA442" s="89">
        <f t="shared" si="137"/>
        <v>64.068502742400582</v>
      </c>
      <c r="AB442" s="89">
        <f t="shared" si="137"/>
        <v>64.801628621114403</v>
      </c>
      <c r="AC442" s="89">
        <f t="shared" si="137"/>
        <v>65.524846208440266</v>
      </c>
      <c r="AD442" s="89">
        <f t="shared" si="137"/>
        <v>66.239646132286083</v>
      </c>
      <c r="AE442" s="89">
        <f t="shared" si="137"/>
        <v>67.198032193085268</v>
      </c>
      <c r="AF442" s="89">
        <f t="shared" si="137"/>
        <v>67.872979741392825</v>
      </c>
      <c r="AG442" s="89">
        <f t="shared" si="137"/>
        <v>81.80416895884413</v>
      </c>
      <c r="AH442" s="89">
        <f t="shared" si="137"/>
        <v>69.355672247804875</v>
      </c>
      <c r="AI442" s="89">
        <f t="shared" si="137"/>
        <v>78.484058345931913</v>
      </c>
      <c r="AJ442" s="89">
        <f t="shared" si="137"/>
        <v>70.288279214196436</v>
      </c>
    </row>
    <row r="443" spans="1:38" ht="17" x14ac:dyDescent="0.4">
      <c r="A443" s="581" t="s">
        <v>156</v>
      </c>
      <c r="B443" s="1411" t="s">
        <v>1390</v>
      </c>
      <c r="C443" s="89">
        <f t="shared" ref="C443:AJ443" si="138">C170*C396</f>
        <v>59.096587259100623</v>
      </c>
      <c r="D443" s="89">
        <f t="shared" si="138"/>
        <v>61.143523554603846</v>
      </c>
      <c r="E443" s="89">
        <f t="shared" si="138"/>
        <v>59.164106531049242</v>
      </c>
      <c r="F443" s="89">
        <f t="shared" si="138"/>
        <v>70.40399839400429</v>
      </c>
      <c r="G443" s="89">
        <f t="shared" si="138"/>
        <v>63.898034261241968</v>
      </c>
      <c r="H443" s="89">
        <f t="shared" si="138"/>
        <v>71.965209314775151</v>
      </c>
      <c r="I443" s="89">
        <f t="shared" si="138"/>
        <v>72.954573340471086</v>
      </c>
      <c r="J443" s="89">
        <f t="shared" si="138"/>
        <v>74.358009635974298</v>
      </c>
      <c r="K443" s="89">
        <f t="shared" si="138"/>
        <v>74.982218415417563</v>
      </c>
      <c r="L443" s="89">
        <f t="shared" si="138"/>
        <v>77.975802462526758</v>
      </c>
      <c r="M443" s="89">
        <f t="shared" si="138"/>
        <v>81.293892398286928</v>
      </c>
      <c r="N443" s="89">
        <f t="shared" si="138"/>
        <v>83.354608137044963</v>
      </c>
      <c r="O443" s="89">
        <f t="shared" si="138"/>
        <v>84.362574411134887</v>
      </c>
      <c r="P443" s="89">
        <f t="shared" si="138"/>
        <v>84.747709850107057</v>
      </c>
      <c r="Q443" s="89">
        <f t="shared" si="138"/>
        <v>86.195240364025693</v>
      </c>
      <c r="R443" s="89">
        <f t="shared" si="138"/>
        <v>82.791717880085642</v>
      </c>
      <c r="S443" s="89">
        <f t="shared" si="138"/>
        <v>87.301729657387568</v>
      </c>
      <c r="T443" s="89">
        <f t="shared" si="138"/>
        <v>88.853294967880089</v>
      </c>
      <c r="U443" s="89">
        <f t="shared" si="138"/>
        <v>92.418036937901505</v>
      </c>
      <c r="V443" s="89">
        <f t="shared" si="138"/>
        <v>95.982778907922906</v>
      </c>
      <c r="W443" s="89">
        <f t="shared" si="138"/>
        <v>99.547520877944308</v>
      </c>
      <c r="X443" s="89">
        <f t="shared" si="138"/>
        <v>95.233177194860801</v>
      </c>
      <c r="Y443" s="89">
        <f t="shared" si="138"/>
        <v>98.402449143468957</v>
      </c>
      <c r="Z443" s="89">
        <f t="shared" si="138"/>
        <v>99.381478586723773</v>
      </c>
      <c r="AA443" s="89">
        <f t="shared" si="138"/>
        <v>96.150199143468939</v>
      </c>
      <c r="AB443" s="89">
        <f t="shared" si="138"/>
        <v>96.837104389721617</v>
      </c>
      <c r="AC443" s="89">
        <f t="shared" si="138"/>
        <v>97.744480728051371</v>
      </c>
      <c r="AD443" s="89">
        <f t="shared" si="138"/>
        <v>98.428630085653111</v>
      </c>
      <c r="AE443" s="89">
        <f t="shared" si="138"/>
        <v>99.619862955032104</v>
      </c>
      <c r="AF443" s="89">
        <f t="shared" si="138"/>
        <v>99.741811027837244</v>
      </c>
      <c r="AG443" s="89">
        <f t="shared" si="138"/>
        <v>121.37278104925052</v>
      </c>
      <c r="AH443" s="89">
        <f t="shared" si="138"/>
        <v>100.53964079229122</v>
      </c>
      <c r="AI443" s="89">
        <f t="shared" si="138"/>
        <v>113.30767291220556</v>
      </c>
      <c r="AJ443" s="89">
        <f t="shared" si="138"/>
        <v>100.27025267665951</v>
      </c>
    </row>
    <row r="444" spans="1:38" ht="17" x14ac:dyDescent="0.4">
      <c r="A444" s="581" t="s">
        <v>76</v>
      </c>
      <c r="B444" s="1411" t="s">
        <v>1390</v>
      </c>
      <c r="C444" s="89">
        <f t="shared" ref="C444:AJ444" si="139">C171*C397</f>
        <v>20.215591541755884</v>
      </c>
      <c r="D444" s="89">
        <f t="shared" si="139"/>
        <v>15.476258029978593</v>
      </c>
      <c r="E444" s="89">
        <f t="shared" si="139"/>
        <v>26.967518736616704</v>
      </c>
      <c r="F444" s="89">
        <f t="shared" si="139"/>
        <v>22.515698608137047</v>
      </c>
      <c r="G444" s="89">
        <f t="shared" si="139"/>
        <v>24.79107334047109</v>
      </c>
      <c r="H444" s="89">
        <f t="shared" si="139"/>
        <v>32.297336723768737</v>
      </c>
      <c r="I444" s="89">
        <f t="shared" si="139"/>
        <v>33.858565310492516</v>
      </c>
      <c r="J444" s="89">
        <f t="shared" si="139"/>
        <v>34.186268736616704</v>
      </c>
      <c r="K444" s="89">
        <f t="shared" si="139"/>
        <v>34.76438704496789</v>
      </c>
      <c r="L444" s="89">
        <f t="shared" si="139"/>
        <v>24.815805674518202</v>
      </c>
      <c r="M444" s="89">
        <f t="shared" si="139"/>
        <v>27.187018201284801</v>
      </c>
      <c r="N444" s="89">
        <f t="shared" si="139"/>
        <v>30.14253211991435</v>
      </c>
      <c r="O444" s="89">
        <f t="shared" si="139"/>
        <v>28.102114561027836</v>
      </c>
      <c r="P444" s="89">
        <f t="shared" si="139"/>
        <v>34.84785867237688</v>
      </c>
      <c r="Q444" s="89">
        <f t="shared" si="139"/>
        <v>33.849290685224837</v>
      </c>
      <c r="R444" s="89">
        <f t="shared" si="139"/>
        <v>37.157240364025704</v>
      </c>
      <c r="S444" s="89">
        <f t="shared" si="139"/>
        <v>38.508244111349043</v>
      </c>
      <c r="T444" s="89">
        <f t="shared" si="139"/>
        <v>39.194566381156328</v>
      </c>
      <c r="U444" s="89">
        <f t="shared" si="139"/>
        <v>39.269793897216282</v>
      </c>
      <c r="V444" s="89">
        <f t="shared" si="139"/>
        <v>39.345021413276228</v>
      </c>
      <c r="W444" s="89">
        <f t="shared" si="139"/>
        <v>39.420248929336189</v>
      </c>
      <c r="X444" s="89">
        <f t="shared" si="139"/>
        <v>33.144419164882237</v>
      </c>
      <c r="Y444" s="89">
        <f t="shared" si="139"/>
        <v>33.512312633832984</v>
      </c>
      <c r="Z444" s="89">
        <f t="shared" si="139"/>
        <v>34.201726445396147</v>
      </c>
      <c r="AA444" s="89">
        <f t="shared" si="139"/>
        <v>33.840016059957179</v>
      </c>
      <c r="AB444" s="89">
        <f t="shared" si="139"/>
        <v>34.82930942184155</v>
      </c>
      <c r="AC444" s="89">
        <f t="shared" si="139"/>
        <v>35.039534261241982</v>
      </c>
      <c r="AD444" s="89">
        <f t="shared" si="139"/>
        <v>34.61290149892934</v>
      </c>
      <c r="AE444" s="89">
        <f t="shared" si="139"/>
        <v>34.640725374732341</v>
      </c>
      <c r="AF444" s="89">
        <f t="shared" si="139"/>
        <v>34.612901498929332</v>
      </c>
      <c r="AG444" s="89">
        <f t="shared" si="139"/>
        <v>37.840471092077095</v>
      </c>
      <c r="AH444" s="89">
        <f t="shared" si="139"/>
        <v>34.282106531049259</v>
      </c>
      <c r="AI444" s="89">
        <f t="shared" si="139"/>
        <v>36.551298179871523</v>
      </c>
      <c r="AJ444" s="89">
        <f t="shared" si="139"/>
        <v>34.306838865096367</v>
      </c>
    </row>
    <row r="445" spans="1:38" ht="17" x14ac:dyDescent="0.4">
      <c r="A445" s="581" t="s">
        <v>115</v>
      </c>
      <c r="B445" s="1411" t="s">
        <v>1390</v>
      </c>
      <c r="C445" s="89">
        <f>SUBTOTAL(109,C442:C444)</f>
        <v>128.34633998994903</v>
      </c>
      <c r="D445" s="89">
        <f t="shared" ref="D445:AJ445" si="140">SUBTOTAL(109,D442:D444)</f>
        <v>126.05321184301155</v>
      </c>
      <c r="E445" s="89">
        <f t="shared" si="140"/>
        <v>136.01991624799768</v>
      </c>
      <c r="F445" s="89">
        <f t="shared" si="140"/>
        <v>143.57662587899327</v>
      </c>
      <c r="G445" s="89">
        <f t="shared" si="140"/>
        <v>140.41692110441497</v>
      </c>
      <c r="H445" s="89">
        <f t="shared" si="140"/>
        <v>156.033806960562</v>
      </c>
      <c r="I445" s="89">
        <f t="shared" si="140"/>
        <v>158.9113293467868</v>
      </c>
      <c r="J445" s="89">
        <f t="shared" si="140"/>
        <v>161.35170105860399</v>
      </c>
      <c r="K445" s="89">
        <f t="shared" si="140"/>
        <v>162.90441338875465</v>
      </c>
      <c r="L445" s="89">
        <f t="shared" si="140"/>
        <v>156.84383665216455</v>
      </c>
      <c r="M445" s="89">
        <f t="shared" si="140"/>
        <v>164.54522373840211</v>
      </c>
      <c r="N445" s="89">
        <f t="shared" si="140"/>
        <v>169.7467735183422</v>
      </c>
      <c r="O445" s="89">
        <f t="shared" si="140"/>
        <v>169.28181304649095</v>
      </c>
      <c r="P445" s="89">
        <f t="shared" si="140"/>
        <v>177.67371996491676</v>
      </c>
      <c r="Q445" s="89">
        <f t="shared" si="140"/>
        <v>177.30840507598239</v>
      </c>
      <c r="R445" s="89">
        <f t="shared" si="140"/>
        <v>176.83430046622564</v>
      </c>
      <c r="S445" s="89">
        <f t="shared" si="140"/>
        <v>184.94616413181291</v>
      </c>
      <c r="T445" s="89">
        <f t="shared" si="140"/>
        <v>187.73742540193007</v>
      </c>
      <c r="U445" s="89">
        <f t="shared" si="140"/>
        <v>191.57211911898304</v>
      </c>
      <c r="V445" s="89">
        <f t="shared" si="140"/>
        <v>195.40681283603601</v>
      </c>
      <c r="W445" s="89">
        <f t="shared" si="140"/>
        <v>199.89025850801471</v>
      </c>
      <c r="X445" s="89">
        <f t="shared" si="140"/>
        <v>190.12089493377468</v>
      </c>
      <c r="Y445" s="89">
        <f t="shared" si="140"/>
        <v>195.39565023000026</v>
      </c>
      <c r="Z445" s="89">
        <f t="shared" si="140"/>
        <v>197.92475573365397</v>
      </c>
      <c r="AA445" s="89">
        <f t="shared" si="140"/>
        <v>194.05871794582669</v>
      </c>
      <c r="AB445" s="89">
        <f t="shared" si="140"/>
        <v>196.46804243267755</v>
      </c>
      <c r="AC445" s="89">
        <f t="shared" si="140"/>
        <v>198.30886119773362</v>
      </c>
      <c r="AD445" s="89">
        <f t="shared" si="140"/>
        <v>199.28117771686854</v>
      </c>
      <c r="AE445" s="89">
        <f t="shared" si="140"/>
        <v>201.45862052284971</v>
      </c>
      <c r="AF445" s="89">
        <f t="shared" si="140"/>
        <v>202.22769226815939</v>
      </c>
      <c r="AG445" s="89">
        <f t="shared" si="140"/>
        <v>241.01742110017176</v>
      </c>
      <c r="AH445" s="89">
        <f t="shared" si="140"/>
        <v>204.17741957114535</v>
      </c>
      <c r="AI445" s="89">
        <f t="shared" si="140"/>
        <v>228.34302943800901</v>
      </c>
      <c r="AJ445" s="89">
        <f t="shared" si="140"/>
        <v>204.86537075595231</v>
      </c>
    </row>
    <row r="446" spans="1:38" x14ac:dyDescent="0.4">
      <c r="A446" s="581" t="s">
        <v>1063</v>
      </c>
      <c r="B446" s="581"/>
      <c r="C446" s="89"/>
      <c r="D446" s="89"/>
      <c r="E446" s="89"/>
      <c r="F446" s="89"/>
      <c r="G446" s="89"/>
      <c r="H446" s="89"/>
      <c r="I446" s="89"/>
      <c r="J446" s="89"/>
      <c r="K446" s="89"/>
      <c r="L446" s="89"/>
      <c r="M446" s="89"/>
      <c r="N446" s="89"/>
      <c r="O446" s="89"/>
      <c r="P446" s="89"/>
      <c r="Q446" s="89"/>
      <c r="R446" s="89"/>
      <c r="S446" s="89"/>
      <c r="T446" s="89"/>
      <c r="U446" s="89"/>
      <c r="V446" s="89"/>
      <c r="W446" s="89"/>
      <c r="X446" s="89"/>
      <c r="Y446" s="89"/>
      <c r="Z446" s="89"/>
      <c r="AA446" s="89"/>
      <c r="AB446" s="89"/>
      <c r="AC446" s="89"/>
      <c r="AD446" s="89"/>
      <c r="AE446" s="89"/>
      <c r="AF446" s="89"/>
      <c r="AG446" s="89"/>
      <c r="AH446" s="89"/>
      <c r="AI446" s="89"/>
      <c r="AJ446" s="89"/>
    </row>
    <row r="447" spans="1:38" x14ac:dyDescent="0.4">
      <c r="A447" s="581"/>
      <c r="B447" s="581"/>
      <c r="C447" s="89"/>
      <c r="D447" s="89"/>
      <c r="E447" s="89"/>
      <c r="F447" s="89"/>
      <c r="G447" s="89"/>
      <c r="H447" s="89"/>
      <c r="I447" s="89"/>
      <c r="J447" s="89"/>
      <c r="K447" s="89"/>
      <c r="L447" s="89"/>
      <c r="M447" s="89"/>
      <c r="N447" s="89"/>
      <c r="O447" s="89"/>
      <c r="P447" s="89"/>
      <c r="Q447" s="89"/>
      <c r="R447" s="89"/>
      <c r="S447" s="89"/>
      <c r="T447" s="89"/>
      <c r="U447" s="89"/>
      <c r="V447" s="89"/>
      <c r="W447" s="89"/>
      <c r="X447" s="89"/>
      <c r="Y447" s="89"/>
      <c r="Z447" s="89"/>
      <c r="AA447" s="89"/>
      <c r="AB447" s="89"/>
      <c r="AC447" s="89"/>
      <c r="AD447" s="89"/>
      <c r="AE447" s="89"/>
      <c r="AF447" s="89"/>
      <c r="AG447" s="89"/>
      <c r="AH447" s="89"/>
      <c r="AI447" s="89"/>
      <c r="AJ447" s="89"/>
    </row>
    <row r="448" spans="1:38" ht="17" x14ac:dyDescent="0.45">
      <c r="A448" s="88" t="s">
        <v>1468</v>
      </c>
      <c r="B448" s="581"/>
      <c r="C448" s="89"/>
      <c r="D448" s="89"/>
      <c r="E448" s="89"/>
      <c r="F448" s="89"/>
      <c r="G448" s="89"/>
      <c r="H448" s="89"/>
      <c r="I448" s="89"/>
      <c r="J448" s="89"/>
      <c r="K448" s="89"/>
      <c r="L448" s="89"/>
      <c r="M448" s="89"/>
      <c r="N448" s="89"/>
      <c r="O448" s="89"/>
      <c r="P448" s="89"/>
      <c r="Q448" s="89"/>
      <c r="R448" s="89"/>
      <c r="S448" s="89"/>
      <c r="T448" s="89"/>
      <c r="U448" s="89"/>
      <c r="V448" s="89"/>
      <c r="W448" s="89"/>
      <c r="X448" s="89"/>
      <c r="Y448" s="89"/>
      <c r="Z448" s="89"/>
      <c r="AA448" s="89"/>
      <c r="AB448" s="89"/>
      <c r="AC448" s="89"/>
      <c r="AD448" s="89"/>
      <c r="AE448" s="89"/>
      <c r="AF448" s="89"/>
      <c r="AG448" s="89"/>
      <c r="AH448" s="89"/>
      <c r="AI448" s="89"/>
      <c r="AJ448" s="89"/>
    </row>
    <row r="449" spans="1:38" s="28" customFormat="1" x14ac:dyDescent="0.4">
      <c r="A449" s="88" t="s">
        <v>390</v>
      </c>
      <c r="B449" s="88" t="s">
        <v>136</v>
      </c>
      <c r="C449" s="230" t="s">
        <v>391</v>
      </c>
      <c r="D449" s="230" t="s">
        <v>392</v>
      </c>
      <c r="E449" s="230" t="s">
        <v>393</v>
      </c>
      <c r="F449" s="230" t="s">
        <v>394</v>
      </c>
      <c r="G449" s="230" t="s">
        <v>395</v>
      </c>
      <c r="H449" s="230" t="s">
        <v>396</v>
      </c>
      <c r="I449" s="230" t="s">
        <v>397</v>
      </c>
      <c r="J449" s="230" t="s">
        <v>398</v>
      </c>
      <c r="K449" s="230" t="s">
        <v>399</v>
      </c>
      <c r="L449" s="230" t="s">
        <v>400</v>
      </c>
      <c r="M449" s="230" t="s">
        <v>401</v>
      </c>
      <c r="N449" s="230" t="s">
        <v>402</v>
      </c>
      <c r="O449" s="230" t="s">
        <v>403</v>
      </c>
      <c r="P449" s="230" t="s">
        <v>404</v>
      </c>
      <c r="Q449" s="230" t="s">
        <v>405</v>
      </c>
      <c r="R449" s="230" t="s">
        <v>406</v>
      </c>
      <c r="S449" s="230" t="s">
        <v>407</v>
      </c>
      <c r="T449" s="230" t="s">
        <v>408</v>
      </c>
      <c r="U449" s="230" t="s">
        <v>409</v>
      </c>
      <c r="V449" s="230" t="s">
        <v>410</v>
      </c>
      <c r="W449" s="230" t="s">
        <v>411</v>
      </c>
      <c r="X449" s="230" t="s">
        <v>412</v>
      </c>
      <c r="Y449" s="230" t="s">
        <v>413</v>
      </c>
      <c r="Z449" s="230" t="s">
        <v>414</v>
      </c>
      <c r="AA449" s="230" t="s">
        <v>415</v>
      </c>
      <c r="AB449" s="230" t="s">
        <v>416</v>
      </c>
      <c r="AC449" s="230" t="s">
        <v>417</v>
      </c>
      <c r="AD449" s="230" t="s">
        <v>418</v>
      </c>
      <c r="AE449" s="230" t="s">
        <v>419</v>
      </c>
      <c r="AF449" s="230" t="s">
        <v>420</v>
      </c>
      <c r="AG449" s="230" t="s">
        <v>421</v>
      </c>
      <c r="AH449" s="230" t="s">
        <v>422</v>
      </c>
      <c r="AI449" s="230" t="s">
        <v>423</v>
      </c>
      <c r="AJ449" s="230" t="s">
        <v>424</v>
      </c>
      <c r="AK449" s="3"/>
      <c r="AL449" s="3"/>
    </row>
    <row r="450" spans="1:38" ht="17" x14ac:dyDescent="0.4">
      <c r="A450" s="581" t="s">
        <v>157</v>
      </c>
      <c r="B450" s="1411" t="s">
        <v>1390</v>
      </c>
      <c r="C450" s="89">
        <f t="shared" ref="C450:AJ450" si="141">C119*C402</f>
        <v>0.49987845289079236</v>
      </c>
      <c r="D450" s="89">
        <f t="shared" si="141"/>
        <v>0.50174980728051399</v>
      </c>
      <c r="E450" s="89">
        <f t="shared" si="141"/>
        <v>0.5092777556209851</v>
      </c>
      <c r="F450" s="89">
        <f t="shared" si="141"/>
        <v>0.51246756423982887</v>
      </c>
      <c r="G450" s="89">
        <f t="shared" si="141"/>
        <v>0.52086030513918646</v>
      </c>
      <c r="H450" s="89">
        <f t="shared" si="141"/>
        <v>0.52809053800856542</v>
      </c>
      <c r="I450" s="89">
        <f t="shared" si="141"/>
        <v>0.53319423179871528</v>
      </c>
      <c r="J450" s="89">
        <f t="shared" si="141"/>
        <v>0.53998497992505368</v>
      </c>
      <c r="K450" s="89">
        <f t="shared" si="141"/>
        <v>0.54660560492505361</v>
      </c>
      <c r="L450" s="89">
        <f t="shared" si="141"/>
        <v>0.55307028372591005</v>
      </c>
      <c r="M450" s="89">
        <f t="shared" si="141"/>
        <v>0.55930813169164895</v>
      </c>
      <c r="N450" s="89">
        <f t="shared" si="141"/>
        <v>0.56815453426124207</v>
      </c>
      <c r="O450" s="89">
        <f t="shared" si="141"/>
        <v>0.57371188972162768</v>
      </c>
      <c r="P450" s="89">
        <f t="shared" si="141"/>
        <v>0.57777121644724316</v>
      </c>
      <c r="Q450" s="89">
        <f t="shared" si="141"/>
        <v>0.58653824731614035</v>
      </c>
      <c r="R450" s="89">
        <f t="shared" si="141"/>
        <v>0.5941370991006425</v>
      </c>
      <c r="S450" s="89">
        <f t="shared" si="141"/>
        <v>0.58910148291488229</v>
      </c>
      <c r="T450" s="89">
        <f t="shared" si="141"/>
        <v>0.59268104361616736</v>
      </c>
      <c r="U450" s="89">
        <f t="shared" si="141"/>
        <v>0.59607908294164891</v>
      </c>
      <c r="V450" s="89">
        <f t="shared" si="141"/>
        <v>0.59737871021145617</v>
      </c>
      <c r="W450" s="89">
        <f t="shared" si="141"/>
        <v>0.59919656087794448</v>
      </c>
      <c r="X450" s="89">
        <f t="shared" si="141"/>
        <v>0.60087488222698082</v>
      </c>
      <c r="Y450" s="89">
        <f t="shared" si="141"/>
        <v>0.60350220708244107</v>
      </c>
      <c r="Z450" s="89">
        <f t="shared" si="141"/>
        <v>0.60627677350374765</v>
      </c>
      <c r="AA450" s="89">
        <f t="shared" si="141"/>
        <v>0.61035317879550333</v>
      </c>
      <c r="AB450" s="89">
        <f t="shared" si="141"/>
        <v>0.61177529471627423</v>
      </c>
      <c r="AC450" s="89">
        <f t="shared" si="141"/>
        <v>0.61332922770610288</v>
      </c>
      <c r="AD450" s="89">
        <f t="shared" si="141"/>
        <v>0.61438736519807291</v>
      </c>
      <c r="AE450" s="89">
        <f t="shared" si="141"/>
        <v>0.61568897723768745</v>
      </c>
      <c r="AF450" s="89">
        <f t="shared" si="141"/>
        <v>0.6168431208806211</v>
      </c>
      <c r="AG450" s="89">
        <f t="shared" si="141"/>
        <v>0.61806437809689507</v>
      </c>
      <c r="AH450" s="89">
        <f t="shared" si="141"/>
        <v>0.61754034216006437</v>
      </c>
      <c r="AI450" s="89">
        <f t="shared" si="141"/>
        <v>0.61931810047644553</v>
      </c>
      <c r="AJ450" s="89">
        <f t="shared" si="141"/>
        <v>0.61974009089132776</v>
      </c>
    </row>
    <row r="451" spans="1:38" ht="17" x14ac:dyDescent="0.4">
      <c r="A451" s="581" t="s">
        <v>158</v>
      </c>
      <c r="B451" s="1411" t="s">
        <v>1390</v>
      </c>
      <c r="C451" s="89">
        <f t="shared" ref="C451:AJ451" si="142">C119*C403</f>
        <v>1.0197520438972163</v>
      </c>
      <c r="D451" s="89">
        <f t="shared" si="142"/>
        <v>1.0235696068522484</v>
      </c>
      <c r="E451" s="89">
        <f t="shared" si="142"/>
        <v>1.0389266214668096</v>
      </c>
      <c r="F451" s="89">
        <f t="shared" si="142"/>
        <v>1.0454338310492504</v>
      </c>
      <c r="G451" s="89">
        <f t="shared" si="142"/>
        <v>1.06255502248394</v>
      </c>
      <c r="H451" s="89">
        <f t="shared" si="142"/>
        <v>1.0773046975374734</v>
      </c>
      <c r="I451" s="89">
        <f t="shared" si="142"/>
        <v>1.087716232869379</v>
      </c>
      <c r="J451" s="89">
        <f t="shared" si="142"/>
        <v>1.1015693590471092</v>
      </c>
      <c r="K451" s="89">
        <f t="shared" si="142"/>
        <v>1.1150754340471092</v>
      </c>
      <c r="L451" s="89">
        <f t="shared" si="142"/>
        <v>1.1282633788008565</v>
      </c>
      <c r="M451" s="89">
        <f t="shared" si="142"/>
        <v>1.1409885886509636</v>
      </c>
      <c r="N451" s="89">
        <f t="shared" si="142"/>
        <v>1.1590352498929335</v>
      </c>
      <c r="O451" s="89">
        <f t="shared" si="142"/>
        <v>1.1703722550321201</v>
      </c>
      <c r="P451" s="89">
        <f t="shared" si="142"/>
        <v>1.1786532815523758</v>
      </c>
      <c r="Q451" s="89">
        <f t="shared" si="142"/>
        <v>1.196538024524926</v>
      </c>
      <c r="R451" s="89">
        <f t="shared" si="142"/>
        <v>1.2120396821653103</v>
      </c>
      <c r="S451" s="89">
        <f t="shared" si="142"/>
        <v>1.2017670251463597</v>
      </c>
      <c r="T451" s="89">
        <f t="shared" si="142"/>
        <v>1.2090693289769809</v>
      </c>
      <c r="U451" s="89">
        <f t="shared" si="142"/>
        <v>1.2160013292009639</v>
      </c>
      <c r="V451" s="89">
        <f t="shared" si="142"/>
        <v>1.2186525688313703</v>
      </c>
      <c r="W451" s="89">
        <f t="shared" si="142"/>
        <v>1.2223609841910064</v>
      </c>
      <c r="X451" s="89">
        <f t="shared" si="142"/>
        <v>1.2257847597430405</v>
      </c>
      <c r="Y451" s="89">
        <f t="shared" si="142"/>
        <v>1.2311445024481797</v>
      </c>
      <c r="Z451" s="89">
        <f t="shared" si="142"/>
        <v>1.2368046179476448</v>
      </c>
      <c r="AA451" s="89">
        <f t="shared" si="142"/>
        <v>1.2451204847428261</v>
      </c>
      <c r="AB451" s="89">
        <f t="shared" si="142"/>
        <v>1.2480216012211991</v>
      </c>
      <c r="AC451" s="89">
        <f t="shared" si="142"/>
        <v>1.2511916245204497</v>
      </c>
      <c r="AD451" s="89">
        <f t="shared" si="142"/>
        <v>1.2533502250040682</v>
      </c>
      <c r="AE451" s="89">
        <f t="shared" si="142"/>
        <v>1.2560055135648818</v>
      </c>
      <c r="AF451" s="89">
        <f t="shared" si="142"/>
        <v>1.2583599665964669</v>
      </c>
      <c r="AG451" s="89">
        <f t="shared" si="142"/>
        <v>1.2608513313176657</v>
      </c>
      <c r="AH451" s="89">
        <f t="shared" si="142"/>
        <v>1.259782298006531</v>
      </c>
      <c r="AI451" s="89">
        <f t="shared" si="142"/>
        <v>1.2634089249719485</v>
      </c>
      <c r="AJ451" s="89">
        <f t="shared" si="142"/>
        <v>1.2642697854183085</v>
      </c>
    </row>
    <row r="452" spans="1:38" s="28" customFormat="1" ht="17" x14ac:dyDescent="0.4">
      <c r="A452" s="581" t="s">
        <v>159</v>
      </c>
      <c r="B452" s="1411" t="s">
        <v>1390</v>
      </c>
      <c r="C452" s="89">
        <f t="shared" ref="C452:AJ452" si="143">C119*C404</f>
        <v>15.896134801927197</v>
      </c>
      <c r="D452" s="89">
        <f t="shared" si="143"/>
        <v>15.955643871520348</v>
      </c>
      <c r="E452" s="89">
        <f t="shared" si="143"/>
        <v>16.19503262874732</v>
      </c>
      <c r="F452" s="89">
        <f t="shared" si="143"/>
        <v>16.296468542826553</v>
      </c>
      <c r="G452" s="89">
        <f t="shared" si="143"/>
        <v>16.563357703426124</v>
      </c>
      <c r="H452" s="89">
        <f t="shared" si="143"/>
        <v>16.79327910867238</v>
      </c>
      <c r="I452" s="89">
        <f t="shared" si="143"/>
        <v>16.955576571199146</v>
      </c>
      <c r="J452" s="89">
        <f t="shared" si="143"/>
        <v>17.171522361616706</v>
      </c>
      <c r="K452" s="89">
        <f t="shared" si="143"/>
        <v>17.382058236616707</v>
      </c>
      <c r="L452" s="89">
        <f t="shared" si="143"/>
        <v>17.587635022483944</v>
      </c>
      <c r="M452" s="89">
        <f t="shared" si="143"/>
        <v>17.785998587794435</v>
      </c>
      <c r="N452" s="89">
        <f t="shared" si="143"/>
        <v>18.067314189507499</v>
      </c>
      <c r="O452" s="89">
        <f t="shared" si="143"/>
        <v>18.244038093147751</v>
      </c>
      <c r="P452" s="89">
        <f t="shared" si="143"/>
        <v>18.373124683022333</v>
      </c>
      <c r="Q452" s="89">
        <f t="shared" si="143"/>
        <v>18.651916264653266</v>
      </c>
      <c r="R452" s="89">
        <f t="shared" si="143"/>
        <v>18.893559751400431</v>
      </c>
      <c r="S452" s="89">
        <f t="shared" si="143"/>
        <v>18.733427156693256</v>
      </c>
      <c r="T452" s="89">
        <f t="shared" si="143"/>
        <v>18.847257186994121</v>
      </c>
      <c r="U452" s="89">
        <f t="shared" si="143"/>
        <v>18.955314837544435</v>
      </c>
      <c r="V452" s="89">
        <f t="shared" si="143"/>
        <v>18.996642984724303</v>
      </c>
      <c r="W452" s="89">
        <f t="shared" si="143"/>
        <v>19.054450635918634</v>
      </c>
      <c r="X452" s="89">
        <f t="shared" si="143"/>
        <v>19.107821254817981</v>
      </c>
      <c r="Y452" s="89">
        <f t="shared" si="143"/>
        <v>19.191370185221629</v>
      </c>
      <c r="Z452" s="89">
        <f t="shared" si="143"/>
        <v>19.279601397419171</v>
      </c>
      <c r="AA452" s="89">
        <f t="shared" si="143"/>
        <v>19.409231085697002</v>
      </c>
      <c r="AB452" s="89">
        <f t="shared" si="143"/>
        <v>19.454454371977516</v>
      </c>
      <c r="AC452" s="89">
        <f t="shared" si="143"/>
        <v>19.503869441054068</v>
      </c>
      <c r="AD452" s="89">
        <f t="shared" si="143"/>
        <v>19.537518213298718</v>
      </c>
      <c r="AE452" s="89">
        <f t="shared" si="143"/>
        <v>19.578909476158458</v>
      </c>
      <c r="AF452" s="89">
        <f t="shared" si="143"/>
        <v>19.615611244003752</v>
      </c>
      <c r="AG452" s="89">
        <f t="shared" si="143"/>
        <v>19.654447223481263</v>
      </c>
      <c r="AH452" s="89">
        <f t="shared" si="143"/>
        <v>19.637782880690047</v>
      </c>
      <c r="AI452" s="89">
        <f t="shared" si="143"/>
        <v>19.694315595150968</v>
      </c>
      <c r="AJ452" s="89">
        <f t="shared" si="143"/>
        <v>19.707734890344224</v>
      </c>
      <c r="AK452" s="3"/>
      <c r="AL452" s="3"/>
    </row>
    <row r="453" spans="1:38" ht="17" x14ac:dyDescent="0.4">
      <c r="A453" s="581" t="s">
        <v>115</v>
      </c>
      <c r="B453" s="1411" t="s">
        <v>1390</v>
      </c>
      <c r="C453" s="89">
        <f>SUBTOTAL(109,C450:C452)</f>
        <v>17.415765298715204</v>
      </c>
      <c r="D453" s="89">
        <f t="shared" ref="D453:AJ453" si="144">SUBTOTAL(109,D450:D452)</f>
        <v>17.480963285653111</v>
      </c>
      <c r="E453" s="89">
        <f t="shared" si="144"/>
        <v>17.743237005835116</v>
      </c>
      <c r="F453" s="89">
        <f t="shared" si="144"/>
        <v>17.854369938115632</v>
      </c>
      <c r="G453" s="89">
        <f t="shared" si="144"/>
        <v>18.14677303104925</v>
      </c>
      <c r="H453" s="89">
        <f t="shared" si="144"/>
        <v>18.398674344218417</v>
      </c>
      <c r="I453" s="89">
        <f t="shared" si="144"/>
        <v>18.576487035867238</v>
      </c>
      <c r="J453" s="89">
        <f t="shared" si="144"/>
        <v>18.813076700588869</v>
      </c>
      <c r="K453" s="89">
        <f t="shared" si="144"/>
        <v>19.043739275588869</v>
      </c>
      <c r="L453" s="89">
        <f t="shared" si="144"/>
        <v>19.268968685010712</v>
      </c>
      <c r="M453" s="89">
        <f t="shared" si="144"/>
        <v>19.486295308137048</v>
      </c>
      <c r="N453" s="89">
        <f t="shared" si="144"/>
        <v>19.794503973661676</v>
      </c>
      <c r="O453" s="89">
        <f t="shared" si="144"/>
        <v>19.9881222379015</v>
      </c>
      <c r="P453" s="89">
        <f t="shared" si="144"/>
        <v>20.12954918102195</v>
      </c>
      <c r="Q453" s="89">
        <f t="shared" si="144"/>
        <v>20.434992536494335</v>
      </c>
      <c r="R453" s="89">
        <f t="shared" si="144"/>
        <v>20.699736532666385</v>
      </c>
      <c r="S453" s="89">
        <f t="shared" si="144"/>
        <v>20.524295664754497</v>
      </c>
      <c r="T453" s="89">
        <f t="shared" si="144"/>
        <v>20.649007559587268</v>
      </c>
      <c r="U453" s="89">
        <f t="shared" si="144"/>
        <v>20.767395249687048</v>
      </c>
      <c r="V453" s="89">
        <f t="shared" si="144"/>
        <v>20.812674263767128</v>
      </c>
      <c r="W453" s="89">
        <f t="shared" si="144"/>
        <v>20.876008180987586</v>
      </c>
      <c r="X453" s="89">
        <f t="shared" si="144"/>
        <v>20.934480896788003</v>
      </c>
      <c r="Y453" s="89">
        <f t="shared" si="144"/>
        <v>21.026016894752249</v>
      </c>
      <c r="Z453" s="89">
        <f t="shared" si="144"/>
        <v>21.122682788870563</v>
      </c>
      <c r="AA453" s="89">
        <f t="shared" si="144"/>
        <v>21.264704749235332</v>
      </c>
      <c r="AB453" s="89">
        <f t="shared" si="144"/>
        <v>21.31425126791499</v>
      </c>
      <c r="AC453" s="89">
        <f t="shared" si="144"/>
        <v>21.368390293280619</v>
      </c>
      <c r="AD453" s="89">
        <f t="shared" si="144"/>
        <v>21.405255803500857</v>
      </c>
      <c r="AE453" s="89">
        <f t="shared" si="144"/>
        <v>21.450603966961026</v>
      </c>
      <c r="AF453" s="89">
        <f t="shared" si="144"/>
        <v>21.490814331480841</v>
      </c>
      <c r="AG453" s="89">
        <f t="shared" si="144"/>
        <v>21.533362932895823</v>
      </c>
      <c r="AH453" s="89">
        <f t="shared" si="144"/>
        <v>21.515105520856643</v>
      </c>
      <c r="AI453" s="89">
        <f t="shared" si="144"/>
        <v>21.577042620599361</v>
      </c>
      <c r="AJ453" s="89">
        <f t="shared" si="144"/>
        <v>21.591744766653861</v>
      </c>
    </row>
    <row r="454" spans="1:38" x14ac:dyDescent="0.4">
      <c r="A454" s="581" t="s">
        <v>1063</v>
      </c>
      <c r="B454" s="581"/>
      <c r="C454" s="89"/>
      <c r="D454" s="89"/>
      <c r="E454" s="89"/>
      <c r="F454" s="89"/>
      <c r="G454" s="89"/>
      <c r="H454" s="89"/>
      <c r="I454" s="89"/>
      <c r="J454" s="89"/>
      <c r="K454" s="89"/>
      <c r="L454" s="89"/>
      <c r="M454" s="89"/>
      <c r="N454" s="89"/>
      <c r="O454" s="89"/>
      <c r="P454" s="89"/>
      <c r="Q454" s="89"/>
      <c r="R454" s="89"/>
      <c r="S454" s="89"/>
      <c r="T454" s="89"/>
      <c r="U454" s="89"/>
      <c r="V454" s="89"/>
      <c r="W454" s="89"/>
      <c r="X454" s="89"/>
      <c r="Y454" s="89"/>
      <c r="Z454" s="89"/>
      <c r="AA454" s="89"/>
      <c r="AB454" s="89"/>
      <c r="AC454" s="89"/>
      <c r="AD454" s="89"/>
      <c r="AE454" s="89"/>
      <c r="AF454" s="89"/>
      <c r="AG454" s="89"/>
      <c r="AH454" s="89"/>
      <c r="AI454" s="89"/>
      <c r="AJ454" s="89"/>
    </row>
    <row r="455" spans="1:38" x14ac:dyDescent="0.4">
      <c r="A455" s="581"/>
      <c r="B455" s="581"/>
      <c r="C455" s="89"/>
      <c r="D455" s="89"/>
      <c r="E455" s="89"/>
      <c r="F455" s="89"/>
      <c r="G455" s="89"/>
      <c r="H455" s="89"/>
      <c r="I455" s="89"/>
      <c r="J455" s="89"/>
      <c r="K455" s="89"/>
      <c r="L455" s="89"/>
      <c r="M455" s="89"/>
      <c r="N455" s="89"/>
      <c r="O455" s="89"/>
      <c r="P455" s="89"/>
      <c r="Q455" s="89"/>
      <c r="R455" s="89"/>
      <c r="S455" s="89"/>
      <c r="T455" s="89"/>
      <c r="U455" s="89"/>
      <c r="V455" s="89"/>
      <c r="W455" s="89"/>
      <c r="X455" s="89"/>
      <c r="Y455" s="89"/>
      <c r="Z455" s="89"/>
      <c r="AA455" s="89"/>
      <c r="AB455" s="89"/>
      <c r="AC455" s="89"/>
      <c r="AD455" s="89"/>
      <c r="AE455" s="89"/>
      <c r="AF455" s="89"/>
      <c r="AG455" s="89"/>
      <c r="AH455" s="89"/>
      <c r="AI455" s="89"/>
      <c r="AJ455" s="89"/>
    </row>
    <row r="456" spans="1:38" s="28" customFormat="1" ht="17" x14ac:dyDescent="0.45">
      <c r="A456" s="88" t="s">
        <v>1469</v>
      </c>
      <c r="B456" s="581"/>
      <c r="C456" s="89"/>
      <c r="D456" s="89"/>
      <c r="E456" s="89"/>
      <c r="F456" s="89"/>
      <c r="G456" s="89"/>
      <c r="H456" s="89"/>
      <c r="I456" s="89"/>
      <c r="J456" s="89"/>
      <c r="K456" s="89"/>
      <c r="L456" s="89"/>
      <c r="M456" s="89"/>
      <c r="N456" s="89"/>
      <c r="O456" s="89"/>
      <c r="P456" s="89"/>
      <c r="Q456" s="89"/>
      <c r="R456" s="89"/>
      <c r="S456" s="89"/>
      <c r="T456" s="89"/>
      <c r="U456" s="89"/>
      <c r="V456" s="89"/>
      <c r="W456" s="89"/>
      <c r="X456" s="89"/>
      <c r="Y456" s="89"/>
      <c r="Z456" s="89"/>
      <c r="AA456" s="89"/>
      <c r="AB456" s="89"/>
      <c r="AC456" s="89"/>
      <c r="AD456" s="89"/>
      <c r="AE456" s="89"/>
      <c r="AF456" s="89"/>
      <c r="AG456" s="89"/>
      <c r="AH456" s="89"/>
      <c r="AI456" s="89"/>
      <c r="AJ456" s="89"/>
      <c r="AK456" s="3"/>
      <c r="AL456" s="3"/>
    </row>
    <row r="457" spans="1:38" s="28" customFormat="1" x14ac:dyDescent="0.4">
      <c r="A457" s="655" t="s">
        <v>390</v>
      </c>
      <c r="B457" s="655" t="s">
        <v>136</v>
      </c>
      <c r="C457" s="656" t="s">
        <v>391</v>
      </c>
      <c r="D457" s="656" t="s">
        <v>392</v>
      </c>
      <c r="E457" s="656" t="s">
        <v>393</v>
      </c>
      <c r="F457" s="656" t="s">
        <v>394</v>
      </c>
      <c r="G457" s="656" t="s">
        <v>395</v>
      </c>
      <c r="H457" s="656" t="s">
        <v>396</v>
      </c>
      <c r="I457" s="656" t="s">
        <v>397</v>
      </c>
      <c r="J457" s="656" t="s">
        <v>398</v>
      </c>
      <c r="K457" s="656" t="s">
        <v>399</v>
      </c>
      <c r="L457" s="656" t="s">
        <v>400</v>
      </c>
      <c r="M457" s="656" t="s">
        <v>401</v>
      </c>
      <c r="N457" s="656" t="s">
        <v>402</v>
      </c>
      <c r="O457" s="656" t="s">
        <v>403</v>
      </c>
      <c r="P457" s="656" t="s">
        <v>404</v>
      </c>
      <c r="Q457" s="656" t="s">
        <v>405</v>
      </c>
      <c r="R457" s="656" t="s">
        <v>406</v>
      </c>
      <c r="S457" s="656" t="s">
        <v>407</v>
      </c>
      <c r="T457" s="656" t="s">
        <v>408</v>
      </c>
      <c r="U457" s="656" t="s">
        <v>409</v>
      </c>
      <c r="V457" s="656" t="s">
        <v>410</v>
      </c>
      <c r="W457" s="656" t="s">
        <v>411</v>
      </c>
      <c r="X457" s="656" t="s">
        <v>412</v>
      </c>
      <c r="Y457" s="656" t="s">
        <v>413</v>
      </c>
      <c r="Z457" s="656" t="s">
        <v>414</v>
      </c>
      <c r="AA457" s="656" t="s">
        <v>415</v>
      </c>
      <c r="AB457" s="656" t="s">
        <v>416</v>
      </c>
      <c r="AC457" s="656" t="s">
        <v>417</v>
      </c>
      <c r="AD457" s="656" t="s">
        <v>418</v>
      </c>
      <c r="AE457" s="656" t="s">
        <v>419</v>
      </c>
      <c r="AF457" s="656" t="s">
        <v>420</v>
      </c>
      <c r="AG457" s="656" t="s">
        <v>421</v>
      </c>
      <c r="AH457" s="656" t="s">
        <v>422</v>
      </c>
      <c r="AI457" s="656" t="s">
        <v>423</v>
      </c>
      <c r="AJ457" s="656" t="s">
        <v>424</v>
      </c>
      <c r="AK457" s="3"/>
      <c r="AL457" s="3"/>
    </row>
    <row r="458" spans="1:38" ht="17" x14ac:dyDescent="0.45">
      <c r="A458" s="108" t="s">
        <v>1577</v>
      </c>
      <c r="B458" s="659" t="s">
        <v>1476</v>
      </c>
      <c r="C458" s="654">
        <f t="shared" ref="C458:AJ458" si="145">C418+C435+C445+C453</f>
        <v>1867.6010378235314</v>
      </c>
      <c r="D458" s="654">
        <f t="shared" si="145"/>
        <v>1840.0159310172733</v>
      </c>
      <c r="E458" s="654">
        <f t="shared" si="145"/>
        <v>1813.7097983717165</v>
      </c>
      <c r="F458" s="654">
        <f t="shared" si="145"/>
        <v>1720.9472985651184</v>
      </c>
      <c r="G458" s="654">
        <f t="shared" si="145"/>
        <v>1650.5826302836474</v>
      </c>
      <c r="H458" s="654">
        <f t="shared" si="145"/>
        <v>1602.1840389409365</v>
      </c>
      <c r="I458" s="654">
        <f t="shared" si="145"/>
        <v>1521.2567209425283</v>
      </c>
      <c r="J458" s="654">
        <f t="shared" si="145"/>
        <v>1456.0314262962477</v>
      </c>
      <c r="K458" s="654">
        <f t="shared" si="145"/>
        <v>1391.0997944042497</v>
      </c>
      <c r="L458" s="654">
        <f t="shared" si="145"/>
        <v>1319.8791553751989</v>
      </c>
      <c r="M458" s="654">
        <f t="shared" si="145"/>
        <v>1276.6728129629869</v>
      </c>
      <c r="N458" s="654">
        <f t="shared" si="145"/>
        <v>1189.2739955910793</v>
      </c>
      <c r="O458" s="654">
        <f t="shared" si="145"/>
        <v>1132.6020624063135</v>
      </c>
      <c r="P458" s="654">
        <f t="shared" si="145"/>
        <v>1075.0734051896782</v>
      </c>
      <c r="Q458" s="654">
        <f t="shared" si="145"/>
        <v>1062.6320825619589</v>
      </c>
      <c r="R458" s="654">
        <f t="shared" si="145"/>
        <v>955.18619565288589</v>
      </c>
      <c r="S458" s="654">
        <f t="shared" si="145"/>
        <v>903.76191993875466</v>
      </c>
      <c r="T458" s="654">
        <f t="shared" si="145"/>
        <v>847.14120943327657</v>
      </c>
      <c r="U458" s="654">
        <f t="shared" si="145"/>
        <v>796.59586165784913</v>
      </c>
      <c r="V458" s="654">
        <f t="shared" si="145"/>
        <v>741.87221959302508</v>
      </c>
      <c r="W458" s="654">
        <f t="shared" si="145"/>
        <v>689.40109518401414</v>
      </c>
      <c r="X458" s="654">
        <f t="shared" si="145"/>
        <v>626.17803415960066</v>
      </c>
      <c r="Y458" s="654">
        <f t="shared" si="145"/>
        <v>616.53656645302794</v>
      </c>
      <c r="Z458" s="654">
        <f t="shared" si="145"/>
        <v>607.28351990725662</v>
      </c>
      <c r="AA458" s="654">
        <f t="shared" si="145"/>
        <v>586.8912680231939</v>
      </c>
      <c r="AB458" s="654">
        <f t="shared" si="145"/>
        <v>580.11782979441966</v>
      </c>
      <c r="AC458" s="654">
        <f t="shared" si="145"/>
        <v>572.82109820523419</v>
      </c>
      <c r="AD458" s="654">
        <f t="shared" si="145"/>
        <v>558.5990963409497</v>
      </c>
      <c r="AE458" s="654">
        <f t="shared" si="145"/>
        <v>551.83925115687998</v>
      </c>
      <c r="AF458" s="654">
        <f t="shared" si="145"/>
        <v>538.66499504165154</v>
      </c>
      <c r="AG458" s="654">
        <f t="shared" si="145"/>
        <v>570.66304349123413</v>
      </c>
      <c r="AH458" s="654">
        <f t="shared" si="145"/>
        <v>520.56148105841487</v>
      </c>
      <c r="AI458" s="654">
        <f t="shared" si="145"/>
        <v>534.52978068295886</v>
      </c>
      <c r="AJ458" s="654">
        <f t="shared" si="145"/>
        <v>499.26086039077086</v>
      </c>
    </row>
    <row r="459" spans="1:38" ht="17" x14ac:dyDescent="0.45">
      <c r="A459" s="108" t="s">
        <v>1578</v>
      </c>
      <c r="B459" s="659" t="s">
        <v>1477</v>
      </c>
      <c r="C459" s="1230">
        <f>C458/1000000</f>
        <v>1.8676010378235314E-3</v>
      </c>
      <c r="D459" s="1230">
        <f t="shared" ref="D459:AJ459" si="146">D458/1000000</f>
        <v>1.8400159310172732E-3</v>
      </c>
      <c r="E459" s="1230">
        <f t="shared" si="146"/>
        <v>1.8137097983717165E-3</v>
      </c>
      <c r="F459" s="1230">
        <f t="shared" si="146"/>
        <v>1.7209472985651184E-3</v>
      </c>
      <c r="G459" s="1230">
        <f t="shared" si="146"/>
        <v>1.6505826302836474E-3</v>
      </c>
      <c r="H459" s="1230">
        <f t="shared" si="146"/>
        <v>1.6021840389409364E-3</v>
      </c>
      <c r="I459" s="1230">
        <f t="shared" si="146"/>
        <v>1.5212567209425282E-3</v>
      </c>
      <c r="J459" s="1230">
        <f t="shared" si="146"/>
        <v>1.4560314262962476E-3</v>
      </c>
      <c r="K459" s="1230">
        <f t="shared" si="146"/>
        <v>1.3910997944042497E-3</v>
      </c>
      <c r="L459" s="1230">
        <f t="shared" si="146"/>
        <v>1.319879155375199E-3</v>
      </c>
      <c r="M459" s="1230">
        <f t="shared" si="146"/>
        <v>1.2766728129629868E-3</v>
      </c>
      <c r="N459" s="1230">
        <f t="shared" si="146"/>
        <v>1.1892739955910792E-3</v>
      </c>
      <c r="O459" s="1230">
        <f t="shared" si="146"/>
        <v>1.1326020624063135E-3</v>
      </c>
      <c r="P459" s="1230">
        <f t="shared" si="146"/>
        <v>1.0750734051896782E-3</v>
      </c>
      <c r="Q459" s="1230">
        <f t="shared" si="146"/>
        <v>1.062632082561959E-3</v>
      </c>
      <c r="R459" s="1230">
        <f t="shared" si="146"/>
        <v>9.5518619565288583E-4</v>
      </c>
      <c r="S459" s="1230">
        <f t="shared" si="146"/>
        <v>9.0376191993875462E-4</v>
      </c>
      <c r="T459" s="1230">
        <f t="shared" si="146"/>
        <v>8.4714120943327653E-4</v>
      </c>
      <c r="U459" s="1230">
        <f t="shared" si="146"/>
        <v>7.9659586165784912E-4</v>
      </c>
      <c r="V459" s="1230">
        <f t="shared" si="146"/>
        <v>7.4187221959302505E-4</v>
      </c>
      <c r="W459" s="1230">
        <f t="shared" si="146"/>
        <v>6.8940109518401418E-4</v>
      </c>
      <c r="X459" s="1230">
        <f t="shared" si="146"/>
        <v>6.2617803415960062E-4</v>
      </c>
      <c r="Y459" s="1230">
        <f t="shared" si="146"/>
        <v>6.1653656645302792E-4</v>
      </c>
      <c r="Z459" s="1230">
        <f t="shared" si="146"/>
        <v>6.0728351990725659E-4</v>
      </c>
      <c r="AA459" s="1230">
        <f t="shared" si="146"/>
        <v>5.8689126802319389E-4</v>
      </c>
      <c r="AB459" s="1230">
        <f t="shared" si="146"/>
        <v>5.801178297944197E-4</v>
      </c>
      <c r="AC459" s="1230">
        <f t="shared" si="146"/>
        <v>5.7282109820523414E-4</v>
      </c>
      <c r="AD459" s="1230">
        <f t="shared" si="146"/>
        <v>5.5859909634094966E-4</v>
      </c>
      <c r="AE459" s="1230">
        <f t="shared" si="146"/>
        <v>5.5183925115687995E-4</v>
      </c>
      <c r="AF459" s="1230">
        <f t="shared" si="146"/>
        <v>5.3866499504165151E-4</v>
      </c>
      <c r="AG459" s="1230">
        <f t="shared" si="146"/>
        <v>5.7066304349123417E-4</v>
      </c>
      <c r="AH459" s="1230">
        <f t="shared" si="146"/>
        <v>5.205614810584149E-4</v>
      </c>
      <c r="AI459" s="1230">
        <f t="shared" si="146"/>
        <v>5.3452978068295888E-4</v>
      </c>
      <c r="AJ459" s="1230">
        <f t="shared" si="146"/>
        <v>4.9926086039077085E-4</v>
      </c>
    </row>
    <row r="460" spans="1:38" x14ac:dyDescent="0.4">
      <c r="A460" s="581" t="s">
        <v>1063</v>
      </c>
      <c r="B460" s="581"/>
      <c r="C460" s="89"/>
      <c r="D460" s="89"/>
      <c r="E460" s="89"/>
      <c r="F460" s="89"/>
      <c r="G460" s="89"/>
      <c r="H460" s="89"/>
      <c r="I460" s="89"/>
      <c r="J460" s="89"/>
      <c r="K460" s="89"/>
      <c r="L460" s="89"/>
      <c r="M460" s="89"/>
      <c r="N460" s="89"/>
      <c r="O460" s="89"/>
      <c r="P460" s="89"/>
      <c r="Q460" s="89"/>
      <c r="R460" s="89"/>
      <c r="S460" s="89"/>
      <c r="T460" s="89"/>
      <c r="U460" s="89"/>
      <c r="V460" s="89"/>
      <c r="W460" s="89"/>
      <c r="X460" s="89"/>
      <c r="Y460" s="89"/>
      <c r="Z460" s="89"/>
      <c r="AA460" s="89"/>
      <c r="AB460" s="89"/>
      <c r="AC460" s="89"/>
      <c r="AD460" s="89"/>
      <c r="AE460" s="89"/>
      <c r="AF460" s="89"/>
      <c r="AG460" s="89"/>
      <c r="AH460" s="89"/>
      <c r="AI460" s="89"/>
      <c r="AJ460" s="89"/>
    </row>
    <row r="463" spans="1:38" ht="21" x14ac:dyDescent="0.5">
      <c r="A463" s="52" t="s">
        <v>1410</v>
      </c>
      <c r="B463" s="52"/>
    </row>
    <row r="464" spans="1:38" x14ac:dyDescent="0.4">
      <c r="A464" s="512" t="s">
        <v>788</v>
      </c>
    </row>
    <row r="465" spans="1:38" s="28" customFormat="1" x14ac:dyDescent="0.4">
      <c r="A465" s="108" t="s">
        <v>536</v>
      </c>
      <c r="B465" s="1199" t="s">
        <v>136</v>
      </c>
      <c r="C465" s="1200" t="s">
        <v>391</v>
      </c>
      <c r="D465" s="1200" t="s">
        <v>392</v>
      </c>
      <c r="E465" s="1200" t="s">
        <v>393</v>
      </c>
      <c r="F465" s="1200" t="s">
        <v>394</v>
      </c>
      <c r="G465" s="1200" t="s">
        <v>395</v>
      </c>
      <c r="H465" s="1200" t="s">
        <v>396</v>
      </c>
      <c r="I465" s="1200" t="s">
        <v>397</v>
      </c>
      <c r="J465" s="1200" t="s">
        <v>398</v>
      </c>
      <c r="K465" s="1200" t="s">
        <v>399</v>
      </c>
      <c r="L465" s="1200" t="s">
        <v>400</v>
      </c>
      <c r="M465" s="1200" t="s">
        <v>401</v>
      </c>
      <c r="N465" s="1200" t="s">
        <v>402</v>
      </c>
      <c r="O465" s="1200" t="s">
        <v>403</v>
      </c>
      <c r="P465" s="1200" t="s">
        <v>404</v>
      </c>
      <c r="Q465" s="1200" t="s">
        <v>405</v>
      </c>
      <c r="R465" s="1200" t="s">
        <v>406</v>
      </c>
      <c r="S465" s="1200" t="s">
        <v>407</v>
      </c>
      <c r="T465" s="1200" t="s">
        <v>408</v>
      </c>
      <c r="U465" s="1200" t="s">
        <v>409</v>
      </c>
      <c r="V465" s="1200" t="s">
        <v>410</v>
      </c>
      <c r="W465" s="1200" t="s">
        <v>411</v>
      </c>
      <c r="X465" s="1200" t="s">
        <v>412</v>
      </c>
      <c r="Y465" s="1200" t="s">
        <v>413</v>
      </c>
      <c r="Z465" s="1200" t="s">
        <v>414</v>
      </c>
      <c r="AA465" s="1200" t="s">
        <v>415</v>
      </c>
      <c r="AB465" s="1200" t="s">
        <v>416</v>
      </c>
      <c r="AC465" s="1200" t="s">
        <v>417</v>
      </c>
      <c r="AD465" s="1200" t="s">
        <v>418</v>
      </c>
      <c r="AE465" s="1200" t="s">
        <v>419</v>
      </c>
      <c r="AF465" s="1200" t="s">
        <v>420</v>
      </c>
      <c r="AG465" s="1201" t="s">
        <v>421</v>
      </c>
      <c r="AH465" s="1200" t="s">
        <v>422</v>
      </c>
      <c r="AI465" s="1200" t="s">
        <v>423</v>
      </c>
      <c r="AJ465" s="1200" t="s">
        <v>424</v>
      </c>
      <c r="AK465" s="3"/>
      <c r="AL465" s="3"/>
    </row>
    <row r="466" spans="1:38" x14ac:dyDescent="0.4">
      <c r="A466" s="1205" t="s">
        <v>782</v>
      </c>
      <c r="B466" s="610" t="s">
        <v>1300</v>
      </c>
      <c r="C466" s="657" t="s">
        <v>32</v>
      </c>
      <c r="D466" s="657" t="s">
        <v>32</v>
      </c>
      <c r="E466" s="657" t="s">
        <v>32</v>
      </c>
      <c r="F466" s="657" t="s">
        <v>32</v>
      </c>
      <c r="G466" s="657" t="s">
        <v>32</v>
      </c>
      <c r="H466" s="657" t="s">
        <v>32</v>
      </c>
      <c r="I466" s="657" t="s">
        <v>32</v>
      </c>
      <c r="J466" s="657" t="s">
        <v>32</v>
      </c>
      <c r="K466" s="657" t="s">
        <v>32</v>
      </c>
      <c r="L466" s="657" t="s">
        <v>32</v>
      </c>
      <c r="M466" s="657" t="s">
        <v>32</v>
      </c>
      <c r="N466" s="657" t="s">
        <v>32</v>
      </c>
      <c r="O466" s="657" t="s">
        <v>32</v>
      </c>
      <c r="P466" s="657" t="s">
        <v>32</v>
      </c>
      <c r="Q466" s="657" t="s">
        <v>32</v>
      </c>
      <c r="R466" s="657" t="s">
        <v>32</v>
      </c>
      <c r="S466" s="657" t="s">
        <v>32</v>
      </c>
      <c r="T466" s="657" t="s">
        <v>32</v>
      </c>
      <c r="U466" s="657" t="s">
        <v>32</v>
      </c>
      <c r="V466" s="657" t="s">
        <v>32</v>
      </c>
      <c r="W466" s="657" t="s">
        <v>32</v>
      </c>
      <c r="X466" s="657" t="s">
        <v>32</v>
      </c>
      <c r="Y466" s="657" t="s">
        <v>32</v>
      </c>
      <c r="Z466" s="657" t="s">
        <v>32</v>
      </c>
      <c r="AA466" s="657" t="s">
        <v>32</v>
      </c>
      <c r="AB466" s="657" t="s">
        <v>32</v>
      </c>
      <c r="AC466" s="657" t="s">
        <v>32</v>
      </c>
      <c r="AD466" s="529">
        <v>1885300</v>
      </c>
      <c r="AE466" s="530">
        <f>AVERAGE(AD466,AF466)</f>
        <v>1933050</v>
      </c>
      <c r="AF466" s="529">
        <v>1980800</v>
      </c>
      <c r="AG466" s="530">
        <f>AVERAGE(AF466,AH466)</f>
        <v>1987450</v>
      </c>
      <c r="AH466" s="529">
        <v>1994100</v>
      </c>
      <c r="AI466" s="530">
        <f>AVERAGE(AH466,AJ466)</f>
        <v>1981700</v>
      </c>
      <c r="AJ466" s="1080">
        <v>1969300</v>
      </c>
    </row>
    <row r="467" spans="1:38" x14ac:dyDescent="0.4">
      <c r="A467" s="1203" t="s">
        <v>780</v>
      </c>
      <c r="B467" s="1302" t="s">
        <v>1011</v>
      </c>
      <c r="C467" s="3">
        <v>60894</v>
      </c>
      <c r="D467" s="3">
        <v>60774</v>
      </c>
      <c r="E467" s="3">
        <v>75486</v>
      </c>
      <c r="F467" s="3">
        <v>77781</v>
      </c>
      <c r="G467" s="3">
        <v>100149</v>
      </c>
      <c r="H467" s="3">
        <v>128212</v>
      </c>
      <c r="I467" s="3">
        <v>102639</v>
      </c>
      <c r="J467" s="3">
        <v>117259</v>
      </c>
      <c r="K467" s="3">
        <v>101682</v>
      </c>
      <c r="L467" s="3">
        <v>93126</v>
      </c>
      <c r="M467" s="3">
        <v>88089</v>
      </c>
      <c r="N467" s="3">
        <v>96294</v>
      </c>
      <c r="O467" s="3">
        <v>128852</v>
      </c>
      <c r="P467" s="3">
        <v>169252</v>
      </c>
      <c r="Q467" s="3">
        <v>157400</v>
      </c>
      <c r="R467" s="3">
        <v>152429</v>
      </c>
      <c r="S467" s="3">
        <v>168970</v>
      </c>
      <c r="T467" s="3">
        <v>183231</v>
      </c>
      <c r="U467" s="3">
        <v>154984</v>
      </c>
      <c r="V467" s="3">
        <v>150161</v>
      </c>
      <c r="W467" s="3">
        <v>185842</v>
      </c>
      <c r="X467" s="3">
        <v>185903</v>
      </c>
      <c r="Y467" s="3">
        <v>179598</v>
      </c>
      <c r="Z467" s="3">
        <v>154217</v>
      </c>
      <c r="AA467" s="3">
        <v>134858</v>
      </c>
      <c r="AB467" s="3">
        <v>156795</v>
      </c>
      <c r="AC467" s="3">
        <v>156433</v>
      </c>
      <c r="AD467" s="3">
        <v>162964</v>
      </c>
      <c r="AE467" s="3">
        <v>133711</v>
      </c>
      <c r="AF467" s="3">
        <v>112746</v>
      </c>
      <c r="AG467" s="3">
        <v>104718</v>
      </c>
      <c r="AH467" s="3">
        <v>111512</v>
      </c>
      <c r="AI467" s="3">
        <v>115431</v>
      </c>
      <c r="AJ467" s="3">
        <v>108006</v>
      </c>
    </row>
    <row r="468" spans="1:38" x14ac:dyDescent="0.4">
      <c r="A468" s="1204" t="s">
        <v>535</v>
      </c>
      <c r="B468" s="1302" t="s">
        <v>1011</v>
      </c>
      <c r="C468" s="3">
        <v>44326</v>
      </c>
      <c r="D468" s="3">
        <v>54750</v>
      </c>
      <c r="E468" s="3">
        <v>70872</v>
      </c>
      <c r="F468" s="3">
        <v>71087</v>
      </c>
      <c r="G468" s="3">
        <v>65451</v>
      </c>
      <c r="H468" s="3">
        <v>63526</v>
      </c>
      <c r="I468" s="3">
        <v>61822</v>
      </c>
      <c r="J468" s="3">
        <v>64821</v>
      </c>
      <c r="K468" s="3">
        <v>63033</v>
      </c>
      <c r="L468" s="3">
        <v>78074</v>
      </c>
      <c r="M468" s="3">
        <v>74864</v>
      </c>
      <c r="N468" s="3">
        <v>81184</v>
      </c>
      <c r="O468" s="3">
        <v>85951</v>
      </c>
      <c r="P468" s="3">
        <v>44128</v>
      </c>
      <c r="Q468" s="3">
        <v>43546</v>
      </c>
      <c r="R468" s="3">
        <v>47774</v>
      </c>
      <c r="S468" s="3">
        <v>43316</v>
      </c>
      <c r="T468" s="3">
        <v>46334</v>
      </c>
      <c r="U468" s="3">
        <v>44700</v>
      </c>
      <c r="V468" s="3">
        <v>39400</v>
      </c>
      <c r="W468" s="3">
        <v>44239</v>
      </c>
      <c r="X468" s="3">
        <v>47590</v>
      </c>
      <c r="Y468" s="3">
        <v>43928</v>
      </c>
      <c r="Z468" s="3">
        <v>46677</v>
      </c>
      <c r="AA468" s="3">
        <v>45581</v>
      </c>
      <c r="AB468" s="3">
        <v>44554</v>
      </c>
      <c r="AC468" s="3">
        <v>45721</v>
      </c>
      <c r="AD468" s="3">
        <v>47004</v>
      </c>
      <c r="AE468" s="3">
        <v>47524</v>
      </c>
      <c r="AF468" s="3">
        <v>48770</v>
      </c>
      <c r="AG468" s="3">
        <v>45758</v>
      </c>
      <c r="AH468" s="3">
        <v>47538</v>
      </c>
      <c r="AI468" s="9">
        <v>47687</v>
      </c>
      <c r="AJ468" s="9">
        <v>43090</v>
      </c>
    </row>
    <row r="469" spans="1:38" x14ac:dyDescent="0.4">
      <c r="A469" s="1203" t="s">
        <v>775</v>
      </c>
      <c r="B469" s="264" t="s">
        <v>515</v>
      </c>
      <c r="C469" s="8">
        <f>SUM(C467:C468)/1000</f>
        <v>105.22</v>
      </c>
      <c r="D469" s="8">
        <f t="shared" ref="D469:AJ469" si="147">SUM(D467:D468)/1000</f>
        <v>115.524</v>
      </c>
      <c r="E469" s="8">
        <f t="shared" si="147"/>
        <v>146.358</v>
      </c>
      <c r="F469" s="8">
        <f t="shared" si="147"/>
        <v>148.86799999999999</v>
      </c>
      <c r="G469" s="8">
        <f t="shared" si="147"/>
        <v>165.6</v>
      </c>
      <c r="H469" s="8">
        <f t="shared" si="147"/>
        <v>191.738</v>
      </c>
      <c r="I469" s="8">
        <f t="shared" si="147"/>
        <v>164.46100000000001</v>
      </c>
      <c r="J469" s="8">
        <f t="shared" si="147"/>
        <v>182.08</v>
      </c>
      <c r="K469" s="8">
        <f t="shared" si="147"/>
        <v>164.715</v>
      </c>
      <c r="L469" s="8">
        <f t="shared" si="147"/>
        <v>171.2</v>
      </c>
      <c r="M469" s="8">
        <f t="shared" si="147"/>
        <v>162.953</v>
      </c>
      <c r="N469" s="8">
        <f t="shared" si="147"/>
        <v>177.47800000000001</v>
      </c>
      <c r="O469" s="8">
        <f t="shared" si="147"/>
        <v>214.803</v>
      </c>
      <c r="P469" s="8">
        <f t="shared" si="147"/>
        <v>213.38</v>
      </c>
      <c r="Q469" s="8">
        <f t="shared" si="147"/>
        <v>200.946</v>
      </c>
      <c r="R469" s="8">
        <f t="shared" si="147"/>
        <v>200.203</v>
      </c>
      <c r="S469" s="8">
        <f t="shared" si="147"/>
        <v>212.286</v>
      </c>
      <c r="T469" s="8">
        <f t="shared" si="147"/>
        <v>229.565</v>
      </c>
      <c r="U469" s="8">
        <f t="shared" si="147"/>
        <v>199.684</v>
      </c>
      <c r="V469" s="8">
        <f t="shared" si="147"/>
        <v>189.56100000000001</v>
      </c>
      <c r="W469" s="8">
        <f t="shared" si="147"/>
        <v>230.08099999999999</v>
      </c>
      <c r="X469" s="8">
        <f t="shared" si="147"/>
        <v>233.49299999999999</v>
      </c>
      <c r="Y469" s="8">
        <f t="shared" si="147"/>
        <v>223.52600000000001</v>
      </c>
      <c r="Z469" s="8">
        <f t="shared" si="147"/>
        <v>200.89400000000001</v>
      </c>
      <c r="AA469" s="8">
        <f t="shared" si="147"/>
        <v>180.43899999999999</v>
      </c>
      <c r="AB469" s="8">
        <f t="shared" si="147"/>
        <v>201.34899999999999</v>
      </c>
      <c r="AC469" s="8">
        <f t="shared" si="147"/>
        <v>202.154</v>
      </c>
      <c r="AD469" s="8">
        <f t="shared" si="147"/>
        <v>209.96799999999999</v>
      </c>
      <c r="AE469" s="8">
        <f t="shared" si="147"/>
        <v>181.23500000000001</v>
      </c>
      <c r="AF469" s="8">
        <f t="shared" si="147"/>
        <v>161.51599999999999</v>
      </c>
      <c r="AG469" s="8">
        <f t="shared" si="147"/>
        <v>150.476</v>
      </c>
      <c r="AH469" s="8">
        <f t="shared" si="147"/>
        <v>159.05000000000001</v>
      </c>
      <c r="AI469" s="8">
        <f t="shared" si="147"/>
        <v>163.11799999999999</v>
      </c>
      <c r="AJ469" s="8">
        <f t="shared" si="147"/>
        <v>151.096</v>
      </c>
    </row>
    <row r="470" spans="1:38" x14ac:dyDescent="0.4">
      <c r="A470" s="1204" t="s">
        <v>781</v>
      </c>
      <c r="B470" s="264" t="s">
        <v>1301</v>
      </c>
      <c r="C470" s="8">
        <v>0</v>
      </c>
      <c r="D470" s="657" t="s">
        <v>32</v>
      </c>
      <c r="E470" s="657" t="s">
        <v>32</v>
      </c>
      <c r="F470" s="657" t="s">
        <v>32</v>
      </c>
      <c r="G470" s="657" t="s">
        <v>32</v>
      </c>
      <c r="H470" s="657" t="s">
        <v>32</v>
      </c>
      <c r="I470" s="657" t="s">
        <v>32</v>
      </c>
      <c r="J470" s="657" t="s">
        <v>32</v>
      </c>
      <c r="K470" s="657" t="s">
        <v>32</v>
      </c>
      <c r="L470" s="657" t="s">
        <v>32</v>
      </c>
      <c r="M470" s="657" t="s">
        <v>32</v>
      </c>
      <c r="N470" s="657" t="s">
        <v>32</v>
      </c>
      <c r="O470" s="657" t="s">
        <v>32</v>
      </c>
      <c r="P470" s="657" t="s">
        <v>32</v>
      </c>
      <c r="Q470" s="657" t="s">
        <v>32</v>
      </c>
      <c r="R470" s="657" t="s">
        <v>32</v>
      </c>
      <c r="S470" s="657" t="s">
        <v>32</v>
      </c>
      <c r="T470" s="657" t="s">
        <v>32</v>
      </c>
      <c r="U470" s="657" t="s">
        <v>32</v>
      </c>
      <c r="V470" s="657" t="s">
        <v>32</v>
      </c>
      <c r="W470" s="657" t="s">
        <v>32</v>
      </c>
      <c r="X470" s="657" t="s">
        <v>32</v>
      </c>
      <c r="Y470" s="657" t="s">
        <v>32</v>
      </c>
      <c r="Z470" s="657" t="s">
        <v>32</v>
      </c>
      <c r="AA470" s="657" t="s">
        <v>32</v>
      </c>
      <c r="AB470" s="657" t="s">
        <v>32</v>
      </c>
      <c r="AC470" s="657" t="s">
        <v>32</v>
      </c>
      <c r="AD470" s="657" t="s">
        <v>32</v>
      </c>
      <c r="AE470" s="8">
        <v>868</v>
      </c>
      <c r="AF470" s="8">
        <v>894</v>
      </c>
      <c r="AG470" s="8">
        <v>843</v>
      </c>
      <c r="AH470" s="8">
        <v>771</v>
      </c>
      <c r="AI470" s="8">
        <v>779</v>
      </c>
      <c r="AJ470" s="8">
        <v>811</v>
      </c>
    </row>
    <row r="471" spans="1:38" x14ac:dyDescent="0.4">
      <c r="A471" s="1081" t="s">
        <v>1063</v>
      </c>
      <c r="B471" s="1082"/>
      <c r="C471" s="1083"/>
      <c r="D471" s="1105"/>
      <c r="E471" s="1105"/>
      <c r="F471" s="1105"/>
      <c r="G471" s="1105"/>
      <c r="H471" s="1105"/>
      <c r="I471" s="1105"/>
      <c r="J471" s="1105"/>
      <c r="K471" s="1105"/>
      <c r="L471" s="1105"/>
      <c r="M471" s="1105"/>
      <c r="N471" s="1105"/>
      <c r="O471" s="1105"/>
      <c r="P471" s="1105"/>
      <c r="Q471" s="1105"/>
      <c r="R471" s="1105"/>
      <c r="S471" s="1105"/>
      <c r="T471" s="1105"/>
      <c r="U471" s="1105"/>
      <c r="V471" s="1105"/>
      <c r="W471" s="1105"/>
      <c r="X471" s="1105"/>
      <c r="Y471" s="1105"/>
      <c r="Z471" s="1105"/>
      <c r="AA471" s="1105"/>
      <c r="AB471" s="1105"/>
      <c r="AC471" s="1105"/>
      <c r="AD471" s="1105"/>
      <c r="AE471" s="1083"/>
      <c r="AF471" s="1083"/>
      <c r="AG471" s="1083"/>
      <c r="AH471" s="1083"/>
      <c r="AI471" s="1083"/>
      <c r="AJ471" s="1083"/>
    </row>
    <row r="472" spans="1:38" x14ac:dyDescent="0.4">
      <c r="A472" s="1348"/>
      <c r="B472" s="264"/>
      <c r="C472" s="8"/>
      <c r="D472" s="137"/>
      <c r="E472" s="137"/>
      <c r="F472" s="137"/>
      <c r="G472" s="137"/>
      <c r="H472" s="137"/>
      <c r="I472" s="137"/>
      <c r="J472" s="137"/>
      <c r="K472" s="137"/>
      <c r="L472" s="137"/>
      <c r="M472" s="137"/>
      <c r="N472" s="137"/>
      <c r="O472" s="137"/>
      <c r="P472" s="137"/>
      <c r="Q472" s="137"/>
      <c r="R472" s="137"/>
      <c r="S472" s="137"/>
      <c r="T472" s="137"/>
      <c r="U472" s="137"/>
      <c r="V472" s="137"/>
      <c r="W472" s="137"/>
      <c r="X472" s="137"/>
      <c r="Y472" s="137"/>
      <c r="Z472" s="137"/>
      <c r="AA472" s="137"/>
      <c r="AB472" s="137"/>
      <c r="AC472" s="137"/>
      <c r="AD472" s="137"/>
      <c r="AE472" s="8"/>
      <c r="AF472" s="8"/>
      <c r="AG472" s="8"/>
      <c r="AH472" s="8"/>
      <c r="AI472" s="8"/>
      <c r="AJ472" s="8"/>
    </row>
    <row r="473" spans="1:38" x14ac:dyDescent="0.4">
      <c r="A473" s="1408" t="s">
        <v>1304</v>
      </c>
      <c r="B473" s="264"/>
      <c r="C473" s="8"/>
      <c r="D473" s="531"/>
      <c r="E473" s="531"/>
      <c r="F473" s="531"/>
      <c r="G473" s="531"/>
      <c r="H473" s="531"/>
      <c r="I473" s="531"/>
      <c r="J473" s="531"/>
      <c r="K473" s="531"/>
      <c r="L473" s="531"/>
      <c r="M473" s="531"/>
      <c r="N473" s="531"/>
      <c r="O473" s="531"/>
      <c r="P473" s="531"/>
      <c r="Q473" s="531"/>
      <c r="R473" s="531"/>
      <c r="S473" s="531"/>
      <c r="T473" s="531"/>
      <c r="U473" s="531"/>
      <c r="V473" s="531"/>
      <c r="W473" s="531"/>
      <c r="X473" s="531"/>
      <c r="Y473" s="531"/>
      <c r="Z473" s="531"/>
      <c r="AA473" s="531"/>
      <c r="AB473" s="531"/>
      <c r="AC473" s="531"/>
      <c r="AD473" s="531"/>
      <c r="AE473" s="8"/>
      <c r="AF473" s="8"/>
      <c r="AG473" s="8"/>
      <c r="AH473" s="8"/>
      <c r="AI473" s="8"/>
      <c r="AJ473" s="8"/>
    </row>
    <row r="474" spans="1:38" x14ac:dyDescent="0.4">
      <c r="A474" s="54" t="s">
        <v>779</v>
      </c>
      <c r="B474" s="264"/>
      <c r="C474" s="8"/>
      <c r="D474" s="90"/>
      <c r="E474" s="531"/>
      <c r="F474" s="531"/>
      <c r="G474" s="531"/>
      <c r="H474" s="531"/>
      <c r="I474" s="531"/>
      <c r="J474" s="531"/>
      <c r="K474" s="531"/>
      <c r="L474" s="531"/>
      <c r="M474" s="531"/>
      <c r="N474" s="531"/>
      <c r="O474" s="531"/>
      <c r="P474" s="531"/>
      <c r="Q474" s="531"/>
      <c r="R474" s="531"/>
      <c r="S474" s="531"/>
      <c r="T474" s="531"/>
      <c r="U474" s="531"/>
      <c r="V474" s="531"/>
      <c r="W474" s="531"/>
      <c r="X474" s="531"/>
      <c r="Y474" s="531"/>
      <c r="Z474" s="531"/>
      <c r="AA474" s="531"/>
      <c r="AB474" s="531"/>
      <c r="AC474" s="531"/>
      <c r="AD474" s="531"/>
      <c r="AE474" s="8"/>
      <c r="AF474" s="8"/>
      <c r="AG474" s="8"/>
      <c r="AH474" s="8"/>
      <c r="AI474" s="8"/>
      <c r="AJ474" s="8"/>
    </row>
    <row r="475" spans="1:38" x14ac:dyDescent="0.4">
      <c r="A475" s="54" t="s">
        <v>889</v>
      </c>
      <c r="B475" s="264"/>
      <c r="C475" s="8"/>
      <c r="D475" s="88"/>
      <c r="E475" s="531"/>
      <c r="F475" s="531"/>
      <c r="G475" s="531"/>
      <c r="H475" s="531"/>
      <c r="I475" s="531"/>
      <c r="J475" s="531"/>
      <c r="K475" s="531"/>
      <c r="L475" s="531"/>
      <c r="M475" s="531"/>
      <c r="N475" s="531"/>
      <c r="O475" s="531"/>
      <c r="P475" s="531"/>
      <c r="Q475" s="531"/>
      <c r="R475" s="531"/>
      <c r="S475" s="531"/>
      <c r="T475" s="531"/>
      <c r="U475" s="531"/>
      <c r="V475" s="531"/>
      <c r="W475" s="531"/>
      <c r="X475" s="531"/>
      <c r="Y475" s="531"/>
      <c r="Z475" s="531"/>
      <c r="AA475" s="531"/>
      <c r="AB475" s="531"/>
      <c r="AC475" s="531"/>
      <c r="AD475" s="531"/>
      <c r="AE475" s="8"/>
      <c r="AF475" s="8"/>
      <c r="AG475" s="8"/>
      <c r="AH475" s="8"/>
      <c r="AI475" s="8"/>
      <c r="AJ475" s="8"/>
    </row>
    <row r="476" spans="1:38" x14ac:dyDescent="0.4">
      <c r="B476" s="196"/>
      <c r="C476" s="28"/>
      <c r="D476" s="196"/>
      <c r="E476" s="196"/>
      <c r="F476" s="196"/>
      <c r="G476" s="386"/>
      <c r="H476" s="8"/>
      <c r="I476" s="8"/>
      <c r="J476" s="8"/>
      <c r="K476" s="8"/>
      <c r="L476" s="8"/>
      <c r="M476" s="8"/>
      <c r="N476" s="8"/>
      <c r="O476" s="8"/>
      <c r="P476" s="8"/>
      <c r="Q476" s="8"/>
      <c r="R476" s="8"/>
      <c r="S476" s="8"/>
      <c r="T476" s="8"/>
      <c r="U476" s="8"/>
      <c r="V476" s="8"/>
      <c r="W476" s="8"/>
      <c r="X476" s="8"/>
      <c r="Y476" s="8"/>
      <c r="Z476" s="8"/>
      <c r="AA476" s="41"/>
      <c r="AB476" s="8"/>
      <c r="AC476" s="28"/>
    </row>
    <row r="477" spans="1:38" ht="17" x14ac:dyDescent="0.45">
      <c r="A477" s="90" t="s">
        <v>1470</v>
      </c>
      <c r="B477" s="1208" t="s">
        <v>1471</v>
      </c>
      <c r="C477" s="1208"/>
      <c r="D477" s="1208"/>
      <c r="E477" s="1208"/>
      <c r="F477" s="1208"/>
      <c r="G477" s="1208"/>
      <c r="H477" s="1209"/>
      <c r="I477" s="1209"/>
      <c r="J477" s="1209"/>
      <c r="K477" s="8"/>
      <c r="L477" s="8"/>
      <c r="M477" s="8"/>
      <c r="N477" s="8"/>
      <c r="O477" s="8"/>
      <c r="P477" s="8"/>
      <c r="Q477" s="8"/>
      <c r="R477" s="8"/>
      <c r="S477" s="8"/>
      <c r="T477" s="8"/>
      <c r="U477" s="8"/>
      <c r="V477" s="8"/>
      <c r="W477" s="8"/>
      <c r="X477" s="8"/>
      <c r="Y477" s="8"/>
      <c r="Z477" s="8"/>
      <c r="AA477" s="41"/>
      <c r="AB477" s="8"/>
      <c r="AC477" s="28"/>
    </row>
    <row r="478" spans="1:38" s="28" customFormat="1" x14ac:dyDescent="0.4">
      <c r="A478" s="108" t="s">
        <v>536</v>
      </c>
      <c r="B478" s="1198" t="s">
        <v>136</v>
      </c>
      <c r="C478" s="1125" t="s">
        <v>391</v>
      </c>
      <c r="D478" s="1125" t="s">
        <v>392</v>
      </c>
      <c r="E478" s="1125" t="s">
        <v>393</v>
      </c>
      <c r="F478" s="1125" t="s">
        <v>394</v>
      </c>
      <c r="G478" s="1125" t="s">
        <v>395</v>
      </c>
      <c r="H478" s="1125" t="s">
        <v>396</v>
      </c>
      <c r="I478" s="1125" t="s">
        <v>397</v>
      </c>
      <c r="J478" s="1125" t="s">
        <v>398</v>
      </c>
      <c r="K478" s="1125" t="s">
        <v>399</v>
      </c>
      <c r="L478" s="1125" t="s">
        <v>400</v>
      </c>
      <c r="M478" s="1125" t="s">
        <v>401</v>
      </c>
      <c r="N478" s="1125" t="s">
        <v>402</v>
      </c>
      <c r="O478" s="1125" t="s">
        <v>403</v>
      </c>
      <c r="P478" s="1125" t="s">
        <v>404</v>
      </c>
      <c r="Q478" s="1125" t="s">
        <v>405</v>
      </c>
      <c r="R478" s="1125" t="s">
        <v>406</v>
      </c>
      <c r="S478" s="1125" t="s">
        <v>407</v>
      </c>
      <c r="T478" s="1125" t="s">
        <v>408</v>
      </c>
      <c r="U478" s="1125" t="s">
        <v>409</v>
      </c>
      <c r="V478" s="1125" t="s">
        <v>410</v>
      </c>
      <c r="W478" s="1125" t="s">
        <v>411</v>
      </c>
      <c r="X478" s="1125" t="s">
        <v>412</v>
      </c>
      <c r="Y478" s="1125" t="s">
        <v>413</v>
      </c>
      <c r="Z478" s="1125" t="s">
        <v>414</v>
      </c>
      <c r="AA478" s="1125" t="s">
        <v>415</v>
      </c>
      <c r="AB478" s="1125" t="s">
        <v>416</v>
      </c>
      <c r="AC478" s="1125" t="s">
        <v>417</v>
      </c>
      <c r="AD478" s="1125" t="s">
        <v>418</v>
      </c>
      <c r="AE478" s="1125" t="s">
        <v>419</v>
      </c>
      <c r="AF478" s="1125" t="s">
        <v>420</v>
      </c>
      <c r="AG478" s="1126" t="s">
        <v>421</v>
      </c>
      <c r="AH478" s="1125" t="s">
        <v>422</v>
      </c>
      <c r="AI478" s="1126" t="s">
        <v>423</v>
      </c>
      <c r="AJ478" s="1125" t="s">
        <v>424</v>
      </c>
      <c r="AK478" s="3"/>
      <c r="AL478" s="3"/>
    </row>
    <row r="479" spans="1:38" x14ac:dyDescent="0.4">
      <c r="A479" s="663" t="s">
        <v>59</v>
      </c>
      <c r="B479" s="547" t="s">
        <v>161</v>
      </c>
      <c r="C479" s="537">
        <v>2.2102064128051344</v>
      </c>
      <c r="D479" s="537">
        <v>2.1969258815379233</v>
      </c>
      <c r="E479" s="537">
        <v>2.1896362749423512</v>
      </c>
      <c r="F479" s="537">
        <v>2.1740378950881922</v>
      </c>
      <c r="G479" s="537">
        <v>2.1877394856987888</v>
      </c>
      <c r="H479" s="537">
        <v>2.1944700917036082</v>
      </c>
      <c r="I479" s="537">
        <v>2.1681504650448162</v>
      </c>
      <c r="J479" s="537">
        <v>2.187810635772355</v>
      </c>
      <c r="K479" s="537">
        <v>2.2267963144878475</v>
      </c>
      <c r="L479" s="537">
        <v>2.222069525484486</v>
      </c>
      <c r="M479" s="537">
        <v>2.2093497838965446</v>
      </c>
      <c r="N479" s="537">
        <v>2.2279751348269232</v>
      </c>
      <c r="O479" s="537">
        <v>2.2210550882494267</v>
      </c>
      <c r="P479" s="537">
        <v>2.2071994839620115</v>
      </c>
      <c r="Q479" s="537">
        <v>2.2255875414515534</v>
      </c>
      <c r="R479" s="537">
        <v>2.2314336550417626</v>
      </c>
      <c r="S479" s="537">
        <v>2.263131057690178</v>
      </c>
      <c r="T479" s="537">
        <v>2.243388070595643</v>
      </c>
      <c r="U479" s="537">
        <v>2.2332769768067333</v>
      </c>
      <c r="V479" s="537">
        <v>2.2416318559921846</v>
      </c>
      <c r="W479" s="537">
        <v>2.2263841781314451</v>
      </c>
      <c r="X479" s="537">
        <v>2.2141060594333433</v>
      </c>
      <c r="Y479" s="537">
        <v>2.2535484645244086</v>
      </c>
      <c r="Z479" s="537">
        <v>2.2023337402461078</v>
      </c>
      <c r="AA479" s="537">
        <v>2.2102568038982437</v>
      </c>
      <c r="AB479" s="537">
        <v>2.2577075023960584</v>
      </c>
      <c r="AC479" s="537">
        <v>2.278303686120823</v>
      </c>
      <c r="AD479" s="537">
        <v>2.2794351205829906</v>
      </c>
      <c r="AE479" s="537">
        <v>2.2473248028071411</v>
      </c>
      <c r="AF479" s="537">
        <v>2.248160164541702</v>
      </c>
      <c r="AG479" s="537">
        <v>2.2728171684416343</v>
      </c>
      <c r="AH479" s="537">
        <v>2.2770228241235717</v>
      </c>
      <c r="AI479" s="537">
        <v>2.2808268741193505</v>
      </c>
      <c r="AJ479" s="537">
        <v>2.284522439746913</v>
      </c>
    </row>
    <row r="480" spans="1:38" x14ac:dyDescent="0.4">
      <c r="A480" s="661" t="s">
        <v>156</v>
      </c>
      <c r="B480" s="546" t="s">
        <v>162</v>
      </c>
      <c r="C480" s="537">
        <v>4</v>
      </c>
      <c r="D480" s="537">
        <v>4.0000000000000009</v>
      </c>
      <c r="E480" s="537">
        <v>4.0000000000000009</v>
      </c>
      <c r="F480" s="537">
        <v>4</v>
      </c>
      <c r="G480" s="537">
        <v>4</v>
      </c>
      <c r="H480" s="537">
        <v>4</v>
      </c>
      <c r="I480" s="537">
        <v>3.9999999999999991</v>
      </c>
      <c r="J480" s="537">
        <v>4</v>
      </c>
      <c r="K480" s="537">
        <v>4.0000000000000009</v>
      </c>
      <c r="L480" s="537">
        <v>4</v>
      </c>
      <c r="M480" s="537">
        <v>4</v>
      </c>
      <c r="N480" s="537">
        <v>4</v>
      </c>
      <c r="O480" s="537">
        <v>4</v>
      </c>
      <c r="P480" s="537">
        <v>4</v>
      </c>
      <c r="Q480" s="537">
        <v>4.0000000000000009</v>
      </c>
      <c r="R480" s="537">
        <v>4</v>
      </c>
      <c r="S480" s="537">
        <v>4</v>
      </c>
      <c r="T480" s="537">
        <v>3.9999999999999991</v>
      </c>
      <c r="U480" s="537">
        <v>4</v>
      </c>
      <c r="V480" s="537">
        <v>4</v>
      </c>
      <c r="W480" s="537">
        <v>4</v>
      </c>
      <c r="X480" s="537">
        <v>4</v>
      </c>
      <c r="Y480" s="537">
        <v>4</v>
      </c>
      <c r="Z480" s="537">
        <v>4</v>
      </c>
      <c r="AA480" s="537">
        <v>4</v>
      </c>
      <c r="AB480" s="537">
        <v>4</v>
      </c>
      <c r="AC480" s="537">
        <v>4</v>
      </c>
      <c r="AD480" s="537">
        <v>3.9999999999999991</v>
      </c>
      <c r="AE480" s="537">
        <v>4</v>
      </c>
      <c r="AF480" s="537">
        <v>4</v>
      </c>
      <c r="AG480" s="537">
        <v>4</v>
      </c>
      <c r="AH480" s="537">
        <v>3.9999999999999996</v>
      </c>
      <c r="AI480" s="537">
        <v>4.0000000000000009</v>
      </c>
      <c r="AJ480" s="537">
        <v>4</v>
      </c>
    </row>
    <row r="481" spans="1:38" x14ac:dyDescent="0.4">
      <c r="A481" s="661" t="s">
        <v>163</v>
      </c>
      <c r="B481" s="546" t="s">
        <v>164</v>
      </c>
      <c r="C481" s="537">
        <v>11326.700000000003</v>
      </c>
      <c r="D481" s="537">
        <v>11326.7</v>
      </c>
      <c r="E481" s="537">
        <v>11326.7</v>
      </c>
      <c r="F481" s="537">
        <v>11326.7</v>
      </c>
      <c r="G481" s="537">
        <v>11326.7</v>
      </c>
      <c r="H481" s="537">
        <v>11326.7</v>
      </c>
      <c r="I481" s="537">
        <v>11326.7</v>
      </c>
      <c r="J481" s="537">
        <v>11326.7</v>
      </c>
      <c r="K481" s="537">
        <v>11326.7</v>
      </c>
      <c r="L481" s="537">
        <v>11326.7</v>
      </c>
      <c r="M481" s="537">
        <v>11326.7</v>
      </c>
      <c r="N481" s="537">
        <v>11326.7</v>
      </c>
      <c r="O481" s="537">
        <v>11326.7</v>
      </c>
      <c r="P481" s="537">
        <v>11326.7</v>
      </c>
      <c r="Q481" s="537">
        <v>11326.699999999999</v>
      </c>
      <c r="R481" s="537">
        <v>11326.7</v>
      </c>
      <c r="S481" s="537">
        <v>11326.7</v>
      </c>
      <c r="T481" s="537">
        <v>11326.7</v>
      </c>
      <c r="U481" s="537">
        <v>11326.7</v>
      </c>
      <c r="V481" s="537">
        <v>11326.700000000003</v>
      </c>
      <c r="W481" s="537">
        <v>11326.7</v>
      </c>
      <c r="X481" s="537">
        <v>11326.7</v>
      </c>
      <c r="Y481" s="537">
        <v>11326.7</v>
      </c>
      <c r="Z481" s="537">
        <v>11326.699999999999</v>
      </c>
      <c r="AA481" s="537">
        <v>11326.7</v>
      </c>
      <c r="AB481" s="537">
        <v>11326.7</v>
      </c>
      <c r="AC481" s="537">
        <v>11326.7</v>
      </c>
      <c r="AD481" s="537">
        <v>11326.7</v>
      </c>
      <c r="AE481" s="537">
        <v>11326.7</v>
      </c>
      <c r="AF481" s="537">
        <v>11326.700000000003</v>
      </c>
      <c r="AG481" s="537">
        <v>11326.7</v>
      </c>
      <c r="AH481" s="537">
        <v>11326.7</v>
      </c>
      <c r="AI481" s="537">
        <v>11326.7</v>
      </c>
      <c r="AJ481" s="537">
        <v>11326.7</v>
      </c>
    </row>
    <row r="482" spans="1:38" ht="15.65" customHeight="1" x14ac:dyDescent="0.4">
      <c r="A482" s="662" t="s">
        <v>165</v>
      </c>
      <c r="B482" s="564" t="s">
        <v>166</v>
      </c>
      <c r="C482" s="536">
        <v>0.3</v>
      </c>
      <c r="D482" s="536">
        <v>0.30000000000000004</v>
      </c>
      <c r="E482" s="536">
        <v>0.3</v>
      </c>
      <c r="F482" s="536">
        <v>0.3</v>
      </c>
      <c r="G482" s="536">
        <v>0.3</v>
      </c>
      <c r="H482" s="536">
        <v>0.3</v>
      </c>
      <c r="I482" s="536">
        <v>0.29999999999999993</v>
      </c>
      <c r="J482" s="536">
        <v>0.29999999999999993</v>
      </c>
      <c r="K482" s="536">
        <v>0.3</v>
      </c>
      <c r="L482" s="536">
        <v>0.30000000000000004</v>
      </c>
      <c r="M482" s="536">
        <v>0.3</v>
      </c>
      <c r="N482" s="536">
        <v>0.3</v>
      </c>
      <c r="O482" s="536">
        <v>0.3</v>
      </c>
      <c r="P482" s="536">
        <v>0.3</v>
      </c>
      <c r="Q482" s="536">
        <v>0.30000000000000004</v>
      </c>
      <c r="R482" s="536">
        <v>0.29999999999999993</v>
      </c>
      <c r="S482" s="536">
        <v>0.3</v>
      </c>
      <c r="T482" s="536">
        <v>0.30000000000000004</v>
      </c>
      <c r="U482" s="536">
        <v>0.3</v>
      </c>
      <c r="V482" s="536">
        <v>0.3</v>
      </c>
      <c r="W482" s="536">
        <v>0.3</v>
      </c>
      <c r="X482" s="536">
        <v>0.30000000000000004</v>
      </c>
      <c r="Y482" s="536">
        <v>0.3</v>
      </c>
      <c r="Z482" s="536">
        <v>0.3</v>
      </c>
      <c r="AA482" s="536">
        <v>0.3</v>
      </c>
      <c r="AB482" s="536">
        <v>0.3</v>
      </c>
      <c r="AC482" s="536">
        <v>0.3</v>
      </c>
      <c r="AD482" s="536">
        <v>0.3</v>
      </c>
      <c r="AE482" s="536">
        <v>0.3</v>
      </c>
      <c r="AF482" s="536">
        <v>0.3</v>
      </c>
      <c r="AG482" s="536">
        <v>0.30000000000000004</v>
      </c>
      <c r="AH482" s="536">
        <v>0.3</v>
      </c>
      <c r="AI482" s="536">
        <v>0.29999999999999993</v>
      </c>
      <c r="AJ482" s="536">
        <v>0.3</v>
      </c>
    </row>
    <row r="483" spans="1:38" ht="15.65" customHeight="1" x14ac:dyDescent="0.4">
      <c r="A483" s="1206" t="s">
        <v>1063</v>
      </c>
      <c r="B483" s="1191"/>
      <c r="C483" s="1191"/>
      <c r="D483" s="1191"/>
      <c r="E483" s="1191"/>
      <c r="F483" s="1191"/>
      <c r="G483" s="1191"/>
      <c r="H483" s="1191"/>
      <c r="I483" s="1191"/>
      <c r="J483" s="1191"/>
      <c r="K483" s="1191"/>
      <c r="L483" s="1191"/>
      <c r="M483" s="1191"/>
      <c r="N483" s="1191"/>
      <c r="O483" s="1191"/>
      <c r="P483" s="1191"/>
      <c r="Q483" s="1191"/>
      <c r="R483" s="1191"/>
      <c r="S483" s="1191"/>
      <c r="T483" s="1191"/>
      <c r="U483" s="1191"/>
      <c r="V483" s="1191"/>
      <c r="W483" s="1191"/>
      <c r="X483" s="1191"/>
      <c r="Y483" s="1191"/>
      <c r="Z483" s="1191"/>
      <c r="AA483" s="1191"/>
      <c r="AB483" s="1191"/>
      <c r="AC483" s="1191"/>
      <c r="AD483" s="1191"/>
      <c r="AE483" s="1191"/>
      <c r="AF483" s="1191"/>
      <c r="AG483" s="1191"/>
      <c r="AH483" s="1191"/>
      <c r="AI483" s="1191"/>
      <c r="AJ483" s="1191"/>
    </row>
    <row r="485" spans="1:38" ht="15.65" customHeight="1" x14ac:dyDescent="0.45">
      <c r="A485" s="90" t="s">
        <v>1472</v>
      </c>
      <c r="B485" s="651" t="s">
        <v>1473</v>
      </c>
      <c r="C485" s="651"/>
      <c r="D485" s="651"/>
      <c r="E485" s="651"/>
      <c r="F485" s="89"/>
      <c r="G485" s="89"/>
      <c r="H485" s="89"/>
      <c r="I485" s="89"/>
      <c r="J485" s="89"/>
      <c r="K485" s="89"/>
      <c r="L485" s="89"/>
      <c r="M485" s="89"/>
      <c r="N485" s="89"/>
      <c r="O485" s="89"/>
      <c r="P485" s="89"/>
      <c r="Q485" s="89"/>
      <c r="R485" s="89"/>
      <c r="S485" s="89"/>
      <c r="T485" s="89"/>
      <c r="U485" s="89"/>
      <c r="V485" s="89"/>
      <c r="W485" s="89"/>
      <c r="X485" s="89"/>
      <c r="Y485" s="89"/>
      <c r="Z485" s="89"/>
      <c r="AA485" s="89"/>
      <c r="AB485" s="89"/>
      <c r="AC485" s="89"/>
      <c r="AD485" s="89"/>
      <c r="AE485" s="89"/>
      <c r="AF485" s="89"/>
      <c r="AG485" s="89"/>
      <c r="AH485" s="89"/>
      <c r="AI485" s="89"/>
      <c r="AJ485" s="89"/>
    </row>
    <row r="486" spans="1:38" s="28" customFormat="1" x14ac:dyDescent="0.4">
      <c r="A486" s="108" t="s">
        <v>536</v>
      </c>
      <c r="B486" s="1198" t="s">
        <v>136</v>
      </c>
      <c r="C486" s="1125" t="s">
        <v>391</v>
      </c>
      <c r="D486" s="1125" t="s">
        <v>392</v>
      </c>
      <c r="E486" s="1125" t="s">
        <v>393</v>
      </c>
      <c r="F486" s="1125" t="s">
        <v>394</v>
      </c>
      <c r="G486" s="1125" t="s">
        <v>395</v>
      </c>
      <c r="H486" s="1125" t="s">
        <v>396</v>
      </c>
      <c r="I486" s="1125" t="s">
        <v>397</v>
      </c>
      <c r="J486" s="1125" t="s">
        <v>398</v>
      </c>
      <c r="K486" s="1125" t="s">
        <v>399</v>
      </c>
      <c r="L486" s="1125" t="s">
        <v>400</v>
      </c>
      <c r="M486" s="1125" t="s">
        <v>401</v>
      </c>
      <c r="N486" s="1125" t="s">
        <v>402</v>
      </c>
      <c r="O486" s="1125" t="s">
        <v>403</v>
      </c>
      <c r="P486" s="1125" t="s">
        <v>404</v>
      </c>
      <c r="Q486" s="1125" t="s">
        <v>405</v>
      </c>
      <c r="R486" s="1125" t="s">
        <v>406</v>
      </c>
      <c r="S486" s="1125" t="s">
        <v>407</v>
      </c>
      <c r="T486" s="1125" t="s">
        <v>408</v>
      </c>
      <c r="U486" s="1125" t="s">
        <v>409</v>
      </c>
      <c r="V486" s="1125" t="s">
        <v>410</v>
      </c>
      <c r="W486" s="1125" t="s">
        <v>411</v>
      </c>
      <c r="X486" s="1125" t="s">
        <v>412</v>
      </c>
      <c r="Y486" s="1125" t="s">
        <v>413</v>
      </c>
      <c r="Z486" s="1125" t="s">
        <v>414</v>
      </c>
      <c r="AA486" s="1125" t="s">
        <v>415</v>
      </c>
      <c r="AB486" s="1125" t="s">
        <v>416</v>
      </c>
      <c r="AC486" s="1125" t="s">
        <v>417</v>
      </c>
      <c r="AD486" s="1125" t="s">
        <v>418</v>
      </c>
      <c r="AE486" s="1125" t="s">
        <v>419</v>
      </c>
      <c r="AF486" s="1125" t="s">
        <v>420</v>
      </c>
      <c r="AG486" s="1126" t="s">
        <v>421</v>
      </c>
      <c r="AH486" s="1125" t="s">
        <v>422</v>
      </c>
      <c r="AI486" s="1126" t="s">
        <v>423</v>
      </c>
      <c r="AJ486" s="1125" t="s">
        <v>424</v>
      </c>
      <c r="AK486" s="3"/>
      <c r="AL486" s="3"/>
    </row>
    <row r="487" spans="1:38" x14ac:dyDescent="0.4">
      <c r="A487" s="663" t="s">
        <v>59</v>
      </c>
      <c r="B487" s="547" t="s">
        <v>1283</v>
      </c>
      <c r="C487" s="548">
        <f t="shared" ref="C487:AJ487" si="148">$B$541*C479</f>
        <v>2.2102064128051344E-3</v>
      </c>
      <c r="D487" s="548">
        <f t="shared" si="148"/>
        <v>2.1969258815379236E-3</v>
      </c>
      <c r="E487" s="548">
        <f t="shared" si="148"/>
        <v>2.1896362749423515E-3</v>
      </c>
      <c r="F487" s="548">
        <f t="shared" si="148"/>
        <v>2.1740378950881921E-3</v>
      </c>
      <c r="G487" s="548">
        <f t="shared" si="148"/>
        <v>2.1877394856987891E-3</v>
      </c>
      <c r="H487" s="548">
        <f t="shared" si="148"/>
        <v>2.1944700917036083E-3</v>
      </c>
      <c r="I487" s="548">
        <f t="shared" si="148"/>
        <v>2.1681504650448162E-3</v>
      </c>
      <c r="J487" s="548">
        <f t="shared" si="148"/>
        <v>2.187810635772355E-3</v>
      </c>
      <c r="K487" s="548">
        <f t="shared" si="148"/>
        <v>2.2267963144878477E-3</v>
      </c>
      <c r="L487" s="548">
        <f t="shared" si="148"/>
        <v>2.2220695254844859E-3</v>
      </c>
      <c r="M487" s="548">
        <f t="shared" si="148"/>
        <v>2.2093497838965447E-3</v>
      </c>
      <c r="N487" s="548">
        <f t="shared" si="148"/>
        <v>2.2279751348269232E-3</v>
      </c>
      <c r="O487" s="548">
        <f t="shared" si="148"/>
        <v>2.2210550882494269E-3</v>
      </c>
      <c r="P487" s="548">
        <f t="shared" si="148"/>
        <v>2.2071994839620115E-3</v>
      </c>
      <c r="Q487" s="548">
        <f t="shared" si="148"/>
        <v>2.2255875414515535E-3</v>
      </c>
      <c r="R487" s="548">
        <f t="shared" si="148"/>
        <v>2.2314336550417627E-3</v>
      </c>
      <c r="S487" s="548">
        <f t="shared" si="148"/>
        <v>2.263131057690178E-3</v>
      </c>
      <c r="T487" s="548">
        <f t="shared" si="148"/>
        <v>2.2433880705956433E-3</v>
      </c>
      <c r="U487" s="548">
        <f t="shared" si="148"/>
        <v>2.2332769768067333E-3</v>
      </c>
      <c r="V487" s="548">
        <f t="shared" si="148"/>
        <v>2.2416318559921847E-3</v>
      </c>
      <c r="W487" s="548">
        <f t="shared" si="148"/>
        <v>2.226384178131445E-3</v>
      </c>
      <c r="X487" s="548">
        <f t="shared" si="148"/>
        <v>2.2141060594333432E-3</v>
      </c>
      <c r="Y487" s="548">
        <f t="shared" si="148"/>
        <v>2.2535484645244087E-3</v>
      </c>
      <c r="Z487" s="548">
        <f t="shared" si="148"/>
        <v>2.2023337402461078E-3</v>
      </c>
      <c r="AA487" s="548">
        <f t="shared" si="148"/>
        <v>2.2102568038982438E-3</v>
      </c>
      <c r="AB487" s="548">
        <f t="shared" si="148"/>
        <v>2.2577075023960586E-3</v>
      </c>
      <c r="AC487" s="548">
        <f t="shared" si="148"/>
        <v>2.2783036861208231E-3</v>
      </c>
      <c r="AD487" s="548">
        <f t="shared" si="148"/>
        <v>2.2794351205829904E-3</v>
      </c>
      <c r="AE487" s="548">
        <f t="shared" si="148"/>
        <v>2.2473248028071413E-3</v>
      </c>
      <c r="AF487" s="548">
        <f t="shared" si="148"/>
        <v>2.2481601645417022E-3</v>
      </c>
      <c r="AG487" s="548">
        <f t="shared" si="148"/>
        <v>2.2728171684416342E-3</v>
      </c>
      <c r="AH487" s="548">
        <f t="shared" si="148"/>
        <v>2.2770228241235715E-3</v>
      </c>
      <c r="AI487" s="548">
        <f t="shared" si="148"/>
        <v>2.2808268741193504E-3</v>
      </c>
      <c r="AJ487" s="548">
        <f t="shared" si="148"/>
        <v>2.2845224397469131E-3</v>
      </c>
    </row>
    <row r="488" spans="1:38" x14ac:dyDescent="0.4">
      <c r="A488" s="661" t="s">
        <v>156</v>
      </c>
      <c r="B488" s="546" t="s">
        <v>1284</v>
      </c>
      <c r="C488" s="551">
        <f t="shared" ref="C488:AJ488" si="149">$B$541*C480</f>
        <v>4.0000000000000001E-3</v>
      </c>
      <c r="D488" s="551">
        <f t="shared" si="149"/>
        <v>4.000000000000001E-3</v>
      </c>
      <c r="E488" s="551">
        <f t="shared" si="149"/>
        <v>4.000000000000001E-3</v>
      </c>
      <c r="F488" s="551">
        <f t="shared" si="149"/>
        <v>4.0000000000000001E-3</v>
      </c>
      <c r="G488" s="551">
        <f t="shared" si="149"/>
        <v>4.0000000000000001E-3</v>
      </c>
      <c r="H488" s="551">
        <f t="shared" si="149"/>
        <v>4.0000000000000001E-3</v>
      </c>
      <c r="I488" s="551">
        <f t="shared" si="149"/>
        <v>3.9999999999999992E-3</v>
      </c>
      <c r="J488" s="551">
        <f t="shared" si="149"/>
        <v>4.0000000000000001E-3</v>
      </c>
      <c r="K488" s="551">
        <f t="shared" si="149"/>
        <v>4.000000000000001E-3</v>
      </c>
      <c r="L488" s="551">
        <f t="shared" si="149"/>
        <v>4.0000000000000001E-3</v>
      </c>
      <c r="M488" s="551">
        <f t="shared" si="149"/>
        <v>4.0000000000000001E-3</v>
      </c>
      <c r="N488" s="551">
        <f t="shared" si="149"/>
        <v>4.0000000000000001E-3</v>
      </c>
      <c r="O488" s="551">
        <f t="shared" si="149"/>
        <v>4.0000000000000001E-3</v>
      </c>
      <c r="P488" s="551">
        <f t="shared" si="149"/>
        <v>4.0000000000000001E-3</v>
      </c>
      <c r="Q488" s="551">
        <f t="shared" si="149"/>
        <v>4.000000000000001E-3</v>
      </c>
      <c r="R488" s="551">
        <f t="shared" si="149"/>
        <v>4.0000000000000001E-3</v>
      </c>
      <c r="S488" s="551">
        <f t="shared" si="149"/>
        <v>4.0000000000000001E-3</v>
      </c>
      <c r="T488" s="551">
        <f t="shared" si="149"/>
        <v>3.9999999999999992E-3</v>
      </c>
      <c r="U488" s="551">
        <f t="shared" si="149"/>
        <v>4.0000000000000001E-3</v>
      </c>
      <c r="V488" s="551">
        <f t="shared" si="149"/>
        <v>4.0000000000000001E-3</v>
      </c>
      <c r="W488" s="551">
        <f t="shared" si="149"/>
        <v>4.0000000000000001E-3</v>
      </c>
      <c r="X488" s="551">
        <f t="shared" si="149"/>
        <v>4.0000000000000001E-3</v>
      </c>
      <c r="Y488" s="551">
        <f t="shared" si="149"/>
        <v>4.0000000000000001E-3</v>
      </c>
      <c r="Z488" s="551">
        <f t="shared" si="149"/>
        <v>4.0000000000000001E-3</v>
      </c>
      <c r="AA488" s="551">
        <f t="shared" si="149"/>
        <v>4.0000000000000001E-3</v>
      </c>
      <c r="AB488" s="551">
        <f t="shared" si="149"/>
        <v>4.0000000000000001E-3</v>
      </c>
      <c r="AC488" s="551">
        <f t="shared" si="149"/>
        <v>4.0000000000000001E-3</v>
      </c>
      <c r="AD488" s="551">
        <f t="shared" si="149"/>
        <v>3.9999999999999992E-3</v>
      </c>
      <c r="AE488" s="551">
        <f t="shared" si="149"/>
        <v>4.0000000000000001E-3</v>
      </c>
      <c r="AF488" s="551">
        <f t="shared" si="149"/>
        <v>4.0000000000000001E-3</v>
      </c>
      <c r="AG488" s="551">
        <f t="shared" si="149"/>
        <v>4.0000000000000001E-3</v>
      </c>
      <c r="AH488" s="551">
        <f t="shared" si="149"/>
        <v>3.9999999999999992E-3</v>
      </c>
      <c r="AI488" s="551">
        <f t="shared" si="149"/>
        <v>4.000000000000001E-3</v>
      </c>
      <c r="AJ488" s="551">
        <f t="shared" si="149"/>
        <v>4.0000000000000001E-3</v>
      </c>
    </row>
    <row r="489" spans="1:38" x14ac:dyDescent="0.4">
      <c r="A489" s="661" t="s">
        <v>163</v>
      </c>
      <c r="B489" s="546" t="s">
        <v>1285</v>
      </c>
      <c r="C489" s="551">
        <f t="shared" ref="C489:AJ489" si="150">$B$541*C481</f>
        <v>11.326700000000002</v>
      </c>
      <c r="D489" s="551">
        <f t="shared" si="150"/>
        <v>11.326700000000001</v>
      </c>
      <c r="E489" s="551">
        <f t="shared" si="150"/>
        <v>11.326700000000001</v>
      </c>
      <c r="F489" s="551">
        <f t="shared" si="150"/>
        <v>11.326700000000001</v>
      </c>
      <c r="G489" s="551">
        <f t="shared" si="150"/>
        <v>11.326700000000001</v>
      </c>
      <c r="H489" s="551">
        <f t="shared" si="150"/>
        <v>11.326700000000001</v>
      </c>
      <c r="I489" s="551">
        <f t="shared" si="150"/>
        <v>11.326700000000001</v>
      </c>
      <c r="J489" s="551">
        <f t="shared" si="150"/>
        <v>11.326700000000001</v>
      </c>
      <c r="K489" s="551">
        <f t="shared" si="150"/>
        <v>11.326700000000001</v>
      </c>
      <c r="L489" s="551">
        <f t="shared" si="150"/>
        <v>11.326700000000001</v>
      </c>
      <c r="M489" s="551">
        <f t="shared" si="150"/>
        <v>11.326700000000001</v>
      </c>
      <c r="N489" s="551">
        <f t="shared" si="150"/>
        <v>11.326700000000001</v>
      </c>
      <c r="O489" s="551">
        <f t="shared" si="150"/>
        <v>11.326700000000001</v>
      </c>
      <c r="P489" s="551">
        <f t="shared" si="150"/>
        <v>11.326700000000001</v>
      </c>
      <c r="Q489" s="551">
        <f t="shared" si="150"/>
        <v>11.326699999999999</v>
      </c>
      <c r="R489" s="551">
        <f t="shared" si="150"/>
        <v>11.326700000000001</v>
      </c>
      <c r="S489" s="551">
        <f t="shared" si="150"/>
        <v>11.326700000000001</v>
      </c>
      <c r="T489" s="551">
        <f t="shared" si="150"/>
        <v>11.326700000000001</v>
      </c>
      <c r="U489" s="551">
        <f t="shared" si="150"/>
        <v>11.326700000000001</v>
      </c>
      <c r="V489" s="551">
        <f t="shared" si="150"/>
        <v>11.326700000000002</v>
      </c>
      <c r="W489" s="551">
        <f t="shared" si="150"/>
        <v>11.326700000000001</v>
      </c>
      <c r="X489" s="551">
        <f t="shared" si="150"/>
        <v>11.326700000000001</v>
      </c>
      <c r="Y489" s="551">
        <f t="shared" si="150"/>
        <v>11.326700000000001</v>
      </c>
      <c r="Z489" s="551">
        <f t="shared" si="150"/>
        <v>11.326699999999999</v>
      </c>
      <c r="AA489" s="551">
        <f t="shared" si="150"/>
        <v>11.326700000000001</v>
      </c>
      <c r="AB489" s="551">
        <f t="shared" si="150"/>
        <v>11.326700000000001</v>
      </c>
      <c r="AC489" s="551">
        <f t="shared" si="150"/>
        <v>11.326700000000001</v>
      </c>
      <c r="AD489" s="551">
        <f t="shared" si="150"/>
        <v>11.326700000000001</v>
      </c>
      <c r="AE489" s="551">
        <f t="shared" si="150"/>
        <v>11.326700000000001</v>
      </c>
      <c r="AF489" s="551">
        <f t="shared" si="150"/>
        <v>11.326700000000002</v>
      </c>
      <c r="AG489" s="551">
        <f t="shared" si="150"/>
        <v>11.326700000000001</v>
      </c>
      <c r="AH489" s="551">
        <f t="shared" si="150"/>
        <v>11.326700000000001</v>
      </c>
      <c r="AI489" s="551">
        <f t="shared" si="150"/>
        <v>11.326700000000001</v>
      </c>
      <c r="AJ489" s="551">
        <f t="shared" si="150"/>
        <v>11.326700000000001</v>
      </c>
    </row>
    <row r="490" spans="1:38" x14ac:dyDescent="0.4">
      <c r="A490" s="662" t="s">
        <v>165</v>
      </c>
      <c r="B490" s="564" t="s">
        <v>1286</v>
      </c>
      <c r="C490" s="650">
        <f t="shared" ref="C490:AJ490" si="151">$B$541*C482</f>
        <v>2.9999999999999997E-4</v>
      </c>
      <c r="D490" s="650">
        <f t="shared" si="151"/>
        <v>3.0000000000000003E-4</v>
      </c>
      <c r="E490" s="650">
        <f t="shared" si="151"/>
        <v>2.9999999999999997E-4</v>
      </c>
      <c r="F490" s="650">
        <f t="shared" si="151"/>
        <v>2.9999999999999997E-4</v>
      </c>
      <c r="G490" s="650">
        <f t="shared" si="151"/>
        <v>2.9999999999999997E-4</v>
      </c>
      <c r="H490" s="650">
        <f t="shared" si="151"/>
        <v>2.9999999999999997E-4</v>
      </c>
      <c r="I490" s="650">
        <f t="shared" si="151"/>
        <v>2.9999999999999992E-4</v>
      </c>
      <c r="J490" s="650">
        <f t="shared" si="151"/>
        <v>2.9999999999999992E-4</v>
      </c>
      <c r="K490" s="650">
        <f t="shared" si="151"/>
        <v>2.9999999999999997E-4</v>
      </c>
      <c r="L490" s="650">
        <f t="shared" si="151"/>
        <v>3.0000000000000003E-4</v>
      </c>
      <c r="M490" s="650">
        <f t="shared" si="151"/>
        <v>2.9999999999999997E-4</v>
      </c>
      <c r="N490" s="650">
        <f t="shared" si="151"/>
        <v>2.9999999999999997E-4</v>
      </c>
      <c r="O490" s="650">
        <f t="shared" si="151"/>
        <v>2.9999999999999997E-4</v>
      </c>
      <c r="P490" s="650">
        <f t="shared" si="151"/>
        <v>2.9999999999999997E-4</v>
      </c>
      <c r="Q490" s="650">
        <f t="shared" si="151"/>
        <v>3.0000000000000003E-4</v>
      </c>
      <c r="R490" s="650">
        <f t="shared" si="151"/>
        <v>2.9999999999999992E-4</v>
      </c>
      <c r="S490" s="650">
        <f t="shared" si="151"/>
        <v>2.9999999999999997E-4</v>
      </c>
      <c r="T490" s="650">
        <f t="shared" si="151"/>
        <v>3.0000000000000003E-4</v>
      </c>
      <c r="U490" s="650">
        <f t="shared" si="151"/>
        <v>2.9999999999999997E-4</v>
      </c>
      <c r="V490" s="650">
        <f t="shared" si="151"/>
        <v>2.9999999999999997E-4</v>
      </c>
      <c r="W490" s="650">
        <f t="shared" si="151"/>
        <v>2.9999999999999997E-4</v>
      </c>
      <c r="X490" s="650">
        <f t="shared" si="151"/>
        <v>3.0000000000000003E-4</v>
      </c>
      <c r="Y490" s="650">
        <f t="shared" si="151"/>
        <v>2.9999999999999997E-4</v>
      </c>
      <c r="Z490" s="650">
        <f t="shared" si="151"/>
        <v>2.9999999999999997E-4</v>
      </c>
      <c r="AA490" s="650">
        <f t="shared" si="151"/>
        <v>2.9999999999999997E-4</v>
      </c>
      <c r="AB490" s="650">
        <f t="shared" si="151"/>
        <v>2.9999999999999997E-4</v>
      </c>
      <c r="AC490" s="650">
        <f t="shared" si="151"/>
        <v>2.9999999999999997E-4</v>
      </c>
      <c r="AD490" s="650">
        <f t="shared" si="151"/>
        <v>2.9999999999999997E-4</v>
      </c>
      <c r="AE490" s="650">
        <f t="shared" si="151"/>
        <v>2.9999999999999997E-4</v>
      </c>
      <c r="AF490" s="650">
        <f t="shared" si="151"/>
        <v>2.9999999999999997E-4</v>
      </c>
      <c r="AG490" s="650">
        <f t="shared" si="151"/>
        <v>3.0000000000000003E-4</v>
      </c>
      <c r="AH490" s="650">
        <f t="shared" si="151"/>
        <v>2.9999999999999997E-4</v>
      </c>
      <c r="AI490" s="650">
        <f t="shared" si="151"/>
        <v>2.9999999999999992E-4</v>
      </c>
      <c r="AJ490" s="650">
        <f t="shared" si="151"/>
        <v>2.9999999999999997E-4</v>
      </c>
    </row>
    <row r="491" spans="1:38" x14ac:dyDescent="0.4">
      <c r="A491" s="1150" t="s">
        <v>1063</v>
      </c>
      <c r="B491" s="264"/>
      <c r="C491" s="658"/>
      <c r="D491" s="28"/>
      <c r="E491" s="28"/>
      <c r="F491" s="28"/>
      <c r="G491" s="28"/>
      <c r="H491" s="28"/>
      <c r="I491" s="28"/>
      <c r="J491" s="28"/>
      <c r="K491" s="28"/>
      <c r="L491" s="28"/>
      <c r="M491" s="28"/>
      <c r="N491" s="28"/>
      <c r="O491" s="28"/>
      <c r="P491" s="28"/>
      <c r="Q491" s="28"/>
      <c r="R491" s="28"/>
      <c r="S491" s="28"/>
      <c r="T491" s="28"/>
      <c r="U491" s="28"/>
      <c r="V491" s="28"/>
      <c r="W491" s="28"/>
      <c r="X491" s="28"/>
      <c r="Y491" s="28"/>
      <c r="Z491" s="28"/>
      <c r="AA491" s="28"/>
      <c r="AB491" s="28"/>
      <c r="AC491" s="28"/>
      <c r="AD491" s="28"/>
      <c r="AE491" s="28"/>
      <c r="AF491" s="28"/>
      <c r="AG491" s="658"/>
      <c r="AH491" s="658"/>
      <c r="AI491" s="658"/>
      <c r="AJ491" s="658"/>
    </row>
    <row r="492" spans="1:38" x14ac:dyDescent="0.4">
      <c r="A492" s="264"/>
      <c r="B492" s="264"/>
      <c r="C492" s="163"/>
      <c r="AG492" s="163"/>
      <c r="AH492" s="658"/>
      <c r="AI492" s="658"/>
      <c r="AJ492" s="658"/>
    </row>
    <row r="493" spans="1:38" ht="17" x14ac:dyDescent="0.45">
      <c r="A493" s="90" t="s">
        <v>1474</v>
      </c>
      <c r="B493" s="264"/>
      <c r="C493" s="163"/>
      <c r="AG493" s="163"/>
      <c r="AH493" s="658"/>
      <c r="AI493" s="658"/>
      <c r="AJ493" s="658"/>
    </row>
    <row r="494" spans="1:38" s="60" customFormat="1" x14ac:dyDescent="0.4">
      <c r="A494" s="90" t="s">
        <v>536</v>
      </c>
      <c r="B494" s="88" t="s">
        <v>136</v>
      </c>
      <c r="C494" s="230" t="s">
        <v>391</v>
      </c>
      <c r="D494" s="230" t="s">
        <v>392</v>
      </c>
      <c r="E494" s="230" t="s">
        <v>393</v>
      </c>
      <c r="F494" s="230" t="s">
        <v>394</v>
      </c>
      <c r="G494" s="230" t="s">
        <v>395</v>
      </c>
      <c r="H494" s="230" t="s">
        <v>396</v>
      </c>
      <c r="I494" s="230" t="s">
        <v>397</v>
      </c>
      <c r="J494" s="230" t="s">
        <v>398</v>
      </c>
      <c r="K494" s="230" t="s">
        <v>399</v>
      </c>
      <c r="L494" s="230" t="s">
        <v>400</v>
      </c>
      <c r="M494" s="230" t="s">
        <v>401</v>
      </c>
      <c r="N494" s="230" t="s">
        <v>402</v>
      </c>
      <c r="O494" s="230" t="s">
        <v>403</v>
      </c>
      <c r="P494" s="230" t="s">
        <v>404</v>
      </c>
      <c r="Q494" s="230" t="s">
        <v>405</v>
      </c>
      <c r="R494" s="230" t="s">
        <v>406</v>
      </c>
      <c r="S494" s="230" t="s">
        <v>407</v>
      </c>
      <c r="T494" s="230" t="s">
        <v>408</v>
      </c>
      <c r="U494" s="230" t="s">
        <v>409</v>
      </c>
      <c r="V494" s="230" t="s">
        <v>410</v>
      </c>
      <c r="W494" s="230" t="s">
        <v>411</v>
      </c>
      <c r="X494" s="230" t="s">
        <v>412</v>
      </c>
      <c r="Y494" s="230" t="s">
        <v>413</v>
      </c>
      <c r="Z494" s="230" t="s">
        <v>414</v>
      </c>
      <c r="AA494" s="230" t="s">
        <v>415</v>
      </c>
      <c r="AB494" s="230" t="s">
        <v>416</v>
      </c>
      <c r="AC494" s="230" t="s">
        <v>417</v>
      </c>
      <c r="AD494" s="230" t="s">
        <v>418</v>
      </c>
      <c r="AE494" s="230" t="s">
        <v>419</v>
      </c>
      <c r="AF494" s="230" t="s">
        <v>420</v>
      </c>
      <c r="AG494" s="230" t="s">
        <v>421</v>
      </c>
      <c r="AH494" s="230" t="s">
        <v>422</v>
      </c>
      <c r="AI494" s="230" t="s">
        <v>423</v>
      </c>
      <c r="AJ494" s="230" t="s">
        <v>424</v>
      </c>
      <c r="AK494" s="3"/>
      <c r="AL494" s="3"/>
    </row>
    <row r="495" spans="1:38" ht="17" x14ac:dyDescent="0.4">
      <c r="A495" s="264" t="s">
        <v>776</v>
      </c>
      <c r="B495" s="1471" t="s">
        <v>1389</v>
      </c>
      <c r="C495" s="163">
        <f t="shared" ref="C495:AC495" si="152">C169*C487</f>
        <v>2471.9589480672335</v>
      </c>
      <c r="D495" s="3">
        <f t="shared" si="152"/>
        <v>2477.1130207657443</v>
      </c>
      <c r="E495" s="3">
        <f t="shared" si="152"/>
        <v>2491.6112032559263</v>
      </c>
      <c r="F495" s="3">
        <f t="shared" si="152"/>
        <v>2511.9768676143858</v>
      </c>
      <c r="G495" s="3">
        <f t="shared" si="152"/>
        <v>2581.2459992519448</v>
      </c>
      <c r="H495" s="3">
        <f t="shared" si="152"/>
        <v>2591.3619524891228</v>
      </c>
      <c r="I495" s="3">
        <f t="shared" si="152"/>
        <v>2576.4500561706609</v>
      </c>
      <c r="J495" s="3">
        <f t="shared" si="152"/>
        <v>2635.2047839239872</v>
      </c>
      <c r="K495" s="3">
        <f t="shared" si="152"/>
        <v>2699.9593561681127</v>
      </c>
      <c r="L495" s="3">
        <f t="shared" si="152"/>
        <v>2739.5606310659914</v>
      </c>
      <c r="M495" s="3">
        <f t="shared" si="152"/>
        <v>2825.2745260010074</v>
      </c>
      <c r="N495" s="3">
        <f t="shared" si="152"/>
        <v>2858.5099217840211</v>
      </c>
      <c r="O495" s="3">
        <f t="shared" si="152"/>
        <v>2878.380783727021</v>
      </c>
      <c r="P495" s="3">
        <f t="shared" si="152"/>
        <v>2923.9102643967362</v>
      </c>
      <c r="Q495" s="3">
        <f t="shared" si="152"/>
        <v>2906.933362566615</v>
      </c>
      <c r="R495" s="3">
        <f t="shared" si="152"/>
        <v>2895.3030188859275</v>
      </c>
      <c r="S495" s="3">
        <f t="shared" si="152"/>
        <v>3052.619800903281</v>
      </c>
      <c r="T495" s="3">
        <f t="shared" si="152"/>
        <v>3054.3055564738506</v>
      </c>
      <c r="U495" s="3">
        <f t="shared" si="152"/>
        <v>3050.4587053055502</v>
      </c>
      <c r="V495" s="3">
        <f t="shared" si="152"/>
        <v>3071.8269387544583</v>
      </c>
      <c r="W495" s="3">
        <f t="shared" si="152"/>
        <v>3093.7656428580308</v>
      </c>
      <c r="X495" s="3">
        <f t="shared" si="152"/>
        <v>3118.1565609848094</v>
      </c>
      <c r="Y495" s="3">
        <f t="shared" si="152"/>
        <v>3263.0187385627241</v>
      </c>
      <c r="Z495" s="3">
        <f t="shared" si="152"/>
        <v>3232.0965458429023</v>
      </c>
      <c r="AA495" s="3">
        <f t="shared" si="152"/>
        <v>3229.9587803766985</v>
      </c>
      <c r="AB495" s="3">
        <f t="shared" si="152"/>
        <v>3337.054243481547</v>
      </c>
      <c r="AC495" s="3">
        <f t="shared" si="152"/>
        <v>3405.0797835582262</v>
      </c>
      <c r="AD495" s="665">
        <f t="shared" ref="AD495:AJ495" si="153">AD466*AD487</f>
        <v>4297.4190328351115</v>
      </c>
      <c r="AE495" s="665">
        <f t="shared" si="153"/>
        <v>4344.1912100663449</v>
      </c>
      <c r="AF495" s="665">
        <f t="shared" si="153"/>
        <v>4453.1556539242038</v>
      </c>
      <c r="AG495" s="666">
        <f t="shared" si="153"/>
        <v>4517.1104814193259</v>
      </c>
      <c r="AH495" s="667">
        <f t="shared" si="153"/>
        <v>4540.6112135848143</v>
      </c>
      <c r="AI495" s="667">
        <f t="shared" si="153"/>
        <v>4519.9146164423164</v>
      </c>
      <c r="AJ495" s="667">
        <f t="shared" si="153"/>
        <v>4498.910040593596</v>
      </c>
    </row>
    <row r="496" spans="1:38" ht="17" x14ac:dyDescent="0.4">
      <c r="A496" s="264" t="s">
        <v>64</v>
      </c>
      <c r="B496" s="1471" t="s">
        <v>1389</v>
      </c>
      <c r="C496" s="163">
        <f t="shared" ref="C496:AC496" si="154">C170*C488</f>
        <v>343.1</v>
      </c>
      <c r="D496" s="3">
        <f t="shared" si="154"/>
        <v>354.98400000000009</v>
      </c>
      <c r="E496" s="3">
        <f t="shared" si="154"/>
        <v>343.49200000000008</v>
      </c>
      <c r="F496" s="3">
        <f t="shared" si="154"/>
        <v>408.74799999999999</v>
      </c>
      <c r="G496" s="3">
        <f t="shared" si="154"/>
        <v>370.976</v>
      </c>
      <c r="H496" s="3">
        <f t="shared" si="154"/>
        <v>417.81200000000001</v>
      </c>
      <c r="I496" s="3">
        <f t="shared" si="154"/>
        <v>423.55599999999993</v>
      </c>
      <c r="J496" s="3">
        <f t="shared" si="154"/>
        <v>431.70400000000001</v>
      </c>
      <c r="K496" s="3">
        <f t="shared" si="154"/>
        <v>435.32800000000009</v>
      </c>
      <c r="L496" s="3">
        <f t="shared" si="154"/>
        <v>452.70800000000003</v>
      </c>
      <c r="M496" s="3">
        <f t="shared" si="154"/>
        <v>471.97200000000004</v>
      </c>
      <c r="N496" s="3">
        <f t="shared" si="154"/>
        <v>483.93600000000004</v>
      </c>
      <c r="O496" s="3">
        <f t="shared" si="154"/>
        <v>489.78800000000001</v>
      </c>
      <c r="P496" s="3">
        <f t="shared" si="154"/>
        <v>492.024</v>
      </c>
      <c r="Q496" s="3">
        <f t="shared" si="154"/>
        <v>500.42800000000011</v>
      </c>
      <c r="R496" s="3">
        <f t="shared" si="154"/>
        <v>480.66800000000001</v>
      </c>
      <c r="S496" s="3">
        <f t="shared" si="154"/>
        <v>506.85200000000003</v>
      </c>
      <c r="T496" s="3">
        <f t="shared" si="154"/>
        <v>515.8599999999999</v>
      </c>
      <c r="U496" s="3">
        <f t="shared" si="154"/>
        <v>536.55600000000004</v>
      </c>
      <c r="V496" s="3">
        <f t="shared" si="154"/>
        <v>557.25200000000007</v>
      </c>
      <c r="W496" s="3">
        <f t="shared" si="154"/>
        <v>577.94799999999998</v>
      </c>
      <c r="X496" s="3">
        <f t="shared" si="154"/>
        <v>552.9</v>
      </c>
      <c r="Y496" s="3">
        <f t="shared" si="154"/>
        <v>571.30000000000007</v>
      </c>
      <c r="Z496" s="3">
        <f t="shared" si="154"/>
        <v>576.98400000000004</v>
      </c>
      <c r="AA496" s="3">
        <f t="shared" si="154"/>
        <v>558.22400000000005</v>
      </c>
      <c r="AB496" s="3">
        <f t="shared" si="154"/>
        <v>562.21199999999999</v>
      </c>
      <c r="AC496" s="3">
        <f t="shared" si="154"/>
        <v>567.48</v>
      </c>
      <c r="AD496" s="3">
        <f t="shared" ref="AD496:AJ496" si="155">AD170*AD488</f>
        <v>571.45199999999988</v>
      </c>
      <c r="AE496" s="3">
        <f t="shared" si="155"/>
        <v>578.36800000000005</v>
      </c>
      <c r="AF496" s="3">
        <f t="shared" si="155"/>
        <v>579.07600000000002</v>
      </c>
      <c r="AG496" s="163">
        <f t="shared" si="155"/>
        <v>704.66</v>
      </c>
      <c r="AH496" s="658">
        <f t="shared" si="155"/>
        <v>583.70799999999986</v>
      </c>
      <c r="AI496" s="658">
        <f t="shared" si="155"/>
        <v>657.83600000000013</v>
      </c>
      <c r="AJ496" s="658">
        <f t="shared" si="155"/>
        <v>582.14400000000001</v>
      </c>
    </row>
    <row r="497" spans="1:38" ht="17" x14ac:dyDescent="0.4">
      <c r="A497" s="264" t="s">
        <v>163</v>
      </c>
      <c r="B497" s="1471" t="s">
        <v>1389</v>
      </c>
      <c r="C497" s="163">
        <f t="shared" ref="C497:AJ497" si="156">C489*C469</f>
        <v>1191.7953740000003</v>
      </c>
      <c r="D497" s="163">
        <f t="shared" si="156"/>
        <v>1308.5056908000001</v>
      </c>
      <c r="E497" s="163">
        <f t="shared" si="156"/>
        <v>1657.7531586000002</v>
      </c>
      <c r="F497" s="163">
        <f t="shared" si="156"/>
        <v>1686.1831756000001</v>
      </c>
      <c r="G497" s="163">
        <f t="shared" si="156"/>
        <v>1875.7015200000001</v>
      </c>
      <c r="H497" s="163">
        <f t="shared" si="156"/>
        <v>2171.7588046000001</v>
      </c>
      <c r="I497" s="163">
        <f t="shared" si="156"/>
        <v>1862.8004087000002</v>
      </c>
      <c r="J497" s="163">
        <f t="shared" si="156"/>
        <v>2062.3655360000002</v>
      </c>
      <c r="K497" s="163">
        <f t="shared" si="156"/>
        <v>1865.6773905000002</v>
      </c>
      <c r="L497" s="163">
        <f t="shared" si="156"/>
        <v>1939.13104</v>
      </c>
      <c r="M497" s="163">
        <f t="shared" si="156"/>
        <v>1845.7197451000002</v>
      </c>
      <c r="N497" s="163">
        <f t="shared" si="156"/>
        <v>2010.2400626000001</v>
      </c>
      <c r="O497" s="163">
        <f t="shared" si="156"/>
        <v>2433.0091401</v>
      </c>
      <c r="P497" s="163">
        <f t="shared" si="156"/>
        <v>2416.8912460000001</v>
      </c>
      <c r="Q497" s="163">
        <f t="shared" si="156"/>
        <v>2276.0550581999996</v>
      </c>
      <c r="R497" s="163">
        <f t="shared" si="156"/>
        <v>2267.6393201000001</v>
      </c>
      <c r="S497" s="163">
        <f t="shared" si="156"/>
        <v>2404.4998362000001</v>
      </c>
      <c r="T497" s="163">
        <f t="shared" si="156"/>
        <v>2600.2138855000003</v>
      </c>
      <c r="U497" s="163">
        <f t="shared" si="156"/>
        <v>2261.7607628000001</v>
      </c>
      <c r="V497" s="163">
        <f t="shared" si="156"/>
        <v>2147.1005787000004</v>
      </c>
      <c r="W497" s="163">
        <f t="shared" si="156"/>
        <v>2606.0584626999998</v>
      </c>
      <c r="X497" s="163">
        <f t="shared" si="156"/>
        <v>2644.7051630999999</v>
      </c>
      <c r="Y497" s="163">
        <f t="shared" si="156"/>
        <v>2531.8119442000002</v>
      </c>
      <c r="Z497" s="163">
        <f t="shared" si="156"/>
        <v>2275.4660697999998</v>
      </c>
      <c r="AA497" s="163">
        <f t="shared" si="156"/>
        <v>2043.7784213</v>
      </c>
      <c r="AB497" s="163">
        <f t="shared" si="156"/>
        <v>2280.6197182999999</v>
      </c>
      <c r="AC497" s="163">
        <f t="shared" si="156"/>
        <v>2289.7377117999999</v>
      </c>
      <c r="AD497" s="163">
        <f t="shared" si="156"/>
        <v>2378.2445456</v>
      </c>
      <c r="AE497" s="163">
        <f t="shared" si="156"/>
        <v>2052.7944745000004</v>
      </c>
      <c r="AF497" s="163">
        <f t="shared" si="156"/>
        <v>1829.4432772000002</v>
      </c>
      <c r="AG497" s="163">
        <f t="shared" si="156"/>
        <v>1704.3965092000001</v>
      </c>
      <c r="AH497" s="163">
        <f t="shared" si="156"/>
        <v>1801.5116350000003</v>
      </c>
      <c r="AI497" s="163">
        <f t="shared" si="156"/>
        <v>1847.5886505999999</v>
      </c>
      <c r="AJ497" s="163">
        <f t="shared" si="156"/>
        <v>1711.4190632000002</v>
      </c>
    </row>
    <row r="498" spans="1:38" ht="17" x14ac:dyDescent="0.4">
      <c r="A498" s="264" t="s">
        <v>165</v>
      </c>
      <c r="B498" s="1471" t="s">
        <v>1389</v>
      </c>
      <c r="C498" s="163">
        <f>C490*C470</f>
        <v>0</v>
      </c>
      <c r="D498" s="657" t="s">
        <v>32</v>
      </c>
      <c r="E498" s="657" t="s">
        <v>32</v>
      </c>
      <c r="F498" s="657" t="s">
        <v>32</v>
      </c>
      <c r="G498" s="657" t="s">
        <v>32</v>
      </c>
      <c r="H498" s="657" t="s">
        <v>32</v>
      </c>
      <c r="I498" s="657" t="s">
        <v>32</v>
      </c>
      <c r="J498" s="657" t="s">
        <v>32</v>
      </c>
      <c r="K498" s="657" t="s">
        <v>32</v>
      </c>
      <c r="L498" s="657" t="s">
        <v>32</v>
      </c>
      <c r="M498" s="657" t="s">
        <v>32</v>
      </c>
      <c r="N498" s="657" t="s">
        <v>32</v>
      </c>
      <c r="O498" s="657" t="s">
        <v>32</v>
      </c>
      <c r="P498" s="657" t="s">
        <v>32</v>
      </c>
      <c r="Q498" s="657" t="s">
        <v>32</v>
      </c>
      <c r="R498" s="657" t="s">
        <v>32</v>
      </c>
      <c r="S498" s="657" t="s">
        <v>32</v>
      </c>
      <c r="T498" s="657" t="s">
        <v>32</v>
      </c>
      <c r="U498" s="657" t="s">
        <v>32</v>
      </c>
      <c r="V498" s="657" t="s">
        <v>32</v>
      </c>
      <c r="W498" s="657" t="s">
        <v>32</v>
      </c>
      <c r="X498" s="657" t="s">
        <v>32</v>
      </c>
      <c r="Y498" s="657" t="s">
        <v>32</v>
      </c>
      <c r="Z498" s="657" t="s">
        <v>32</v>
      </c>
      <c r="AA498" s="657" t="s">
        <v>32</v>
      </c>
      <c r="AB498" s="657" t="s">
        <v>32</v>
      </c>
      <c r="AC498" s="657" t="s">
        <v>32</v>
      </c>
      <c r="AD498" s="657" t="s">
        <v>32</v>
      </c>
      <c r="AE498" s="3">
        <f t="shared" ref="AE498:AJ498" si="157">AE490*AE470</f>
        <v>0.26039999999999996</v>
      </c>
      <c r="AF498" s="3">
        <f t="shared" si="157"/>
        <v>0.26819999999999999</v>
      </c>
      <c r="AG498" s="163">
        <f t="shared" si="157"/>
        <v>0.25290000000000001</v>
      </c>
      <c r="AH498" s="658">
        <f t="shared" si="157"/>
        <v>0.23129999999999998</v>
      </c>
      <c r="AI498" s="658">
        <f t="shared" si="157"/>
        <v>0.23369999999999994</v>
      </c>
      <c r="AJ498" s="658">
        <f t="shared" si="157"/>
        <v>0.24329999999999999</v>
      </c>
    </row>
    <row r="499" spans="1:38" s="42" customFormat="1" ht="17" x14ac:dyDescent="0.4">
      <c r="A499" s="108" t="s">
        <v>533</v>
      </c>
      <c r="B499" s="1472" t="s">
        <v>1459</v>
      </c>
      <c r="C499" s="675">
        <f>SUM(C495:C498)</f>
        <v>4006.8543220672336</v>
      </c>
      <c r="D499" s="675">
        <f t="shared" ref="D499:AJ499" si="158">SUM(D495:D498)</f>
        <v>4140.6027115657444</v>
      </c>
      <c r="E499" s="675">
        <f t="shared" si="158"/>
        <v>4492.8563618559265</v>
      </c>
      <c r="F499" s="675">
        <f t="shared" si="158"/>
        <v>4606.9080432143855</v>
      </c>
      <c r="G499" s="675">
        <f t="shared" si="158"/>
        <v>4827.9235192519445</v>
      </c>
      <c r="H499" s="675">
        <f t="shared" si="158"/>
        <v>5180.9327570891228</v>
      </c>
      <c r="I499" s="675">
        <f t="shared" si="158"/>
        <v>4862.8064648706613</v>
      </c>
      <c r="J499" s="675">
        <f t="shared" si="158"/>
        <v>5129.2743199239876</v>
      </c>
      <c r="K499" s="675">
        <f t="shared" si="158"/>
        <v>5000.9647466681126</v>
      </c>
      <c r="L499" s="675">
        <f t="shared" si="158"/>
        <v>5131.3996710659912</v>
      </c>
      <c r="M499" s="675">
        <f t="shared" si="158"/>
        <v>5142.9662711010078</v>
      </c>
      <c r="N499" s="675">
        <f t="shared" si="158"/>
        <v>5352.6859843840211</v>
      </c>
      <c r="O499" s="675">
        <f t="shared" si="158"/>
        <v>5801.177923827021</v>
      </c>
      <c r="P499" s="675">
        <f t="shared" si="158"/>
        <v>5832.8255103967367</v>
      </c>
      <c r="Q499" s="675">
        <f t="shared" si="158"/>
        <v>5683.4164207666145</v>
      </c>
      <c r="R499" s="675">
        <f t="shared" si="158"/>
        <v>5643.6103389859272</v>
      </c>
      <c r="S499" s="675">
        <f t="shared" si="158"/>
        <v>5963.971637103281</v>
      </c>
      <c r="T499" s="675">
        <f t="shared" si="158"/>
        <v>6170.3794419738506</v>
      </c>
      <c r="U499" s="675">
        <f t="shared" si="158"/>
        <v>5848.7754681055503</v>
      </c>
      <c r="V499" s="675">
        <f t="shared" si="158"/>
        <v>5776.1795174544586</v>
      </c>
      <c r="W499" s="675">
        <f t="shared" si="158"/>
        <v>6277.7721055580305</v>
      </c>
      <c r="X499" s="675">
        <f t="shared" si="158"/>
        <v>6315.7617240848094</v>
      </c>
      <c r="Y499" s="675">
        <f t="shared" si="158"/>
        <v>6366.130682762725</v>
      </c>
      <c r="Z499" s="675">
        <f t="shared" si="158"/>
        <v>6084.546615642902</v>
      </c>
      <c r="AA499" s="675">
        <f t="shared" si="158"/>
        <v>5831.9612016766987</v>
      </c>
      <c r="AB499" s="675">
        <f t="shared" si="158"/>
        <v>6179.8859617815469</v>
      </c>
      <c r="AC499" s="675">
        <f t="shared" si="158"/>
        <v>6262.2974953582261</v>
      </c>
      <c r="AD499" s="675">
        <f t="shared" si="158"/>
        <v>7247.1155784351122</v>
      </c>
      <c r="AE499" s="675">
        <f t="shared" si="158"/>
        <v>6975.6140845663458</v>
      </c>
      <c r="AF499" s="675">
        <f t="shared" si="158"/>
        <v>6861.9431311242042</v>
      </c>
      <c r="AG499" s="675">
        <f t="shared" si="158"/>
        <v>6926.419890619326</v>
      </c>
      <c r="AH499" s="675">
        <f t="shared" si="158"/>
        <v>6926.0621485848142</v>
      </c>
      <c r="AI499" s="675">
        <f t="shared" si="158"/>
        <v>7025.5729670423161</v>
      </c>
      <c r="AJ499" s="675">
        <f t="shared" si="158"/>
        <v>6792.7164037935963</v>
      </c>
      <c r="AK499" s="3"/>
      <c r="AL499" s="3"/>
    </row>
    <row r="500" spans="1:38" s="42" customFormat="1" ht="17" x14ac:dyDescent="0.45">
      <c r="A500" s="108" t="s">
        <v>533</v>
      </c>
      <c r="B500" s="42" t="s">
        <v>1183</v>
      </c>
      <c r="C500" s="664">
        <f t="shared" ref="C500:AJ500" si="159">(C499*$B$540)/1000000</f>
        <v>0.10017135805168084</v>
      </c>
      <c r="D500" s="664">
        <f t="shared" si="159"/>
        <v>0.1035150677891436</v>
      </c>
      <c r="E500" s="664">
        <f t="shared" si="159"/>
        <v>0.11232140904639816</v>
      </c>
      <c r="F500" s="664">
        <f t="shared" si="159"/>
        <v>0.11517270108035964</v>
      </c>
      <c r="G500" s="664">
        <f t="shared" si="159"/>
        <v>0.12069808798129861</v>
      </c>
      <c r="H500" s="664">
        <f t="shared" si="159"/>
        <v>0.12952331892722807</v>
      </c>
      <c r="I500" s="664">
        <f t="shared" si="159"/>
        <v>0.12157016162176652</v>
      </c>
      <c r="J500" s="664">
        <f t="shared" si="159"/>
        <v>0.12823185799809969</v>
      </c>
      <c r="K500" s="664">
        <f t="shared" si="159"/>
        <v>0.12502411866670282</v>
      </c>
      <c r="L500" s="664">
        <f t="shared" si="159"/>
        <v>0.12828499177664979</v>
      </c>
      <c r="M500" s="664">
        <f t="shared" si="159"/>
        <v>0.12857415677752518</v>
      </c>
      <c r="N500" s="664">
        <f t="shared" si="159"/>
        <v>0.13381714960960053</v>
      </c>
      <c r="O500" s="664">
        <f t="shared" si="159"/>
        <v>0.14502944809567553</v>
      </c>
      <c r="P500" s="664">
        <f t="shared" si="159"/>
        <v>0.14582063775991841</v>
      </c>
      <c r="Q500" s="664">
        <f t="shared" si="159"/>
        <v>0.14208541051916537</v>
      </c>
      <c r="R500" s="664">
        <f t="shared" si="159"/>
        <v>0.14109025847464818</v>
      </c>
      <c r="S500" s="664">
        <f t="shared" si="159"/>
        <v>0.14909929092758201</v>
      </c>
      <c r="T500" s="664">
        <f t="shared" si="159"/>
        <v>0.15425948604934628</v>
      </c>
      <c r="U500" s="664">
        <f t="shared" si="159"/>
        <v>0.14621938670263876</v>
      </c>
      <c r="V500" s="664">
        <f t="shared" si="159"/>
        <v>0.14440448793636146</v>
      </c>
      <c r="W500" s="664">
        <f t="shared" si="159"/>
        <v>0.15694430263895076</v>
      </c>
      <c r="X500" s="664">
        <f t="shared" si="159"/>
        <v>0.15789404310212021</v>
      </c>
      <c r="Y500" s="664">
        <f t="shared" si="159"/>
        <v>0.15915326706906813</v>
      </c>
      <c r="Z500" s="664">
        <f t="shared" si="159"/>
        <v>0.15211366539107254</v>
      </c>
      <c r="AA500" s="664">
        <f t="shared" si="159"/>
        <v>0.14579903004191747</v>
      </c>
      <c r="AB500" s="664">
        <f t="shared" si="159"/>
        <v>0.15449714904453868</v>
      </c>
      <c r="AC500" s="664">
        <f t="shared" si="159"/>
        <v>0.15655743738395567</v>
      </c>
      <c r="AD500" s="664">
        <f t="shared" si="159"/>
        <v>0.18117788946087782</v>
      </c>
      <c r="AE500" s="664">
        <f t="shared" si="159"/>
        <v>0.17439035211415865</v>
      </c>
      <c r="AF500" s="664">
        <f t="shared" si="159"/>
        <v>0.1715485782781051</v>
      </c>
      <c r="AG500" s="664">
        <f t="shared" si="159"/>
        <v>0.17316049726548313</v>
      </c>
      <c r="AH500" s="664">
        <f t="shared" si="159"/>
        <v>0.17315155371462035</v>
      </c>
      <c r="AI500" s="664">
        <f t="shared" si="159"/>
        <v>0.1756393241760579</v>
      </c>
      <c r="AJ500" s="664">
        <f t="shared" si="159"/>
        <v>0.1698179100948399</v>
      </c>
      <c r="AK500" s="3"/>
      <c r="AL500" s="3"/>
    </row>
    <row r="501" spans="1:38" x14ac:dyDescent="0.4">
      <c r="A501" s="264" t="s">
        <v>1063</v>
      </c>
      <c r="C501" s="456"/>
      <c r="D501" s="456"/>
      <c r="E501" s="456"/>
      <c r="F501" s="456"/>
      <c r="G501" s="456"/>
      <c r="H501" s="456"/>
      <c r="I501" s="456"/>
      <c r="J501" s="456"/>
      <c r="K501" s="456"/>
      <c r="L501" s="456"/>
      <c r="M501" s="456"/>
      <c r="N501" s="456"/>
      <c r="O501" s="456"/>
      <c r="P501" s="456"/>
      <c r="Q501" s="456"/>
      <c r="R501" s="456"/>
      <c r="S501" s="456"/>
      <c r="T501" s="456"/>
      <c r="U501" s="456"/>
      <c r="V501" s="456"/>
      <c r="W501" s="456"/>
      <c r="X501" s="456"/>
      <c r="Y501" s="456"/>
      <c r="Z501" s="456"/>
      <c r="AA501" s="456"/>
      <c r="AB501" s="456"/>
      <c r="AC501" s="456"/>
      <c r="AD501" s="456"/>
      <c r="AE501" s="456"/>
      <c r="AF501" s="456"/>
      <c r="AG501" s="456"/>
      <c r="AH501" s="456"/>
      <c r="AI501" s="456"/>
      <c r="AJ501" s="456"/>
    </row>
    <row r="502" spans="1:38" x14ac:dyDescent="0.4">
      <c r="A502" s="264"/>
      <c r="C502" s="456"/>
      <c r="D502" s="456"/>
      <c r="E502" s="456"/>
      <c r="F502" s="456"/>
      <c r="G502" s="456"/>
      <c r="H502" s="456"/>
      <c r="I502" s="456"/>
      <c r="J502" s="456"/>
      <c r="K502" s="456"/>
      <c r="L502" s="456"/>
      <c r="M502" s="456"/>
      <c r="N502" s="456"/>
      <c r="O502" s="456"/>
      <c r="P502" s="456"/>
      <c r="Q502" s="456"/>
      <c r="R502" s="456"/>
      <c r="S502" s="456"/>
      <c r="T502" s="456"/>
      <c r="U502" s="456"/>
      <c r="V502" s="456"/>
      <c r="W502" s="456"/>
      <c r="X502" s="456"/>
      <c r="Y502" s="456"/>
      <c r="Z502" s="456"/>
      <c r="AA502" s="456"/>
      <c r="AB502" s="456"/>
      <c r="AC502" s="456"/>
      <c r="AD502" s="456"/>
      <c r="AE502" s="456"/>
      <c r="AF502" s="456"/>
      <c r="AG502" s="456"/>
      <c r="AH502" s="456"/>
      <c r="AI502" s="456"/>
      <c r="AJ502" s="456"/>
    </row>
    <row r="503" spans="1:38" x14ac:dyDescent="0.4">
      <c r="A503" s="1389" t="s">
        <v>1305</v>
      </c>
      <c r="B503" s="1182"/>
      <c r="C503" s="456"/>
      <c r="D503" s="456"/>
      <c r="E503" s="456"/>
      <c r="F503" s="456"/>
      <c r="G503" s="456"/>
      <c r="H503" s="456"/>
      <c r="I503" s="456"/>
      <c r="J503" s="456"/>
      <c r="K503" s="456"/>
      <c r="L503" s="456"/>
      <c r="M503" s="456"/>
      <c r="N503" s="456"/>
      <c r="O503" s="456"/>
      <c r="P503" s="456"/>
      <c r="Q503" s="456"/>
      <c r="R503" s="456"/>
      <c r="S503" s="456"/>
      <c r="T503" s="456"/>
      <c r="U503" s="456"/>
      <c r="V503" s="456"/>
      <c r="W503" s="456"/>
      <c r="X503" s="456"/>
      <c r="Y503" s="456"/>
      <c r="Z503" s="456"/>
      <c r="AA503" s="456"/>
      <c r="AB503" s="456"/>
      <c r="AC503" s="456"/>
      <c r="AD503" s="456"/>
      <c r="AE503" s="456"/>
      <c r="AF503" s="456"/>
      <c r="AG503" s="456"/>
      <c r="AH503" s="456"/>
      <c r="AI503" s="456"/>
      <c r="AJ503" s="456"/>
    </row>
    <row r="504" spans="1:38" x14ac:dyDescent="0.4">
      <c r="A504" s="1361" t="s">
        <v>1181</v>
      </c>
      <c r="B504" s="1182"/>
      <c r="C504" s="456"/>
      <c r="D504" s="456"/>
      <c r="E504" s="456"/>
      <c r="F504" s="456"/>
      <c r="G504" s="456"/>
      <c r="H504" s="456"/>
      <c r="I504" s="456"/>
      <c r="J504" s="456"/>
      <c r="K504" s="456"/>
      <c r="L504" s="456"/>
      <c r="M504" s="456"/>
      <c r="N504" s="456"/>
      <c r="O504" s="456"/>
      <c r="P504" s="456"/>
      <c r="Q504" s="456"/>
      <c r="R504" s="456"/>
      <c r="S504" s="456"/>
      <c r="T504" s="456"/>
      <c r="U504" s="456"/>
      <c r="V504" s="456"/>
      <c r="W504" s="456"/>
      <c r="X504" s="456"/>
      <c r="Y504" s="456"/>
      <c r="Z504" s="456"/>
      <c r="AA504" s="456"/>
      <c r="AB504" s="456"/>
      <c r="AC504" s="456"/>
      <c r="AD504" s="456"/>
      <c r="AE504" s="456"/>
      <c r="AF504" s="456"/>
      <c r="AG504" s="456"/>
      <c r="AH504" s="456"/>
      <c r="AI504" s="456"/>
      <c r="AJ504" s="456"/>
    </row>
    <row r="505" spans="1:38" x14ac:dyDescent="0.4">
      <c r="A505" s="264"/>
      <c r="B505" s="264"/>
      <c r="C505" s="264"/>
      <c r="D505" s="264"/>
      <c r="E505" s="264"/>
      <c r="F505" s="264"/>
      <c r="G505" s="264"/>
      <c r="H505" s="264"/>
      <c r="I505" s="264"/>
      <c r="J505" s="264"/>
      <c r="K505" s="264"/>
      <c r="L505" s="264"/>
      <c r="M505" s="264"/>
      <c r="N505" s="264"/>
      <c r="O505" s="264"/>
      <c r="P505" s="264"/>
      <c r="Q505" s="264"/>
      <c r="R505" s="264"/>
      <c r="S505" s="264"/>
      <c r="T505" s="264"/>
      <c r="U505" s="264"/>
      <c r="V505" s="264"/>
      <c r="W505" s="264"/>
      <c r="X505" s="264"/>
      <c r="Y505" s="264"/>
      <c r="Z505" s="264"/>
      <c r="AA505" s="264"/>
      <c r="AB505" s="264"/>
      <c r="AC505" s="264"/>
      <c r="AD505" s="264"/>
      <c r="AE505" s="264"/>
      <c r="AF505" s="264"/>
      <c r="AG505" s="264"/>
      <c r="AH505" s="264"/>
      <c r="AI505" s="28"/>
      <c r="AJ505" s="28"/>
    </row>
    <row r="506" spans="1:38" ht="17" x14ac:dyDescent="0.45">
      <c r="A506" s="90" t="s">
        <v>1478</v>
      </c>
      <c r="B506" s="499" t="s">
        <v>1579</v>
      </c>
      <c r="C506" s="655"/>
      <c r="D506" s="676"/>
      <c r="E506" s="677"/>
      <c r="F506" s="676"/>
      <c r="G506" s="499"/>
      <c r="H506" s="499"/>
      <c r="I506" s="499"/>
      <c r="J506" s="499"/>
    </row>
    <row r="507" spans="1:38" s="28" customFormat="1" x14ac:dyDescent="0.4">
      <c r="A507" s="108" t="s">
        <v>536</v>
      </c>
      <c r="B507" s="1198" t="s">
        <v>136</v>
      </c>
      <c r="C507" s="1125" t="s">
        <v>391</v>
      </c>
      <c r="D507" s="1125" t="s">
        <v>392</v>
      </c>
      <c r="E507" s="1125" t="s">
        <v>393</v>
      </c>
      <c r="F507" s="1125" t="s">
        <v>394</v>
      </c>
      <c r="G507" s="1125" t="s">
        <v>395</v>
      </c>
      <c r="H507" s="1125" t="s">
        <v>396</v>
      </c>
      <c r="I507" s="1125" t="s">
        <v>397</v>
      </c>
      <c r="J507" s="1125" t="s">
        <v>398</v>
      </c>
      <c r="K507" s="1125" t="s">
        <v>399</v>
      </c>
      <c r="L507" s="1125" t="s">
        <v>400</v>
      </c>
      <c r="M507" s="1125" t="s">
        <v>401</v>
      </c>
      <c r="N507" s="1125" t="s">
        <v>402</v>
      </c>
      <c r="O507" s="1125" t="s">
        <v>403</v>
      </c>
      <c r="P507" s="1125" t="s">
        <v>404</v>
      </c>
      <c r="Q507" s="1125" t="s">
        <v>405</v>
      </c>
      <c r="R507" s="1125" t="s">
        <v>406</v>
      </c>
      <c r="S507" s="1125" t="s">
        <v>407</v>
      </c>
      <c r="T507" s="1125" t="s">
        <v>408</v>
      </c>
      <c r="U507" s="1125" t="s">
        <v>409</v>
      </c>
      <c r="V507" s="1125" t="s">
        <v>410</v>
      </c>
      <c r="W507" s="1125" t="s">
        <v>411</v>
      </c>
      <c r="X507" s="1125" t="s">
        <v>412</v>
      </c>
      <c r="Y507" s="1125" t="s">
        <v>413</v>
      </c>
      <c r="Z507" s="1125" t="s">
        <v>414</v>
      </c>
      <c r="AA507" s="1125" t="s">
        <v>415</v>
      </c>
      <c r="AB507" s="1125" t="s">
        <v>416</v>
      </c>
      <c r="AC507" s="1125" t="s">
        <v>417</v>
      </c>
      <c r="AD507" s="1125" t="s">
        <v>418</v>
      </c>
      <c r="AE507" s="1125" t="s">
        <v>419</v>
      </c>
      <c r="AF507" s="1125" t="s">
        <v>420</v>
      </c>
      <c r="AG507" s="1126" t="s">
        <v>421</v>
      </c>
      <c r="AH507" s="1125" t="s">
        <v>422</v>
      </c>
      <c r="AI507" s="1126" t="s">
        <v>423</v>
      </c>
      <c r="AJ507" s="1125" t="s">
        <v>424</v>
      </c>
      <c r="AK507" s="3"/>
      <c r="AL507" s="3"/>
    </row>
    <row r="508" spans="1:38" s="264" customFormat="1" x14ac:dyDescent="0.4">
      <c r="A508" s="546" t="s">
        <v>59</v>
      </c>
      <c r="B508" s="547" t="s">
        <v>161</v>
      </c>
      <c r="C508" s="526" t="s">
        <v>167</v>
      </c>
      <c r="D508" s="526" t="s">
        <v>167</v>
      </c>
      <c r="E508" s="526" t="s">
        <v>167</v>
      </c>
      <c r="F508" s="526" t="s">
        <v>167</v>
      </c>
      <c r="G508" s="526" t="s">
        <v>167</v>
      </c>
      <c r="H508" s="526" t="s">
        <v>167</v>
      </c>
      <c r="I508" s="526" t="s">
        <v>167</v>
      </c>
      <c r="J508" s="526" t="s">
        <v>167</v>
      </c>
      <c r="K508" s="526" t="s">
        <v>167</v>
      </c>
      <c r="L508" s="526" t="s">
        <v>167</v>
      </c>
      <c r="M508" s="526" t="s">
        <v>167</v>
      </c>
      <c r="N508" s="526" t="s">
        <v>167</v>
      </c>
      <c r="O508" s="526" t="s">
        <v>167</v>
      </c>
      <c r="P508" s="526" t="s">
        <v>167</v>
      </c>
      <c r="Q508" s="526" t="s">
        <v>167</v>
      </c>
      <c r="R508" s="526" t="s">
        <v>167</v>
      </c>
      <c r="S508" s="526" t="s">
        <v>167</v>
      </c>
      <c r="T508" s="526" t="s">
        <v>167</v>
      </c>
      <c r="U508" s="526" t="s">
        <v>167</v>
      </c>
      <c r="V508" s="526" t="s">
        <v>167</v>
      </c>
      <c r="W508" s="526" t="s">
        <v>167</v>
      </c>
      <c r="X508" s="526" t="s">
        <v>167</v>
      </c>
      <c r="Y508" s="526" t="s">
        <v>167</v>
      </c>
      <c r="Z508" s="526" t="s">
        <v>167</v>
      </c>
      <c r="AA508" s="526" t="s">
        <v>167</v>
      </c>
      <c r="AB508" s="526" t="s">
        <v>167</v>
      </c>
      <c r="AC508" s="526" t="s">
        <v>167</v>
      </c>
      <c r="AD508" s="526" t="s">
        <v>167</v>
      </c>
      <c r="AE508" s="526" t="s">
        <v>167</v>
      </c>
      <c r="AF508" s="526" t="s">
        <v>167</v>
      </c>
      <c r="AG508" s="526" t="s">
        <v>167</v>
      </c>
      <c r="AH508" s="259" t="s">
        <v>167</v>
      </c>
      <c r="AI508" s="259" t="s">
        <v>167</v>
      </c>
      <c r="AJ508" s="259" t="s">
        <v>167</v>
      </c>
      <c r="AK508" s="3"/>
      <c r="AL508" s="3"/>
    </row>
    <row r="509" spans="1:38" s="264" customFormat="1" x14ac:dyDescent="0.4">
      <c r="A509" s="546" t="s">
        <v>156</v>
      </c>
      <c r="B509" s="546" t="s">
        <v>162</v>
      </c>
      <c r="C509" s="560">
        <v>3.3000000000000002E-2</v>
      </c>
      <c r="D509" s="560">
        <v>3.2999999999999995E-2</v>
      </c>
      <c r="E509" s="560">
        <v>3.3000000000000002E-2</v>
      </c>
      <c r="F509" s="560">
        <v>3.3000000000000002E-2</v>
      </c>
      <c r="G509" s="560">
        <v>3.2999999999999995E-2</v>
      </c>
      <c r="H509" s="560">
        <v>3.3000000000000008E-2</v>
      </c>
      <c r="I509" s="560">
        <v>3.3000000000000002E-2</v>
      </c>
      <c r="J509" s="560">
        <v>3.3000000000000002E-2</v>
      </c>
      <c r="K509" s="560">
        <v>3.2999999999999995E-2</v>
      </c>
      <c r="L509" s="560">
        <v>3.3000000000000002E-2</v>
      </c>
      <c r="M509" s="560">
        <v>3.3000000000000002E-2</v>
      </c>
      <c r="N509" s="560">
        <v>3.3000000000000002E-2</v>
      </c>
      <c r="O509" s="560">
        <v>3.3000000000000002E-2</v>
      </c>
      <c r="P509" s="560">
        <v>3.3000000000000008E-2</v>
      </c>
      <c r="Q509" s="560">
        <v>3.3000000000000002E-2</v>
      </c>
      <c r="R509" s="560">
        <v>3.3000000000000002E-2</v>
      </c>
      <c r="S509" s="560">
        <v>3.3000000000000002E-2</v>
      </c>
      <c r="T509" s="560">
        <v>3.3000000000000002E-2</v>
      </c>
      <c r="U509" s="560">
        <v>3.3000000000000002E-2</v>
      </c>
      <c r="V509" s="560">
        <v>3.3000000000000008E-2</v>
      </c>
      <c r="W509" s="560">
        <v>3.3000000000000008E-2</v>
      </c>
      <c r="X509" s="560">
        <v>3.3000000000000002E-2</v>
      </c>
      <c r="Y509" s="560">
        <v>3.3000000000000002E-2</v>
      </c>
      <c r="Z509" s="560">
        <v>3.3000000000000002E-2</v>
      </c>
      <c r="AA509" s="560">
        <v>3.2999999999999995E-2</v>
      </c>
      <c r="AB509" s="560">
        <v>3.3000000000000002E-2</v>
      </c>
      <c r="AC509" s="560">
        <v>3.3000000000000008E-2</v>
      </c>
      <c r="AD509" s="560">
        <v>3.3000000000000002E-2</v>
      </c>
      <c r="AE509" s="560">
        <v>3.3000000000000002E-2</v>
      </c>
      <c r="AF509" s="560">
        <v>3.3000000000000002E-2</v>
      </c>
      <c r="AG509" s="560">
        <v>3.3000000000000002E-2</v>
      </c>
      <c r="AH509" s="561">
        <v>3.3000000000000002E-2</v>
      </c>
      <c r="AI509" s="561">
        <v>3.3000000000000002E-2</v>
      </c>
      <c r="AJ509" s="561">
        <v>3.3000000000000002E-2</v>
      </c>
      <c r="AK509" s="3"/>
      <c r="AL509" s="3"/>
    </row>
    <row r="510" spans="1:38" s="264" customFormat="1" x14ac:dyDescent="0.4">
      <c r="A510" s="546" t="s">
        <v>163</v>
      </c>
      <c r="B510" s="546" t="s">
        <v>164</v>
      </c>
      <c r="C510" s="560">
        <v>93.442859691298793</v>
      </c>
      <c r="D510" s="560">
        <v>93.44285969129875</v>
      </c>
      <c r="E510" s="560">
        <v>93.442859691298764</v>
      </c>
      <c r="F510" s="560">
        <v>93.442859691298764</v>
      </c>
      <c r="G510" s="560">
        <v>93.442859691298764</v>
      </c>
      <c r="H510" s="560">
        <v>93.442859691298779</v>
      </c>
      <c r="I510" s="560">
        <v>93.442859691298793</v>
      </c>
      <c r="J510" s="560">
        <v>93.442859691298779</v>
      </c>
      <c r="K510" s="560">
        <v>93.442859691298779</v>
      </c>
      <c r="L510" s="560">
        <v>93.442859691298793</v>
      </c>
      <c r="M510" s="560">
        <v>93.442859691298764</v>
      </c>
      <c r="N510" s="560">
        <v>93.442859691298764</v>
      </c>
      <c r="O510" s="560">
        <v>93.442859691298764</v>
      </c>
      <c r="P510" s="560">
        <v>93.442859691298779</v>
      </c>
      <c r="Q510" s="560">
        <v>93.442859691298764</v>
      </c>
      <c r="R510" s="560">
        <v>93.442859691298764</v>
      </c>
      <c r="S510" s="560">
        <v>93.442859691298764</v>
      </c>
      <c r="T510" s="560">
        <v>93.442859691298764</v>
      </c>
      <c r="U510" s="560">
        <v>93.442859691298779</v>
      </c>
      <c r="V510" s="560">
        <v>93.442859691298764</v>
      </c>
      <c r="W510" s="560">
        <v>93.442859691298764</v>
      </c>
      <c r="X510" s="560">
        <v>93.442859691298764</v>
      </c>
      <c r="Y510" s="560">
        <v>93.442859691298764</v>
      </c>
      <c r="Z510" s="560">
        <v>93.442859691298764</v>
      </c>
      <c r="AA510" s="560">
        <v>93.442859691298764</v>
      </c>
      <c r="AB510" s="560">
        <v>93.442859691298779</v>
      </c>
      <c r="AC510" s="560">
        <v>93.44285969129875</v>
      </c>
      <c r="AD510" s="560">
        <v>93.442859691298779</v>
      </c>
      <c r="AE510" s="560">
        <v>93.442859691298779</v>
      </c>
      <c r="AF510" s="560">
        <v>93.442859691298764</v>
      </c>
      <c r="AG510" s="560">
        <v>93.442859691298764</v>
      </c>
      <c r="AH510" s="561">
        <v>93.442859691298779</v>
      </c>
      <c r="AI510" s="561">
        <v>93.442859691298764</v>
      </c>
      <c r="AJ510" s="561">
        <v>93.442859691298764</v>
      </c>
      <c r="AK510" s="3"/>
      <c r="AL510" s="3"/>
    </row>
    <row r="511" spans="1:38" x14ac:dyDescent="0.4">
      <c r="A511" s="564" t="s">
        <v>165</v>
      </c>
      <c r="B511" s="564" t="s">
        <v>166</v>
      </c>
      <c r="C511" s="668">
        <v>2.3E-3</v>
      </c>
      <c r="D511" s="668">
        <v>2.2999999999999995E-3</v>
      </c>
      <c r="E511" s="668">
        <v>2.3E-3</v>
      </c>
      <c r="F511" s="668">
        <v>2.2999999999999995E-3</v>
      </c>
      <c r="G511" s="668">
        <v>2.2999999999999995E-3</v>
      </c>
      <c r="H511" s="668">
        <v>2.3E-3</v>
      </c>
      <c r="I511" s="668">
        <v>2.2999999999999995E-3</v>
      </c>
      <c r="J511" s="668">
        <v>2.3000000000000004E-3</v>
      </c>
      <c r="K511" s="668">
        <v>2.3E-3</v>
      </c>
      <c r="L511" s="668">
        <v>2.3E-3</v>
      </c>
      <c r="M511" s="668">
        <v>2.3E-3</v>
      </c>
      <c r="N511" s="668">
        <v>2.2999999999999995E-3</v>
      </c>
      <c r="O511" s="668">
        <v>2.3E-3</v>
      </c>
      <c r="P511" s="668">
        <v>2.3E-3</v>
      </c>
      <c r="Q511" s="668">
        <v>2.3E-3</v>
      </c>
      <c r="R511" s="668">
        <v>2.3000000000000004E-3</v>
      </c>
      <c r="S511" s="668">
        <v>2.3E-3</v>
      </c>
      <c r="T511" s="668">
        <v>2.3E-3</v>
      </c>
      <c r="U511" s="668">
        <v>2.3E-3</v>
      </c>
      <c r="V511" s="668">
        <v>2.3E-3</v>
      </c>
      <c r="W511" s="668">
        <v>2.3E-3</v>
      </c>
      <c r="X511" s="668">
        <v>2.3E-3</v>
      </c>
      <c r="Y511" s="668">
        <v>2.2999999999999995E-3</v>
      </c>
      <c r="Z511" s="668">
        <v>2.3E-3</v>
      </c>
      <c r="AA511" s="668">
        <v>2.3E-3</v>
      </c>
      <c r="AB511" s="668">
        <v>2.3E-3</v>
      </c>
      <c r="AC511" s="668">
        <v>2.3000000000000004E-3</v>
      </c>
      <c r="AD511" s="668">
        <v>2.3E-3</v>
      </c>
      <c r="AE511" s="668">
        <v>2.3E-3</v>
      </c>
      <c r="AF511" s="668">
        <v>2.3E-3</v>
      </c>
      <c r="AG511" s="668">
        <v>2.3E-3</v>
      </c>
      <c r="AH511" s="669">
        <v>2.3E-3</v>
      </c>
      <c r="AI511" s="669">
        <v>2.3E-3</v>
      </c>
      <c r="AJ511" s="669">
        <v>2.3E-3</v>
      </c>
    </row>
    <row r="512" spans="1:38" x14ac:dyDescent="0.4">
      <c r="A512" s="1188" t="s">
        <v>1063</v>
      </c>
      <c r="B512" s="1191"/>
      <c r="C512" s="1191"/>
      <c r="D512" s="1191"/>
      <c r="E512" s="1191"/>
      <c r="F512" s="1191"/>
      <c r="G512" s="1191"/>
      <c r="H512" s="1191"/>
      <c r="I512" s="1191"/>
      <c r="J512" s="1191"/>
      <c r="K512" s="1191"/>
      <c r="L512" s="1191"/>
      <c r="M512" s="1191"/>
      <c r="N512" s="1191"/>
      <c r="O512" s="1191"/>
      <c r="P512" s="1191"/>
      <c r="Q512" s="1191"/>
      <c r="R512" s="1191"/>
      <c r="S512" s="1191"/>
      <c r="T512" s="1191"/>
      <c r="U512" s="1191"/>
      <c r="V512" s="1191"/>
      <c r="W512" s="1191"/>
      <c r="X512" s="1191"/>
      <c r="Y512" s="1191"/>
      <c r="Z512" s="1191"/>
      <c r="AA512" s="1191"/>
      <c r="AB512" s="1191"/>
      <c r="AC512" s="1191"/>
      <c r="AD512" s="1191"/>
      <c r="AE512" s="1191"/>
      <c r="AF512" s="1191"/>
      <c r="AG512" s="1191"/>
      <c r="AH512" s="1191"/>
      <c r="AI512" s="1191"/>
      <c r="AJ512" s="1191"/>
    </row>
    <row r="513" spans="1:38" x14ac:dyDescent="0.4">
      <c r="A513" s="581"/>
      <c r="B513" s="89"/>
      <c r="C513" s="89"/>
      <c r="D513" s="89"/>
      <c r="E513" s="89"/>
      <c r="F513" s="89"/>
      <c r="G513" s="89"/>
      <c r="H513" s="89"/>
      <c r="I513" s="89"/>
      <c r="J513" s="89"/>
      <c r="K513" s="89"/>
      <c r="L513" s="89"/>
      <c r="M513" s="89"/>
      <c r="N513" s="89"/>
      <c r="O513" s="89"/>
      <c r="P513" s="89"/>
      <c r="Q513" s="89"/>
      <c r="R513" s="89"/>
      <c r="S513" s="89"/>
      <c r="T513" s="89"/>
      <c r="U513" s="89"/>
      <c r="V513" s="89"/>
      <c r="W513" s="89"/>
      <c r="X513" s="89"/>
      <c r="Y513" s="89"/>
      <c r="Z513" s="89"/>
      <c r="AA513" s="89"/>
      <c r="AB513" s="89"/>
      <c r="AC513" s="89"/>
      <c r="AD513" s="89"/>
      <c r="AE513" s="89"/>
      <c r="AF513" s="89"/>
      <c r="AG513" s="89"/>
      <c r="AH513" s="89"/>
      <c r="AI513" s="89"/>
      <c r="AJ513" s="89"/>
    </row>
    <row r="514" spans="1:38" ht="17" x14ac:dyDescent="0.4">
      <c r="A514" s="1411" t="s">
        <v>1479</v>
      </c>
      <c r="B514" s="89"/>
      <c r="C514" s="89"/>
      <c r="D514" s="89"/>
      <c r="E514" s="89"/>
      <c r="F514" s="89"/>
      <c r="G514" s="89"/>
      <c r="H514" s="89"/>
      <c r="I514" s="89"/>
      <c r="J514" s="89"/>
      <c r="K514" s="89"/>
      <c r="L514" s="89"/>
      <c r="M514" s="89"/>
      <c r="N514" s="89"/>
      <c r="O514" s="89"/>
      <c r="P514" s="89"/>
      <c r="Q514" s="89"/>
      <c r="R514" s="89"/>
      <c r="S514" s="89"/>
      <c r="T514" s="89"/>
      <c r="U514" s="89"/>
      <c r="V514" s="89"/>
      <c r="W514" s="89"/>
      <c r="X514" s="89"/>
      <c r="Y514" s="89"/>
      <c r="Z514" s="89"/>
      <c r="AA514" s="89"/>
      <c r="AB514" s="89"/>
      <c r="AC514" s="89"/>
      <c r="AD514" s="89"/>
      <c r="AE514" s="89"/>
      <c r="AF514" s="89"/>
      <c r="AG514" s="89"/>
      <c r="AH514" s="89"/>
      <c r="AI514" s="89"/>
      <c r="AJ514" s="89"/>
    </row>
    <row r="515" spans="1:38" x14ac:dyDescent="0.4">
      <c r="A515" s="581"/>
      <c r="B515" s="89"/>
      <c r="C515" s="89"/>
      <c r="D515" s="89"/>
      <c r="E515" s="89"/>
      <c r="F515" s="89"/>
      <c r="G515" s="89"/>
      <c r="H515" s="89"/>
      <c r="I515" s="89"/>
      <c r="J515" s="89"/>
      <c r="K515" s="89"/>
      <c r="L515" s="89"/>
      <c r="M515" s="89"/>
      <c r="N515" s="89"/>
      <c r="O515" s="89"/>
      <c r="P515" s="89"/>
      <c r="Q515" s="89"/>
      <c r="R515" s="89"/>
      <c r="S515" s="89"/>
      <c r="T515" s="89"/>
      <c r="U515" s="89"/>
      <c r="V515" s="89"/>
      <c r="W515" s="89"/>
      <c r="X515" s="89"/>
      <c r="Y515" s="89"/>
      <c r="Z515" s="89"/>
      <c r="AA515" s="89"/>
      <c r="AB515" s="89"/>
      <c r="AC515" s="89"/>
      <c r="AD515" s="89"/>
      <c r="AE515" s="89"/>
      <c r="AF515" s="89"/>
      <c r="AG515" s="89"/>
      <c r="AH515" s="89"/>
      <c r="AI515" s="89"/>
      <c r="AJ515" s="89"/>
    </row>
    <row r="516" spans="1:38" ht="17" x14ac:dyDescent="0.45">
      <c r="A516" s="90" t="s">
        <v>1480</v>
      </c>
      <c r="B516" s="653" t="s">
        <v>1569</v>
      </c>
      <c r="C516" s="653"/>
      <c r="D516" s="653"/>
      <c r="E516" s="653"/>
      <c r="G516" s="670"/>
      <c r="H516" s="670"/>
      <c r="I516" s="670"/>
      <c r="J516" s="670"/>
      <c r="K516" s="670"/>
      <c r="L516" s="670"/>
      <c r="M516" s="670"/>
      <c r="N516" s="670"/>
      <c r="O516" s="670"/>
      <c r="P516" s="670"/>
      <c r="Q516" s="670"/>
      <c r="R516" s="670"/>
      <c r="S516" s="670"/>
      <c r="T516" s="670"/>
      <c r="U516" s="670"/>
      <c r="V516" s="670"/>
      <c r="W516" s="670"/>
      <c r="X516" s="670"/>
      <c r="Y516" s="670"/>
      <c r="Z516" s="670"/>
      <c r="AA516" s="670"/>
      <c r="AB516" s="670"/>
      <c r="AC516" s="670"/>
      <c r="AD516" s="670"/>
      <c r="AE516" s="671"/>
      <c r="AF516" s="671"/>
      <c r="AG516" s="670"/>
      <c r="AH516" s="672"/>
      <c r="AI516" s="672"/>
      <c r="AJ516" s="672"/>
    </row>
    <row r="517" spans="1:38" s="28" customFormat="1" x14ac:dyDescent="0.4">
      <c r="A517" s="108" t="s">
        <v>536</v>
      </c>
      <c r="B517" s="1198" t="s">
        <v>136</v>
      </c>
      <c r="C517" s="1125" t="s">
        <v>391</v>
      </c>
      <c r="D517" s="1125" t="s">
        <v>392</v>
      </c>
      <c r="E517" s="1125" t="s">
        <v>393</v>
      </c>
      <c r="F517" s="1125" t="s">
        <v>394</v>
      </c>
      <c r="G517" s="1125" t="s">
        <v>395</v>
      </c>
      <c r="H517" s="1125" t="s">
        <v>396</v>
      </c>
      <c r="I517" s="1125" t="s">
        <v>397</v>
      </c>
      <c r="J517" s="1125" t="s">
        <v>398</v>
      </c>
      <c r="K517" s="1125" t="s">
        <v>399</v>
      </c>
      <c r="L517" s="1125" t="s">
        <v>400</v>
      </c>
      <c r="M517" s="1125" t="s">
        <v>401</v>
      </c>
      <c r="N517" s="1125" t="s">
        <v>402</v>
      </c>
      <c r="O517" s="1125" t="s">
        <v>403</v>
      </c>
      <c r="P517" s="1125" t="s">
        <v>404</v>
      </c>
      <c r="Q517" s="1125" t="s">
        <v>405</v>
      </c>
      <c r="R517" s="1125" t="s">
        <v>406</v>
      </c>
      <c r="S517" s="1125" t="s">
        <v>407</v>
      </c>
      <c r="T517" s="1125" t="s">
        <v>408</v>
      </c>
      <c r="U517" s="1125" t="s">
        <v>409</v>
      </c>
      <c r="V517" s="1125" t="s">
        <v>410</v>
      </c>
      <c r="W517" s="1125" t="s">
        <v>411</v>
      </c>
      <c r="X517" s="1125" t="s">
        <v>412</v>
      </c>
      <c r="Y517" s="1125" t="s">
        <v>413</v>
      </c>
      <c r="Z517" s="1125" t="s">
        <v>414</v>
      </c>
      <c r="AA517" s="1125" t="s">
        <v>415</v>
      </c>
      <c r="AB517" s="1125" t="s">
        <v>416</v>
      </c>
      <c r="AC517" s="1125" t="s">
        <v>417</v>
      </c>
      <c r="AD517" s="1125" t="s">
        <v>418</v>
      </c>
      <c r="AE517" s="1125" t="s">
        <v>419</v>
      </c>
      <c r="AF517" s="1125" t="s">
        <v>420</v>
      </c>
      <c r="AG517" s="1126" t="s">
        <v>421</v>
      </c>
      <c r="AH517" s="1125" t="s">
        <v>422</v>
      </c>
      <c r="AI517" s="1126" t="s">
        <v>423</v>
      </c>
      <c r="AJ517" s="1125" t="s">
        <v>424</v>
      </c>
      <c r="AK517" s="3"/>
      <c r="AL517" s="3"/>
    </row>
    <row r="518" spans="1:38" x14ac:dyDescent="0.4">
      <c r="A518" s="547" t="s">
        <v>59</v>
      </c>
      <c r="B518" s="547" t="s">
        <v>1283</v>
      </c>
      <c r="C518" s="548" t="str">
        <f t="shared" ref="C518:AJ518" si="160">C508</f>
        <v>NA</v>
      </c>
      <c r="D518" s="548" t="str">
        <f t="shared" si="160"/>
        <v>NA</v>
      </c>
      <c r="E518" s="548" t="str">
        <f t="shared" si="160"/>
        <v>NA</v>
      </c>
      <c r="F518" s="548" t="str">
        <f t="shared" si="160"/>
        <v>NA</v>
      </c>
      <c r="G518" s="548" t="str">
        <f t="shared" si="160"/>
        <v>NA</v>
      </c>
      <c r="H518" s="548" t="str">
        <f t="shared" si="160"/>
        <v>NA</v>
      </c>
      <c r="I518" s="548" t="str">
        <f t="shared" si="160"/>
        <v>NA</v>
      </c>
      <c r="J518" s="548" t="str">
        <f t="shared" si="160"/>
        <v>NA</v>
      </c>
      <c r="K518" s="548" t="str">
        <f t="shared" si="160"/>
        <v>NA</v>
      </c>
      <c r="L518" s="548" t="str">
        <f t="shared" si="160"/>
        <v>NA</v>
      </c>
      <c r="M518" s="548" t="str">
        <f t="shared" si="160"/>
        <v>NA</v>
      </c>
      <c r="N518" s="548" t="str">
        <f t="shared" si="160"/>
        <v>NA</v>
      </c>
      <c r="O518" s="548" t="str">
        <f t="shared" si="160"/>
        <v>NA</v>
      </c>
      <c r="P518" s="548" t="str">
        <f t="shared" si="160"/>
        <v>NA</v>
      </c>
      <c r="Q518" s="548" t="str">
        <f t="shared" si="160"/>
        <v>NA</v>
      </c>
      <c r="R518" s="548" t="str">
        <f t="shared" si="160"/>
        <v>NA</v>
      </c>
      <c r="S518" s="548" t="str">
        <f t="shared" si="160"/>
        <v>NA</v>
      </c>
      <c r="T518" s="548" t="str">
        <f t="shared" si="160"/>
        <v>NA</v>
      </c>
      <c r="U518" s="548" t="str">
        <f t="shared" si="160"/>
        <v>NA</v>
      </c>
      <c r="V518" s="548" t="str">
        <f t="shared" si="160"/>
        <v>NA</v>
      </c>
      <c r="W518" s="548" t="str">
        <f t="shared" si="160"/>
        <v>NA</v>
      </c>
      <c r="X518" s="548" t="str">
        <f t="shared" si="160"/>
        <v>NA</v>
      </c>
      <c r="Y518" s="548" t="str">
        <f t="shared" si="160"/>
        <v>NA</v>
      </c>
      <c r="Z518" s="548" t="str">
        <f t="shared" si="160"/>
        <v>NA</v>
      </c>
      <c r="AA518" s="548" t="str">
        <f t="shared" si="160"/>
        <v>NA</v>
      </c>
      <c r="AB518" s="548" t="str">
        <f t="shared" si="160"/>
        <v>NA</v>
      </c>
      <c r="AC518" s="548" t="str">
        <f t="shared" si="160"/>
        <v>NA</v>
      </c>
      <c r="AD518" s="548" t="str">
        <f t="shared" si="160"/>
        <v>NA</v>
      </c>
      <c r="AE518" s="548" t="str">
        <f t="shared" si="160"/>
        <v>NA</v>
      </c>
      <c r="AF518" s="548" t="str">
        <f t="shared" si="160"/>
        <v>NA</v>
      </c>
      <c r="AG518" s="548" t="str">
        <f t="shared" si="160"/>
        <v>NA</v>
      </c>
      <c r="AH518" s="548" t="str">
        <f t="shared" si="160"/>
        <v>NA</v>
      </c>
      <c r="AI518" s="550" t="str">
        <f t="shared" si="160"/>
        <v>NA</v>
      </c>
      <c r="AJ518" s="550" t="str">
        <f t="shared" si="160"/>
        <v>NA</v>
      </c>
    </row>
    <row r="519" spans="1:38" x14ac:dyDescent="0.4">
      <c r="A519" s="546" t="s">
        <v>156</v>
      </c>
      <c r="B519" s="546" t="s">
        <v>1284</v>
      </c>
      <c r="C519" s="562">
        <f t="shared" ref="C519:AJ519" si="161">$B$541*C509</f>
        <v>3.3000000000000003E-5</v>
      </c>
      <c r="D519" s="562">
        <f t="shared" si="161"/>
        <v>3.2999999999999996E-5</v>
      </c>
      <c r="E519" s="562">
        <f t="shared" si="161"/>
        <v>3.3000000000000003E-5</v>
      </c>
      <c r="F519" s="562">
        <f t="shared" si="161"/>
        <v>3.3000000000000003E-5</v>
      </c>
      <c r="G519" s="562">
        <f t="shared" si="161"/>
        <v>3.2999999999999996E-5</v>
      </c>
      <c r="H519" s="562">
        <f t="shared" si="161"/>
        <v>3.3000000000000009E-5</v>
      </c>
      <c r="I519" s="562">
        <f t="shared" si="161"/>
        <v>3.3000000000000003E-5</v>
      </c>
      <c r="J519" s="562">
        <f t="shared" si="161"/>
        <v>3.3000000000000003E-5</v>
      </c>
      <c r="K519" s="562">
        <f t="shared" si="161"/>
        <v>3.2999999999999996E-5</v>
      </c>
      <c r="L519" s="562">
        <f t="shared" si="161"/>
        <v>3.3000000000000003E-5</v>
      </c>
      <c r="M519" s="562">
        <f t="shared" si="161"/>
        <v>3.3000000000000003E-5</v>
      </c>
      <c r="N519" s="562">
        <f t="shared" si="161"/>
        <v>3.3000000000000003E-5</v>
      </c>
      <c r="O519" s="562">
        <f t="shared" si="161"/>
        <v>3.3000000000000003E-5</v>
      </c>
      <c r="P519" s="562">
        <f t="shared" si="161"/>
        <v>3.3000000000000009E-5</v>
      </c>
      <c r="Q519" s="562">
        <f t="shared" si="161"/>
        <v>3.3000000000000003E-5</v>
      </c>
      <c r="R519" s="562">
        <f t="shared" si="161"/>
        <v>3.3000000000000003E-5</v>
      </c>
      <c r="S519" s="562">
        <f t="shared" si="161"/>
        <v>3.3000000000000003E-5</v>
      </c>
      <c r="T519" s="562">
        <f t="shared" si="161"/>
        <v>3.3000000000000003E-5</v>
      </c>
      <c r="U519" s="562">
        <f t="shared" si="161"/>
        <v>3.3000000000000003E-5</v>
      </c>
      <c r="V519" s="562">
        <f t="shared" si="161"/>
        <v>3.3000000000000009E-5</v>
      </c>
      <c r="W519" s="562">
        <f t="shared" si="161"/>
        <v>3.3000000000000009E-5</v>
      </c>
      <c r="X519" s="562">
        <f t="shared" si="161"/>
        <v>3.3000000000000003E-5</v>
      </c>
      <c r="Y519" s="562">
        <f t="shared" si="161"/>
        <v>3.3000000000000003E-5</v>
      </c>
      <c r="Z519" s="562">
        <f t="shared" si="161"/>
        <v>3.3000000000000003E-5</v>
      </c>
      <c r="AA519" s="562">
        <f t="shared" si="161"/>
        <v>3.2999999999999996E-5</v>
      </c>
      <c r="AB519" s="562">
        <f t="shared" si="161"/>
        <v>3.3000000000000003E-5</v>
      </c>
      <c r="AC519" s="562">
        <f t="shared" si="161"/>
        <v>3.3000000000000009E-5</v>
      </c>
      <c r="AD519" s="562">
        <f t="shared" si="161"/>
        <v>3.3000000000000003E-5</v>
      </c>
      <c r="AE519" s="562">
        <f t="shared" si="161"/>
        <v>3.3000000000000003E-5</v>
      </c>
      <c r="AF519" s="562">
        <f t="shared" si="161"/>
        <v>3.3000000000000003E-5</v>
      </c>
      <c r="AG519" s="562">
        <f t="shared" si="161"/>
        <v>3.3000000000000003E-5</v>
      </c>
      <c r="AH519" s="563">
        <f t="shared" si="161"/>
        <v>3.3000000000000003E-5</v>
      </c>
      <c r="AI519" s="563">
        <f t="shared" si="161"/>
        <v>3.3000000000000003E-5</v>
      </c>
      <c r="AJ519" s="563">
        <f t="shared" si="161"/>
        <v>3.3000000000000003E-5</v>
      </c>
    </row>
    <row r="520" spans="1:38" x14ac:dyDescent="0.4">
      <c r="A520" s="564" t="s">
        <v>163</v>
      </c>
      <c r="B520" s="564" t="s">
        <v>1285</v>
      </c>
      <c r="C520" s="560">
        <f t="shared" ref="C520:AJ520" si="162">$B$541*C510</f>
        <v>9.3442859691298799E-2</v>
      </c>
      <c r="D520" s="560">
        <f t="shared" si="162"/>
        <v>9.3442859691298757E-2</v>
      </c>
      <c r="E520" s="560">
        <f t="shared" si="162"/>
        <v>9.3442859691298771E-2</v>
      </c>
      <c r="F520" s="560">
        <f t="shared" si="162"/>
        <v>9.3442859691298771E-2</v>
      </c>
      <c r="G520" s="560">
        <f t="shared" si="162"/>
        <v>9.3442859691298771E-2</v>
      </c>
      <c r="H520" s="560">
        <f t="shared" si="162"/>
        <v>9.3442859691298785E-2</v>
      </c>
      <c r="I520" s="560">
        <f t="shared" si="162"/>
        <v>9.3442859691298799E-2</v>
      </c>
      <c r="J520" s="560">
        <f t="shared" si="162"/>
        <v>9.3442859691298785E-2</v>
      </c>
      <c r="K520" s="560">
        <f t="shared" si="162"/>
        <v>9.3442859691298785E-2</v>
      </c>
      <c r="L520" s="560">
        <f t="shared" si="162"/>
        <v>9.3442859691298799E-2</v>
      </c>
      <c r="M520" s="560">
        <f t="shared" si="162"/>
        <v>9.3442859691298771E-2</v>
      </c>
      <c r="N520" s="560">
        <f t="shared" si="162"/>
        <v>9.3442859691298771E-2</v>
      </c>
      <c r="O520" s="560">
        <f t="shared" si="162"/>
        <v>9.3442859691298771E-2</v>
      </c>
      <c r="P520" s="560">
        <f t="shared" si="162"/>
        <v>9.3442859691298785E-2</v>
      </c>
      <c r="Q520" s="560">
        <f t="shared" si="162"/>
        <v>9.3442859691298771E-2</v>
      </c>
      <c r="R520" s="560">
        <f t="shared" si="162"/>
        <v>9.3442859691298771E-2</v>
      </c>
      <c r="S520" s="560">
        <f t="shared" si="162"/>
        <v>9.3442859691298771E-2</v>
      </c>
      <c r="T520" s="560">
        <f t="shared" si="162"/>
        <v>9.3442859691298771E-2</v>
      </c>
      <c r="U520" s="560">
        <f t="shared" si="162"/>
        <v>9.3442859691298785E-2</v>
      </c>
      <c r="V520" s="560">
        <f t="shared" si="162"/>
        <v>9.3442859691298771E-2</v>
      </c>
      <c r="W520" s="560">
        <f t="shared" si="162"/>
        <v>9.3442859691298771E-2</v>
      </c>
      <c r="X520" s="560">
        <f t="shared" si="162"/>
        <v>9.3442859691298771E-2</v>
      </c>
      <c r="Y520" s="560">
        <f t="shared" si="162"/>
        <v>9.3442859691298771E-2</v>
      </c>
      <c r="Z520" s="560">
        <f t="shared" si="162"/>
        <v>9.3442859691298771E-2</v>
      </c>
      <c r="AA520" s="560">
        <f t="shared" si="162"/>
        <v>9.3442859691298771E-2</v>
      </c>
      <c r="AB520" s="560">
        <f t="shared" si="162"/>
        <v>9.3442859691298785E-2</v>
      </c>
      <c r="AC520" s="560">
        <f t="shared" si="162"/>
        <v>9.3442859691298757E-2</v>
      </c>
      <c r="AD520" s="560">
        <f t="shared" si="162"/>
        <v>9.3442859691298785E-2</v>
      </c>
      <c r="AE520" s="560">
        <f t="shared" si="162"/>
        <v>9.3442859691298785E-2</v>
      </c>
      <c r="AF520" s="560">
        <f t="shared" si="162"/>
        <v>9.3442859691298771E-2</v>
      </c>
      <c r="AG520" s="560">
        <f t="shared" si="162"/>
        <v>9.3442859691298771E-2</v>
      </c>
      <c r="AH520" s="561">
        <f t="shared" si="162"/>
        <v>9.3442859691298785E-2</v>
      </c>
      <c r="AI520" s="561">
        <f t="shared" si="162"/>
        <v>9.3442859691298771E-2</v>
      </c>
      <c r="AJ520" s="561">
        <f t="shared" si="162"/>
        <v>9.3442859691298771E-2</v>
      </c>
    </row>
    <row r="521" spans="1:38" x14ac:dyDescent="0.4">
      <c r="A521" s="564" t="s">
        <v>165</v>
      </c>
      <c r="B521" s="564" t="s">
        <v>1286</v>
      </c>
      <c r="C521" s="668">
        <f t="shared" ref="C521:AJ521" si="163">$B$541*C511</f>
        <v>2.3E-6</v>
      </c>
      <c r="D521" s="668">
        <f t="shared" si="163"/>
        <v>2.2999999999999996E-6</v>
      </c>
      <c r="E521" s="668">
        <f t="shared" si="163"/>
        <v>2.3E-6</v>
      </c>
      <c r="F521" s="668">
        <f t="shared" si="163"/>
        <v>2.2999999999999996E-6</v>
      </c>
      <c r="G521" s="668">
        <f t="shared" si="163"/>
        <v>2.2999999999999996E-6</v>
      </c>
      <c r="H521" s="668">
        <f t="shared" si="163"/>
        <v>2.3E-6</v>
      </c>
      <c r="I521" s="668">
        <f t="shared" si="163"/>
        <v>2.2999999999999996E-6</v>
      </c>
      <c r="J521" s="668">
        <f t="shared" si="163"/>
        <v>2.3000000000000004E-6</v>
      </c>
      <c r="K521" s="668">
        <f t="shared" si="163"/>
        <v>2.3E-6</v>
      </c>
      <c r="L521" s="668">
        <f t="shared" si="163"/>
        <v>2.3E-6</v>
      </c>
      <c r="M521" s="668">
        <f t="shared" si="163"/>
        <v>2.3E-6</v>
      </c>
      <c r="N521" s="668">
        <f t="shared" si="163"/>
        <v>2.2999999999999996E-6</v>
      </c>
      <c r="O521" s="668">
        <f t="shared" si="163"/>
        <v>2.3E-6</v>
      </c>
      <c r="P521" s="668">
        <f t="shared" si="163"/>
        <v>2.3E-6</v>
      </c>
      <c r="Q521" s="668">
        <f t="shared" si="163"/>
        <v>2.3E-6</v>
      </c>
      <c r="R521" s="668">
        <f t="shared" si="163"/>
        <v>2.3000000000000004E-6</v>
      </c>
      <c r="S521" s="668">
        <f t="shared" si="163"/>
        <v>2.3E-6</v>
      </c>
      <c r="T521" s="668">
        <f t="shared" si="163"/>
        <v>2.3E-6</v>
      </c>
      <c r="U521" s="668">
        <f t="shared" si="163"/>
        <v>2.3E-6</v>
      </c>
      <c r="V521" s="668">
        <f t="shared" si="163"/>
        <v>2.3E-6</v>
      </c>
      <c r="W521" s="668">
        <f t="shared" si="163"/>
        <v>2.3E-6</v>
      </c>
      <c r="X521" s="668">
        <f t="shared" si="163"/>
        <v>2.3E-6</v>
      </c>
      <c r="Y521" s="668">
        <f t="shared" si="163"/>
        <v>2.2999999999999996E-6</v>
      </c>
      <c r="Z521" s="668">
        <f t="shared" si="163"/>
        <v>2.3E-6</v>
      </c>
      <c r="AA521" s="668">
        <f t="shared" si="163"/>
        <v>2.3E-6</v>
      </c>
      <c r="AB521" s="668">
        <f t="shared" si="163"/>
        <v>2.3E-6</v>
      </c>
      <c r="AC521" s="668">
        <f t="shared" si="163"/>
        <v>2.3000000000000004E-6</v>
      </c>
      <c r="AD521" s="668">
        <f t="shared" si="163"/>
        <v>2.3E-6</v>
      </c>
      <c r="AE521" s="668">
        <f t="shared" si="163"/>
        <v>2.3E-6</v>
      </c>
      <c r="AF521" s="668">
        <f t="shared" si="163"/>
        <v>2.3E-6</v>
      </c>
      <c r="AG521" s="668">
        <f t="shared" si="163"/>
        <v>2.3E-6</v>
      </c>
      <c r="AH521" s="669">
        <f t="shared" si="163"/>
        <v>2.3E-6</v>
      </c>
      <c r="AI521" s="669">
        <f t="shared" si="163"/>
        <v>2.3E-6</v>
      </c>
      <c r="AJ521" s="669">
        <f t="shared" si="163"/>
        <v>2.3E-6</v>
      </c>
    </row>
    <row r="522" spans="1:38" x14ac:dyDescent="0.4">
      <c r="A522" s="564" t="s">
        <v>1063</v>
      </c>
      <c r="B522" s="564"/>
      <c r="C522" s="162">
        <f t="shared" ref="C522:AJ522" si="164">$B$541*C512</f>
        <v>0</v>
      </c>
      <c r="D522" s="162">
        <f t="shared" si="164"/>
        <v>0</v>
      </c>
      <c r="E522" s="162">
        <f t="shared" si="164"/>
        <v>0</v>
      </c>
      <c r="F522" s="162">
        <f t="shared" si="164"/>
        <v>0</v>
      </c>
      <c r="G522" s="162">
        <f t="shared" si="164"/>
        <v>0</v>
      </c>
      <c r="H522" s="162">
        <f t="shared" si="164"/>
        <v>0</v>
      </c>
      <c r="I522" s="162">
        <f t="shared" si="164"/>
        <v>0</v>
      </c>
      <c r="J522" s="162">
        <f t="shared" si="164"/>
        <v>0</v>
      </c>
      <c r="K522" s="162">
        <f t="shared" si="164"/>
        <v>0</v>
      </c>
      <c r="L522" s="162">
        <f t="shared" si="164"/>
        <v>0</v>
      </c>
      <c r="M522" s="162">
        <f t="shared" si="164"/>
        <v>0</v>
      </c>
      <c r="N522" s="162">
        <f t="shared" si="164"/>
        <v>0</v>
      </c>
      <c r="O522" s="162">
        <f t="shared" si="164"/>
        <v>0</v>
      </c>
      <c r="P522" s="162">
        <f t="shared" si="164"/>
        <v>0</v>
      </c>
      <c r="Q522" s="162">
        <f t="shared" si="164"/>
        <v>0</v>
      </c>
      <c r="R522" s="162">
        <f t="shared" si="164"/>
        <v>0</v>
      </c>
      <c r="S522" s="162">
        <f t="shared" si="164"/>
        <v>0</v>
      </c>
      <c r="T522" s="162">
        <f t="shared" si="164"/>
        <v>0</v>
      </c>
      <c r="U522" s="162">
        <f t="shared" si="164"/>
        <v>0</v>
      </c>
      <c r="V522" s="162">
        <f t="shared" si="164"/>
        <v>0</v>
      </c>
      <c r="W522" s="162">
        <f t="shared" si="164"/>
        <v>0</v>
      </c>
      <c r="X522" s="162">
        <f t="shared" si="164"/>
        <v>0</v>
      </c>
      <c r="Y522" s="162">
        <f t="shared" si="164"/>
        <v>0</v>
      </c>
      <c r="Z522" s="162">
        <f t="shared" si="164"/>
        <v>0</v>
      </c>
      <c r="AA522" s="162">
        <f t="shared" si="164"/>
        <v>0</v>
      </c>
      <c r="AB522" s="162">
        <f t="shared" si="164"/>
        <v>0</v>
      </c>
      <c r="AC522" s="162">
        <f t="shared" si="164"/>
        <v>0</v>
      </c>
      <c r="AD522" s="162">
        <f t="shared" si="164"/>
        <v>0</v>
      </c>
      <c r="AE522" s="162">
        <f t="shared" si="164"/>
        <v>0</v>
      </c>
      <c r="AF522" s="162">
        <f t="shared" si="164"/>
        <v>0</v>
      </c>
      <c r="AG522" s="162">
        <f t="shared" si="164"/>
        <v>0</v>
      </c>
      <c r="AH522" s="673">
        <f t="shared" si="164"/>
        <v>0</v>
      </c>
      <c r="AI522" s="673">
        <f t="shared" si="164"/>
        <v>0</v>
      </c>
      <c r="AJ522" s="673">
        <f t="shared" si="164"/>
        <v>0</v>
      </c>
    </row>
    <row r="523" spans="1:38" x14ac:dyDescent="0.4">
      <c r="A523" s="264"/>
      <c r="B523" s="264"/>
      <c r="C523" s="162"/>
      <c r="D523" s="162"/>
      <c r="E523" s="162"/>
      <c r="F523" s="162"/>
      <c r="G523" s="162"/>
      <c r="H523" s="162"/>
      <c r="I523" s="162"/>
      <c r="J523" s="162"/>
      <c r="K523" s="162"/>
      <c r="L523" s="162"/>
      <c r="M523" s="162"/>
      <c r="N523" s="162"/>
      <c r="O523" s="162"/>
      <c r="P523" s="162"/>
      <c r="Q523" s="162"/>
      <c r="R523" s="162"/>
      <c r="S523" s="162"/>
      <c r="T523" s="162"/>
      <c r="U523" s="162"/>
      <c r="V523" s="162"/>
      <c r="W523" s="162"/>
      <c r="X523" s="162"/>
      <c r="Y523" s="162"/>
      <c r="Z523" s="162"/>
      <c r="AA523" s="162"/>
      <c r="AB523" s="162"/>
      <c r="AC523" s="162"/>
      <c r="AD523" s="162"/>
      <c r="AE523" s="162"/>
      <c r="AF523" s="162"/>
      <c r="AG523" s="162"/>
      <c r="AH523" s="673"/>
      <c r="AI523" s="673"/>
      <c r="AJ523" s="673"/>
    </row>
    <row r="524" spans="1:38" s="88" customFormat="1" ht="17" x14ac:dyDescent="0.45">
      <c r="A524" s="90" t="s">
        <v>1580</v>
      </c>
      <c r="AK524" s="3"/>
      <c r="AL524" s="3"/>
    </row>
    <row r="525" spans="1:38" s="28" customFormat="1" x14ac:dyDescent="0.4">
      <c r="A525" s="88" t="s">
        <v>536</v>
      </c>
      <c r="B525" s="88" t="s">
        <v>136</v>
      </c>
      <c r="C525" s="230" t="s">
        <v>391</v>
      </c>
      <c r="D525" s="230" t="s">
        <v>392</v>
      </c>
      <c r="E525" s="230" t="s">
        <v>393</v>
      </c>
      <c r="F525" s="230" t="s">
        <v>394</v>
      </c>
      <c r="G525" s="230" t="s">
        <v>395</v>
      </c>
      <c r="H525" s="230" t="s">
        <v>396</v>
      </c>
      <c r="I525" s="230" t="s">
        <v>397</v>
      </c>
      <c r="J525" s="230" t="s">
        <v>398</v>
      </c>
      <c r="K525" s="230" t="s">
        <v>399</v>
      </c>
      <c r="L525" s="230" t="s">
        <v>400</v>
      </c>
      <c r="M525" s="230" t="s">
        <v>401</v>
      </c>
      <c r="N525" s="230" t="s">
        <v>402</v>
      </c>
      <c r="O525" s="230" t="s">
        <v>403</v>
      </c>
      <c r="P525" s="230" t="s">
        <v>404</v>
      </c>
      <c r="Q525" s="230" t="s">
        <v>405</v>
      </c>
      <c r="R525" s="230" t="s">
        <v>406</v>
      </c>
      <c r="S525" s="230" t="s">
        <v>407</v>
      </c>
      <c r="T525" s="230" t="s">
        <v>408</v>
      </c>
      <c r="U525" s="230" t="s">
        <v>409</v>
      </c>
      <c r="V525" s="230" t="s">
        <v>410</v>
      </c>
      <c r="W525" s="230" t="s">
        <v>411</v>
      </c>
      <c r="X525" s="230" t="s">
        <v>412</v>
      </c>
      <c r="Y525" s="230" t="s">
        <v>413</v>
      </c>
      <c r="Z525" s="230" t="s">
        <v>414</v>
      </c>
      <c r="AA525" s="230" t="s">
        <v>415</v>
      </c>
      <c r="AB525" s="230" t="s">
        <v>416</v>
      </c>
      <c r="AC525" s="230" t="s">
        <v>417</v>
      </c>
      <c r="AD525" s="230" t="s">
        <v>418</v>
      </c>
      <c r="AE525" s="230" t="s">
        <v>419</v>
      </c>
      <c r="AF525" s="230" t="s">
        <v>420</v>
      </c>
      <c r="AG525" s="230" t="s">
        <v>421</v>
      </c>
      <c r="AH525" s="230" t="s">
        <v>422</v>
      </c>
      <c r="AI525" s="230" t="s">
        <v>423</v>
      </c>
      <c r="AJ525" s="230" t="s">
        <v>424</v>
      </c>
      <c r="AK525" s="3"/>
      <c r="AL525" s="3"/>
    </row>
    <row r="526" spans="1:38" ht="17" x14ac:dyDescent="0.4">
      <c r="A526" s="663" t="s">
        <v>777</v>
      </c>
      <c r="B526" s="1481" t="s">
        <v>1390</v>
      </c>
      <c r="C526" s="674" t="str">
        <f t="shared" ref="C526:AJ526" si="165">C518</f>
        <v>NA</v>
      </c>
      <c r="D526" s="674" t="str">
        <f t="shared" si="165"/>
        <v>NA</v>
      </c>
      <c r="E526" s="674" t="str">
        <f t="shared" si="165"/>
        <v>NA</v>
      </c>
      <c r="F526" s="674" t="str">
        <f t="shared" si="165"/>
        <v>NA</v>
      </c>
      <c r="G526" s="674" t="str">
        <f t="shared" si="165"/>
        <v>NA</v>
      </c>
      <c r="H526" s="674" t="str">
        <f t="shared" si="165"/>
        <v>NA</v>
      </c>
      <c r="I526" s="674" t="str">
        <f t="shared" si="165"/>
        <v>NA</v>
      </c>
      <c r="J526" s="674" t="str">
        <f t="shared" si="165"/>
        <v>NA</v>
      </c>
      <c r="K526" s="674" t="str">
        <f t="shared" si="165"/>
        <v>NA</v>
      </c>
      <c r="L526" s="674" t="str">
        <f t="shared" si="165"/>
        <v>NA</v>
      </c>
      <c r="M526" s="674" t="str">
        <f t="shared" si="165"/>
        <v>NA</v>
      </c>
      <c r="N526" s="674" t="str">
        <f t="shared" si="165"/>
        <v>NA</v>
      </c>
      <c r="O526" s="674" t="str">
        <f t="shared" si="165"/>
        <v>NA</v>
      </c>
      <c r="P526" s="674" t="str">
        <f t="shared" si="165"/>
        <v>NA</v>
      </c>
      <c r="Q526" s="674" t="str">
        <f t="shared" si="165"/>
        <v>NA</v>
      </c>
      <c r="R526" s="674" t="str">
        <f t="shared" si="165"/>
        <v>NA</v>
      </c>
      <c r="S526" s="674" t="str">
        <f t="shared" si="165"/>
        <v>NA</v>
      </c>
      <c r="T526" s="674" t="str">
        <f t="shared" si="165"/>
        <v>NA</v>
      </c>
      <c r="U526" s="674" t="str">
        <f t="shared" si="165"/>
        <v>NA</v>
      </c>
      <c r="V526" s="674" t="str">
        <f t="shared" si="165"/>
        <v>NA</v>
      </c>
      <c r="W526" s="674" t="str">
        <f t="shared" si="165"/>
        <v>NA</v>
      </c>
      <c r="X526" s="674" t="str">
        <f t="shared" si="165"/>
        <v>NA</v>
      </c>
      <c r="Y526" s="674" t="str">
        <f t="shared" si="165"/>
        <v>NA</v>
      </c>
      <c r="Z526" s="674" t="str">
        <f t="shared" si="165"/>
        <v>NA</v>
      </c>
      <c r="AA526" s="674" t="str">
        <f t="shared" si="165"/>
        <v>NA</v>
      </c>
      <c r="AB526" s="674" t="str">
        <f t="shared" si="165"/>
        <v>NA</v>
      </c>
      <c r="AC526" s="674" t="str">
        <f t="shared" si="165"/>
        <v>NA</v>
      </c>
      <c r="AD526" s="674" t="str">
        <f t="shared" si="165"/>
        <v>NA</v>
      </c>
      <c r="AE526" s="674" t="str">
        <f t="shared" si="165"/>
        <v>NA</v>
      </c>
      <c r="AF526" s="674" t="str">
        <f t="shared" si="165"/>
        <v>NA</v>
      </c>
      <c r="AG526" s="674" t="str">
        <f t="shared" si="165"/>
        <v>NA</v>
      </c>
      <c r="AH526" s="674" t="str">
        <f t="shared" si="165"/>
        <v>NA</v>
      </c>
      <c r="AI526" s="674" t="str">
        <f t="shared" si="165"/>
        <v>NA</v>
      </c>
      <c r="AJ526" s="674" t="str">
        <f t="shared" si="165"/>
        <v>NA</v>
      </c>
    </row>
    <row r="527" spans="1:38" ht="17" x14ac:dyDescent="0.4">
      <c r="A527" s="661" t="s">
        <v>74</v>
      </c>
      <c r="B527" s="1481" t="s">
        <v>1390</v>
      </c>
      <c r="C527" s="561">
        <f t="shared" ref="C527:AJ527" si="166">C496*C519</f>
        <v>1.1322300000000002E-2</v>
      </c>
      <c r="D527" s="561">
        <f t="shared" si="166"/>
        <v>1.1714472000000002E-2</v>
      </c>
      <c r="E527" s="561">
        <f t="shared" si="166"/>
        <v>1.1335236000000004E-2</v>
      </c>
      <c r="F527" s="561">
        <f t="shared" si="166"/>
        <v>1.3488684000000001E-2</v>
      </c>
      <c r="G527" s="561">
        <f t="shared" si="166"/>
        <v>1.2242207999999999E-2</v>
      </c>
      <c r="H527" s="561">
        <f t="shared" si="166"/>
        <v>1.3787796000000005E-2</v>
      </c>
      <c r="I527" s="561">
        <f t="shared" si="166"/>
        <v>1.3977347999999999E-2</v>
      </c>
      <c r="J527" s="561">
        <f t="shared" si="166"/>
        <v>1.4246232000000001E-2</v>
      </c>
      <c r="K527" s="561">
        <f t="shared" si="166"/>
        <v>1.4365824000000001E-2</v>
      </c>
      <c r="L527" s="561">
        <f t="shared" si="166"/>
        <v>1.4939364000000002E-2</v>
      </c>
      <c r="M527" s="561">
        <f t="shared" si="166"/>
        <v>1.5575076000000002E-2</v>
      </c>
      <c r="N527" s="561">
        <f t="shared" si="166"/>
        <v>1.5969888000000002E-2</v>
      </c>
      <c r="O527" s="561">
        <f t="shared" si="166"/>
        <v>1.6163004000000002E-2</v>
      </c>
      <c r="P527" s="561">
        <f t="shared" si="166"/>
        <v>1.6236792000000003E-2</v>
      </c>
      <c r="Q527" s="561">
        <f t="shared" si="166"/>
        <v>1.6514124000000005E-2</v>
      </c>
      <c r="R527" s="561">
        <f t="shared" si="166"/>
        <v>1.5862044000000002E-2</v>
      </c>
      <c r="S527" s="561">
        <f t="shared" si="166"/>
        <v>1.6726116000000003E-2</v>
      </c>
      <c r="T527" s="561">
        <f t="shared" si="166"/>
        <v>1.7023379999999998E-2</v>
      </c>
      <c r="U527" s="561">
        <f t="shared" si="166"/>
        <v>1.7706348000000004E-2</v>
      </c>
      <c r="V527" s="561">
        <f t="shared" si="166"/>
        <v>1.8389316000000006E-2</v>
      </c>
      <c r="W527" s="561">
        <f t="shared" si="166"/>
        <v>1.9072284000000005E-2</v>
      </c>
      <c r="X527" s="561">
        <f t="shared" si="166"/>
        <v>1.82457E-2</v>
      </c>
      <c r="Y527" s="561">
        <f t="shared" si="166"/>
        <v>1.8852900000000002E-2</v>
      </c>
      <c r="Z527" s="561">
        <f t="shared" si="166"/>
        <v>1.9040472000000003E-2</v>
      </c>
      <c r="AA527" s="561">
        <f t="shared" si="166"/>
        <v>1.8421391999999998E-2</v>
      </c>
      <c r="AB527" s="561">
        <f t="shared" si="166"/>
        <v>1.8552996000000002E-2</v>
      </c>
      <c r="AC527" s="561">
        <f t="shared" si="166"/>
        <v>1.8726840000000005E-2</v>
      </c>
      <c r="AD527" s="561">
        <f t="shared" si="166"/>
        <v>1.8857915999999999E-2</v>
      </c>
      <c r="AE527" s="561">
        <f t="shared" si="166"/>
        <v>1.9086144000000003E-2</v>
      </c>
      <c r="AF527" s="561">
        <f t="shared" si="166"/>
        <v>1.9109508000000001E-2</v>
      </c>
      <c r="AG527" s="561">
        <f t="shared" si="166"/>
        <v>2.3253780000000002E-2</v>
      </c>
      <c r="AH527" s="561">
        <f t="shared" si="166"/>
        <v>1.9262363999999997E-2</v>
      </c>
      <c r="AI527" s="561">
        <f t="shared" si="166"/>
        <v>2.1708588000000004E-2</v>
      </c>
      <c r="AJ527" s="561">
        <f t="shared" si="166"/>
        <v>1.9210752000000001E-2</v>
      </c>
    </row>
    <row r="528" spans="1:38" ht="17" x14ac:dyDescent="0.4">
      <c r="A528" s="661" t="s">
        <v>778</v>
      </c>
      <c r="B528" s="1481" t="s">
        <v>1390</v>
      </c>
      <c r="C528" s="561">
        <f t="shared" ref="C528:AJ528" si="167">C497*C520</f>
        <v>111.36476791342101</v>
      </c>
      <c r="D528" s="561">
        <f t="shared" si="167"/>
        <v>122.27051367069036</v>
      </c>
      <c r="E528" s="561">
        <f t="shared" si="167"/>
        <v>154.90519580186719</v>
      </c>
      <c r="F528" s="561">
        <f t="shared" si="167"/>
        <v>157.56177789141941</v>
      </c>
      <c r="G528" s="561">
        <f t="shared" si="167"/>
        <v>175.27091395611583</v>
      </c>
      <c r="H528" s="561">
        <f t="shared" si="167"/>
        <v>202.93535326158059</v>
      </c>
      <c r="I528" s="561">
        <f t="shared" si="167"/>
        <v>174.06539722304817</v>
      </c>
      <c r="J528" s="561">
        <f t="shared" si="167"/>
        <v>192.71333341261823</v>
      </c>
      <c r="K528" s="561">
        <f t="shared" si="167"/>
        <v>174.33423062971997</v>
      </c>
      <c r="L528" s="561">
        <f t="shared" si="167"/>
        <v>181.19794969376233</v>
      </c>
      <c r="M528" s="561">
        <f t="shared" si="167"/>
        <v>172.46933117083904</v>
      </c>
      <c r="N528" s="561">
        <f t="shared" si="167"/>
        <v>187.84258011535948</v>
      </c>
      <c r="O528" s="561">
        <f t="shared" si="167"/>
        <v>227.34733170601177</v>
      </c>
      <c r="P528" s="561">
        <f t="shared" si="167"/>
        <v>225.84122958910632</v>
      </c>
      <c r="Q528" s="561">
        <f t="shared" si="167"/>
        <v>212.68109345305342</v>
      </c>
      <c r="R528" s="561">
        <f t="shared" si="167"/>
        <v>211.89470281857646</v>
      </c>
      <c r="S528" s="561">
        <f t="shared" si="167"/>
        <v>224.68334082178748</v>
      </c>
      <c r="T528" s="561">
        <f t="shared" si="167"/>
        <v>242.97142127014334</v>
      </c>
      <c r="U528" s="561">
        <f t="shared" si="167"/>
        <v>211.34539361360532</v>
      </c>
      <c r="V528" s="561">
        <f t="shared" si="167"/>
        <v>200.63121811857053</v>
      </c>
      <c r="W528" s="561">
        <f t="shared" si="167"/>
        <v>243.51755527739786</v>
      </c>
      <c r="X528" s="561">
        <f t="shared" si="167"/>
        <v>247.12881348040673</v>
      </c>
      <c r="Y528" s="561">
        <f t="shared" si="167"/>
        <v>236.57974826663497</v>
      </c>
      <c r="Z528" s="561">
        <f t="shared" si="167"/>
        <v>212.62605669263243</v>
      </c>
      <c r="AA528" s="561">
        <f t="shared" si="167"/>
        <v>190.97650026164001</v>
      </c>
      <c r="AB528" s="561">
        <f t="shared" si="167"/>
        <v>213.10762834631626</v>
      </c>
      <c r="AC528" s="561">
        <f t="shared" si="167"/>
        <v>213.95963973360287</v>
      </c>
      <c r="AD528" s="561">
        <f t="shared" si="167"/>
        <v>222.22997138609745</v>
      </c>
      <c r="AE528" s="561">
        <f t="shared" si="167"/>
        <v>191.81898605577697</v>
      </c>
      <c r="AF528" s="561">
        <f t="shared" si="167"/>
        <v>170.94841146458944</v>
      </c>
      <c r="AG528" s="561">
        <f t="shared" si="167"/>
        <v>159.26368386751503</v>
      </c>
      <c r="AH528" s="561">
        <f t="shared" si="167"/>
        <v>168.3383989415473</v>
      </c>
      <c r="AI528" s="561">
        <f t="shared" si="167"/>
        <v>172.64396704525183</v>
      </c>
      <c r="AJ528" s="561">
        <f t="shared" si="167"/>
        <v>159.91989139561161</v>
      </c>
    </row>
    <row r="529" spans="1:38" s="108" customFormat="1" ht="17" x14ac:dyDescent="0.4">
      <c r="A529" s="661" t="s">
        <v>165</v>
      </c>
      <c r="B529" s="1481" t="s">
        <v>1390</v>
      </c>
      <c r="C529" s="561">
        <f t="shared" ref="C529:AJ529" si="168">C498*C521</f>
        <v>0</v>
      </c>
      <c r="D529" s="561" t="e">
        <f t="shared" si="168"/>
        <v>#VALUE!</v>
      </c>
      <c r="E529" s="561" t="e">
        <f t="shared" si="168"/>
        <v>#VALUE!</v>
      </c>
      <c r="F529" s="561" t="e">
        <f t="shared" si="168"/>
        <v>#VALUE!</v>
      </c>
      <c r="G529" s="561" t="e">
        <f t="shared" si="168"/>
        <v>#VALUE!</v>
      </c>
      <c r="H529" s="561" t="e">
        <f t="shared" si="168"/>
        <v>#VALUE!</v>
      </c>
      <c r="I529" s="561" t="e">
        <f t="shared" si="168"/>
        <v>#VALUE!</v>
      </c>
      <c r="J529" s="561" t="e">
        <f t="shared" si="168"/>
        <v>#VALUE!</v>
      </c>
      <c r="K529" s="561" t="e">
        <f t="shared" si="168"/>
        <v>#VALUE!</v>
      </c>
      <c r="L529" s="561" t="e">
        <f t="shared" si="168"/>
        <v>#VALUE!</v>
      </c>
      <c r="M529" s="561" t="e">
        <f t="shared" si="168"/>
        <v>#VALUE!</v>
      </c>
      <c r="N529" s="561" t="e">
        <f t="shared" si="168"/>
        <v>#VALUE!</v>
      </c>
      <c r="O529" s="561" t="e">
        <f t="shared" si="168"/>
        <v>#VALUE!</v>
      </c>
      <c r="P529" s="561" t="e">
        <f t="shared" si="168"/>
        <v>#VALUE!</v>
      </c>
      <c r="Q529" s="561" t="e">
        <f t="shared" si="168"/>
        <v>#VALUE!</v>
      </c>
      <c r="R529" s="561" t="e">
        <f t="shared" si="168"/>
        <v>#VALUE!</v>
      </c>
      <c r="S529" s="561" t="e">
        <f t="shared" si="168"/>
        <v>#VALUE!</v>
      </c>
      <c r="T529" s="561" t="e">
        <f t="shared" si="168"/>
        <v>#VALUE!</v>
      </c>
      <c r="U529" s="561" t="e">
        <f t="shared" si="168"/>
        <v>#VALUE!</v>
      </c>
      <c r="V529" s="561" t="e">
        <f t="shared" si="168"/>
        <v>#VALUE!</v>
      </c>
      <c r="W529" s="561" t="e">
        <f t="shared" si="168"/>
        <v>#VALUE!</v>
      </c>
      <c r="X529" s="561" t="e">
        <f t="shared" si="168"/>
        <v>#VALUE!</v>
      </c>
      <c r="Y529" s="561" t="e">
        <f t="shared" si="168"/>
        <v>#VALUE!</v>
      </c>
      <c r="Z529" s="561" t="e">
        <f t="shared" si="168"/>
        <v>#VALUE!</v>
      </c>
      <c r="AA529" s="561" t="e">
        <f t="shared" si="168"/>
        <v>#VALUE!</v>
      </c>
      <c r="AB529" s="561" t="e">
        <f t="shared" si="168"/>
        <v>#VALUE!</v>
      </c>
      <c r="AC529" s="561" t="e">
        <f t="shared" si="168"/>
        <v>#VALUE!</v>
      </c>
      <c r="AD529" s="561" t="e">
        <f t="shared" si="168"/>
        <v>#VALUE!</v>
      </c>
      <c r="AE529" s="561">
        <f t="shared" si="168"/>
        <v>5.9891999999999991E-7</v>
      </c>
      <c r="AF529" s="561">
        <f t="shared" si="168"/>
        <v>6.1686000000000003E-7</v>
      </c>
      <c r="AG529" s="561">
        <f t="shared" si="168"/>
        <v>5.8166999999999999E-7</v>
      </c>
      <c r="AH529" s="561">
        <f t="shared" si="168"/>
        <v>5.3198999999999999E-7</v>
      </c>
      <c r="AI529" s="561">
        <f t="shared" si="168"/>
        <v>5.3750999999999989E-7</v>
      </c>
      <c r="AJ529" s="561">
        <f t="shared" si="168"/>
        <v>5.5958999999999994E-7</v>
      </c>
      <c r="AK529" s="3"/>
      <c r="AL529" s="3"/>
    </row>
    <row r="530" spans="1:38" ht="17" x14ac:dyDescent="0.45">
      <c r="A530" s="1232" t="s">
        <v>1581</v>
      </c>
      <c r="B530" s="1482" t="s">
        <v>1476</v>
      </c>
      <c r="C530" s="679">
        <f>SUM(C527:C529)</f>
        <v>111.37609021342101</v>
      </c>
      <c r="D530" s="679">
        <f>SUM(D527:D528)</f>
        <v>122.28222814269036</v>
      </c>
      <c r="E530" s="679">
        <f t="shared" ref="E530:AD530" si="169">SUM(E527:E528)</f>
        <v>154.9165310378672</v>
      </c>
      <c r="F530" s="679">
        <f t="shared" si="169"/>
        <v>157.57526657541942</v>
      </c>
      <c r="G530" s="679">
        <f t="shared" si="169"/>
        <v>175.28315616411584</v>
      </c>
      <c r="H530" s="679">
        <f t="shared" si="169"/>
        <v>202.94914105758059</v>
      </c>
      <c r="I530" s="679">
        <f t="shared" si="169"/>
        <v>174.07937457104816</v>
      </c>
      <c r="J530" s="679">
        <f t="shared" si="169"/>
        <v>192.72757964461823</v>
      </c>
      <c r="K530" s="679">
        <f t="shared" si="169"/>
        <v>174.34859645371998</v>
      </c>
      <c r="L530" s="679">
        <f t="shared" si="169"/>
        <v>181.21288905776234</v>
      </c>
      <c r="M530" s="679">
        <f t="shared" si="169"/>
        <v>172.48490624683905</v>
      </c>
      <c r="N530" s="679">
        <f t="shared" si="169"/>
        <v>187.85855000335948</v>
      </c>
      <c r="O530" s="679">
        <f t="shared" si="169"/>
        <v>227.36349471001176</v>
      </c>
      <c r="P530" s="679">
        <f t="shared" si="169"/>
        <v>225.85746638110632</v>
      </c>
      <c r="Q530" s="679">
        <f t="shared" si="169"/>
        <v>212.69760757705342</v>
      </c>
      <c r="R530" s="679">
        <f t="shared" si="169"/>
        <v>211.91056486257645</v>
      </c>
      <c r="S530" s="679">
        <f t="shared" si="169"/>
        <v>224.70006693778748</v>
      </c>
      <c r="T530" s="679">
        <f t="shared" si="169"/>
        <v>242.98844465014335</v>
      </c>
      <c r="U530" s="679">
        <f t="shared" si="169"/>
        <v>211.36309996160531</v>
      </c>
      <c r="V530" s="679">
        <f t="shared" si="169"/>
        <v>200.64960743457053</v>
      </c>
      <c r="W530" s="679">
        <f t="shared" si="169"/>
        <v>243.53662756139786</v>
      </c>
      <c r="X530" s="679">
        <f t="shared" si="169"/>
        <v>247.14705918040673</v>
      </c>
      <c r="Y530" s="679">
        <f t="shared" si="169"/>
        <v>236.59860116663498</v>
      </c>
      <c r="Z530" s="679">
        <f t="shared" si="169"/>
        <v>212.64509716463243</v>
      </c>
      <c r="AA530" s="679">
        <f t="shared" si="169"/>
        <v>190.99492165364001</v>
      </c>
      <c r="AB530" s="679">
        <f t="shared" si="169"/>
        <v>213.12618134231627</v>
      </c>
      <c r="AC530" s="679">
        <f t="shared" si="169"/>
        <v>213.97836657360287</v>
      </c>
      <c r="AD530" s="679">
        <f t="shared" si="169"/>
        <v>222.24882930209745</v>
      </c>
      <c r="AE530" s="679">
        <f t="shared" ref="AE530:AJ530" si="170">SUM(AE527:AE529)</f>
        <v>191.83807279869697</v>
      </c>
      <c r="AF530" s="679">
        <f t="shared" si="170"/>
        <v>170.96752158944946</v>
      </c>
      <c r="AG530" s="679">
        <f t="shared" si="170"/>
        <v>159.28693822918504</v>
      </c>
      <c r="AH530" s="679">
        <f t="shared" si="170"/>
        <v>168.35766183753731</v>
      </c>
      <c r="AI530" s="679">
        <f t="shared" si="170"/>
        <v>172.66567617076183</v>
      </c>
      <c r="AJ530" s="679">
        <f t="shared" si="170"/>
        <v>159.93910270720161</v>
      </c>
    </row>
    <row r="531" spans="1:38" ht="17" x14ac:dyDescent="0.45">
      <c r="A531" s="1233" t="s">
        <v>1582</v>
      </c>
      <c r="B531" s="1482" t="s">
        <v>1477</v>
      </c>
      <c r="C531" s="681">
        <f>C530/1000000</f>
        <v>1.1137609021342102E-4</v>
      </c>
      <c r="D531" s="681">
        <f t="shared" ref="D531:AJ531" si="171">D530/1000000</f>
        <v>1.2228222814269035E-4</v>
      </c>
      <c r="E531" s="681">
        <f t="shared" si="171"/>
        <v>1.549165310378672E-4</v>
      </c>
      <c r="F531" s="681">
        <f t="shared" si="171"/>
        <v>1.5757526657541942E-4</v>
      </c>
      <c r="G531" s="681">
        <f t="shared" si="171"/>
        <v>1.7528315616411583E-4</v>
      </c>
      <c r="H531" s="681">
        <f t="shared" si="171"/>
        <v>2.0294914105758059E-4</v>
      </c>
      <c r="I531" s="681">
        <f t="shared" si="171"/>
        <v>1.7407937457104817E-4</v>
      </c>
      <c r="J531" s="681">
        <f t="shared" si="171"/>
        <v>1.9272757964461823E-4</v>
      </c>
      <c r="K531" s="681">
        <f t="shared" si="171"/>
        <v>1.7434859645371997E-4</v>
      </c>
      <c r="L531" s="681">
        <f t="shared" si="171"/>
        <v>1.8121288905776235E-4</v>
      </c>
      <c r="M531" s="681">
        <f t="shared" si="171"/>
        <v>1.7248490624683906E-4</v>
      </c>
      <c r="N531" s="681">
        <f t="shared" si="171"/>
        <v>1.8785855000335948E-4</v>
      </c>
      <c r="O531" s="681">
        <f t="shared" si="171"/>
        <v>2.2736349471001176E-4</v>
      </c>
      <c r="P531" s="681">
        <f t="shared" si="171"/>
        <v>2.2585746638110633E-4</v>
      </c>
      <c r="Q531" s="681">
        <f t="shared" si="171"/>
        <v>2.1269760757705342E-4</v>
      </c>
      <c r="R531" s="681">
        <f t="shared" si="171"/>
        <v>2.1191056486257644E-4</v>
      </c>
      <c r="S531" s="681">
        <f t="shared" si="171"/>
        <v>2.2470006693778749E-4</v>
      </c>
      <c r="T531" s="681">
        <f t="shared" si="171"/>
        <v>2.4298844465014334E-4</v>
      </c>
      <c r="U531" s="681">
        <f t="shared" si="171"/>
        <v>2.1136309996160532E-4</v>
      </c>
      <c r="V531" s="681">
        <f t="shared" si="171"/>
        <v>2.0064960743457053E-4</v>
      </c>
      <c r="W531" s="681">
        <f t="shared" si="171"/>
        <v>2.4353662756139787E-4</v>
      </c>
      <c r="X531" s="681">
        <f t="shared" si="171"/>
        <v>2.4714705918040675E-4</v>
      </c>
      <c r="Y531" s="681">
        <f t="shared" si="171"/>
        <v>2.3659860116663497E-4</v>
      </c>
      <c r="Z531" s="681">
        <f t="shared" si="171"/>
        <v>2.1264509716463243E-4</v>
      </c>
      <c r="AA531" s="681">
        <f t="shared" si="171"/>
        <v>1.9099492165364001E-4</v>
      </c>
      <c r="AB531" s="681">
        <f t="shared" si="171"/>
        <v>2.1312618134231628E-4</v>
      </c>
      <c r="AC531" s="681">
        <f t="shared" si="171"/>
        <v>2.1397836657360286E-4</v>
      </c>
      <c r="AD531" s="681">
        <f t="shared" si="171"/>
        <v>2.2224882930209746E-4</v>
      </c>
      <c r="AE531" s="681">
        <f t="shared" si="171"/>
        <v>1.9183807279869698E-4</v>
      </c>
      <c r="AF531" s="681">
        <f t="shared" si="171"/>
        <v>1.7096752158944945E-4</v>
      </c>
      <c r="AG531" s="681">
        <f t="shared" si="171"/>
        <v>1.5928693822918504E-4</v>
      </c>
      <c r="AH531" s="681">
        <f t="shared" si="171"/>
        <v>1.683576618375373E-4</v>
      </c>
      <c r="AI531" s="681">
        <f t="shared" si="171"/>
        <v>1.7266567617076184E-4</v>
      </c>
      <c r="AJ531" s="681">
        <f t="shared" si="171"/>
        <v>1.599391027072016E-4</v>
      </c>
    </row>
    <row r="532" spans="1:38" x14ac:dyDescent="0.4">
      <c r="A532" s="662" t="s">
        <v>1063</v>
      </c>
      <c r="B532" s="564"/>
      <c r="C532" s="668"/>
      <c r="D532" s="668"/>
      <c r="E532" s="668"/>
      <c r="F532" s="668"/>
      <c r="G532" s="668"/>
      <c r="H532" s="668"/>
      <c r="I532" s="668"/>
      <c r="J532" s="668"/>
      <c r="K532" s="668"/>
      <c r="L532" s="668"/>
      <c r="M532" s="668"/>
      <c r="N532" s="668"/>
      <c r="O532" s="668"/>
      <c r="P532" s="668"/>
      <c r="Q532" s="668"/>
      <c r="R532" s="668"/>
      <c r="S532" s="668"/>
      <c r="T532" s="668"/>
      <c r="U532" s="668"/>
      <c r="V532" s="668"/>
      <c r="W532" s="668"/>
      <c r="X532" s="668"/>
      <c r="Y532" s="668"/>
      <c r="Z532" s="668"/>
      <c r="AA532" s="668"/>
      <c r="AB532" s="668"/>
      <c r="AC532" s="668"/>
      <c r="AD532" s="668"/>
      <c r="AE532" s="668"/>
      <c r="AF532" s="668"/>
      <c r="AG532" s="668"/>
      <c r="AH532" s="669"/>
      <c r="AI532" s="669"/>
      <c r="AJ532" s="669"/>
    </row>
    <row r="533" spans="1:38" x14ac:dyDescent="0.4">
      <c r="A533" s="264"/>
      <c r="B533" s="264"/>
      <c r="C533" s="162"/>
      <c r="D533" s="162"/>
      <c r="E533" s="162"/>
      <c r="F533" s="162"/>
      <c r="G533" s="162"/>
      <c r="H533" s="162"/>
      <c r="I533" s="162"/>
      <c r="J533" s="162"/>
      <c r="K533" s="162"/>
      <c r="L533" s="162"/>
      <c r="M533" s="162"/>
      <c r="N533" s="162"/>
      <c r="O533" s="162"/>
      <c r="P533" s="162"/>
      <c r="Q533" s="162"/>
      <c r="R533" s="162"/>
      <c r="S533" s="162"/>
      <c r="T533" s="162"/>
      <c r="U533" s="162"/>
      <c r="V533" s="162"/>
      <c r="W533" s="162"/>
      <c r="X533" s="162"/>
      <c r="Y533" s="162"/>
      <c r="Z533" s="162"/>
      <c r="AA533" s="162"/>
      <c r="AB533" s="162"/>
      <c r="AC533" s="162"/>
      <c r="AD533" s="162"/>
      <c r="AE533" s="162"/>
      <c r="AF533" s="162"/>
      <c r="AG533" s="162"/>
      <c r="AH533" s="673"/>
      <c r="AI533" s="673"/>
      <c r="AJ533" s="673"/>
    </row>
    <row r="534" spans="1:38" x14ac:dyDescent="0.4">
      <c r="A534" s="1365" t="s">
        <v>1180</v>
      </c>
    </row>
    <row r="535" spans="1:38" x14ac:dyDescent="0.4">
      <c r="A535" s="1361" t="s">
        <v>1181</v>
      </c>
    </row>
    <row r="536" spans="1:38" x14ac:dyDescent="0.4">
      <c r="A536" s="54" t="s">
        <v>168</v>
      </c>
    </row>
    <row r="537" spans="1:38" x14ac:dyDescent="0.4">
      <c r="A537" s="54"/>
    </row>
    <row r="538" spans="1:38" x14ac:dyDescent="0.4">
      <c r="A538" s="42" t="s">
        <v>941</v>
      </c>
    </row>
    <row r="539" spans="1:38" x14ac:dyDescent="0.4">
      <c r="A539" s="1285" t="s">
        <v>942</v>
      </c>
      <c r="B539" s="1284" t="s">
        <v>573</v>
      </c>
    </row>
    <row r="540" spans="1:38" x14ac:dyDescent="0.4">
      <c r="A540" s="1148" t="s">
        <v>226</v>
      </c>
      <c r="B540" s="1149">
        <v>25</v>
      </c>
    </row>
    <row r="541" spans="1:38" x14ac:dyDescent="0.4">
      <c r="A541" s="1160" t="s">
        <v>729</v>
      </c>
      <c r="B541" s="1161">
        <v>1E-3</v>
      </c>
    </row>
    <row r="542" spans="1:38" x14ac:dyDescent="0.4">
      <c r="A542" s="1160" t="s">
        <v>1063</v>
      </c>
      <c r="B542" s="1161"/>
    </row>
    <row r="543" spans="1:38" x14ac:dyDescent="0.4">
      <c r="A543" s="280"/>
      <c r="B543" s="1152"/>
    </row>
    <row r="544" spans="1:38" x14ac:dyDescent="0.4">
      <c r="A544" s="395" t="s">
        <v>1064</v>
      </c>
    </row>
  </sheetData>
  <phoneticPr fontId="34" type="noConversion"/>
  <conditionalFormatting sqref="A377 A404:B404">
    <cfRule type="cellIs" dxfId="24" priority="38" operator="between">
      <formula>0.000001</formula>
      <formula>0.049999</formula>
    </cfRule>
  </conditionalFormatting>
  <conditionalFormatting sqref="A391">
    <cfRule type="cellIs" dxfId="23" priority="36" operator="between">
      <formula>0.000001</formula>
      <formula>0.049999</formula>
    </cfRule>
  </conditionalFormatting>
  <conditionalFormatting sqref="A398">
    <cfRule type="cellIs" dxfId="22" priority="34" operator="between">
      <formula>0.000001</formula>
      <formula>0.049999</formula>
    </cfRule>
  </conditionalFormatting>
  <conditionalFormatting sqref="A405">
    <cfRule type="cellIs" dxfId="21" priority="32" operator="between">
      <formula>0.000001</formula>
      <formula>0.049999</formula>
    </cfRule>
  </conditionalFormatting>
  <conditionalFormatting sqref="A419:A421">
    <cfRule type="cellIs" dxfId="20" priority="27" operator="between">
      <formula>0.000001</formula>
      <formula>0.049999</formula>
    </cfRule>
  </conditionalFormatting>
  <conditionalFormatting sqref="A436:A437">
    <cfRule type="cellIs" dxfId="19" priority="24" operator="between">
      <formula>0.000001</formula>
      <formula>0.049999</formula>
    </cfRule>
  </conditionalFormatting>
  <conditionalFormatting sqref="A446">
    <cfRule type="cellIs" dxfId="18" priority="21" operator="between">
      <formula>0.000001</formula>
      <formula>0.049999</formula>
    </cfRule>
  </conditionalFormatting>
  <conditionalFormatting sqref="A454">
    <cfRule type="cellIs" dxfId="17" priority="18" operator="between">
      <formula>0.000001</formula>
      <formula>0.049999</formula>
    </cfRule>
  </conditionalFormatting>
  <conditionalFormatting sqref="A460">
    <cfRule type="cellIs" dxfId="16" priority="11" operator="between">
      <formula>0.000001</formula>
      <formula>0.049999</formula>
    </cfRule>
  </conditionalFormatting>
  <conditionalFormatting sqref="A532:A533">
    <cfRule type="cellIs" dxfId="15" priority="4" operator="between">
      <formula>0.000001</formula>
      <formula>0.049999</formula>
    </cfRule>
  </conditionalFormatting>
  <conditionalFormatting sqref="A328:B335 A337:B337 B338 B340:B342 A343:B349 A351:B351 B352 A354:B356 A358:B358 B359 A361:B363 A365:B365">
    <cfRule type="cellIs" dxfId="14" priority="45" operator="between">
      <formula>0.000001</formula>
      <formula>0.049999</formula>
    </cfRule>
  </conditionalFormatting>
  <conditionalFormatting sqref="A369:B378 B379 B381:B383 A384:B392 B393 A395:B399 B400 A402:B406">
    <cfRule type="cellIs" dxfId="13" priority="46" operator="between">
      <formula>0.000001</formula>
      <formula>0.049999</formula>
    </cfRule>
  </conditionalFormatting>
  <conditionalFormatting sqref="A410:B418 A422:B422 B423 B425:B435 A428:B435 A439:B439 B440 A442:B445 A447:B447 B448 A450:B453 A455:B455 B456">
    <cfRule type="cellIs" dxfId="12" priority="64" operator="between">
      <formula>0.000001</formula>
      <formula>0.049999</formula>
    </cfRule>
  </conditionalFormatting>
  <conditionalFormatting sqref="A518:B523">
    <cfRule type="cellIs" dxfId="11" priority="43" operator="between">
      <formula>0.000001</formula>
      <formula>0.049999</formula>
    </cfRule>
  </conditionalFormatting>
  <conditionalFormatting sqref="B408">
    <cfRule type="cellIs" dxfId="10" priority="153" operator="between">
      <formula>0.000001</formula>
      <formula>0.049999</formula>
    </cfRule>
  </conditionalFormatting>
  <conditionalFormatting sqref="B419:B420">
    <cfRule type="cellIs" dxfId="9" priority="10" operator="between">
      <formula>0.000001</formula>
      <formula>0.049999</formula>
    </cfRule>
  </conditionalFormatting>
  <conditionalFormatting sqref="B436:B438">
    <cfRule type="cellIs" dxfId="8" priority="9" operator="between">
      <formula>0.000001</formula>
      <formula>0.049999</formula>
    </cfRule>
  </conditionalFormatting>
  <conditionalFormatting sqref="B446">
    <cfRule type="cellIs" dxfId="7" priority="8" operator="between">
      <formula>0.000001</formula>
      <formula>0.049999</formula>
    </cfRule>
  </conditionalFormatting>
  <conditionalFormatting sqref="B454">
    <cfRule type="cellIs" dxfId="6" priority="7" operator="between">
      <formula>0.000001</formula>
      <formula>0.049999</formula>
    </cfRule>
  </conditionalFormatting>
  <conditionalFormatting sqref="B458:B460">
    <cfRule type="cellIs" dxfId="5" priority="1" operator="between">
      <formula>0.000001</formula>
      <formula>0.049999</formula>
    </cfRule>
  </conditionalFormatting>
  <hyperlinks>
    <hyperlink ref="A175" r:id="rId1" display="http://www.eia.gov/dnav/ng/ng_cons_num_dcu_nus_a.htm" xr:uid="{00000000-0004-0000-0900-000000000000}"/>
    <hyperlink ref="A89" location="'NG Sum Distribution PostMeter'!A106" display="Go to Tables for NG  Distribution System Leaks" xr:uid="{D1D737C1-A76A-4FFF-ACEE-DEEB9B631463}"/>
    <hyperlink ref="A98" location="'NG Sum Distribution PostMeter'!A463" display="Go to Tables for Post-Meter Leaks" xr:uid="{09E20E76-7CD4-467F-A26C-AC67F269115C}"/>
    <hyperlink ref="A4" location="'NG Sum Distribution PostMeter'!A81" display="Go to Data for NG Distribution and Post-Meter Emissions Worksheet" xr:uid="{D6FFECE1-C231-4D8B-9C5E-6F5FEDC1D250}"/>
    <hyperlink ref="A2" location="Contents!A1" display="Return to Contents tab" xr:uid="{E8634268-1C50-42D0-AEFB-59599C6A9FB1}"/>
    <hyperlink ref="A3" location="'NG Sum Distribution PostMeter'!A52" display="Go to NG System Summary Tables" xr:uid="{08FFA0F7-E302-4C09-B14D-5E887440AA9E}"/>
  </hyperlinks>
  <pageMargins left="0.7" right="0.7" top="0.75" bottom="0.75" header="0.3" footer="0.3"/>
  <pageSetup scale="19" fitToHeight="0" orientation="landscape" r:id="rId2"/>
  <headerFooter>
    <oddFooter>&amp;L&amp;F &amp;A&amp;R Page &amp;P of &amp;N</oddFooter>
  </headerFooter>
  <rowBreaks count="2" manualBreakCount="2">
    <brk id="150" max="16383" man="1"/>
    <brk id="323" max="16383" man="1"/>
  </rowBreaks>
  <colBreaks count="1" manualBreakCount="1">
    <brk id="26" max="1048575" man="1"/>
  </colBreaks>
  <drawing r:id="rId3"/>
  <tableParts count="44">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E64D-1BE4-6843-B8FA-061FED80C052}">
  <sheetPr>
    <pageSetUpPr fitToPage="1"/>
  </sheetPr>
  <dimension ref="A1:AL496"/>
  <sheetViews>
    <sheetView zoomScaleNormal="100" zoomScaleSheetLayoutView="10" workbookViewId="0">
      <pane xSplit="1" topLeftCell="B1" activePane="topRight" state="frozen"/>
      <selection pane="topRight"/>
    </sheetView>
  </sheetViews>
  <sheetFormatPr defaultColWidth="10.81640625" defaultRowHeight="16" x14ac:dyDescent="0.4"/>
  <cols>
    <col min="1" max="1" width="88.81640625" style="3" customWidth="1"/>
    <col min="2" max="2" width="26.1796875" style="3" customWidth="1"/>
    <col min="3" max="3" width="14.54296875" style="3" customWidth="1"/>
    <col min="4" max="4" width="15.26953125" style="3" customWidth="1"/>
    <col min="5" max="37" width="14.54296875" style="3" customWidth="1"/>
    <col min="38" max="16384" width="10.81640625" style="3"/>
  </cols>
  <sheetData>
    <row r="1" spans="1:6" ht="21" x14ac:dyDescent="0.5">
      <c r="A1" s="52" t="s">
        <v>1422</v>
      </c>
      <c r="F1" s="12"/>
    </row>
    <row r="2" spans="1:6" x14ac:dyDescent="0.4">
      <c r="A2" s="1011" t="s">
        <v>730</v>
      </c>
      <c r="F2" s="12"/>
    </row>
    <row r="3" spans="1:6" x14ac:dyDescent="0.4">
      <c r="A3" s="1011" t="s">
        <v>1106</v>
      </c>
      <c r="F3" s="12"/>
    </row>
    <row r="4" spans="1:6" x14ac:dyDescent="0.4">
      <c r="A4" s="1011"/>
      <c r="F4" s="12"/>
    </row>
    <row r="5" spans="1:6" x14ac:dyDescent="0.4">
      <c r="A5" s="502" t="s">
        <v>1133</v>
      </c>
      <c r="F5" s="12"/>
    </row>
    <row r="6" spans="1:6" ht="17" x14ac:dyDescent="0.45">
      <c r="A6" s="1466" t="s">
        <v>1481</v>
      </c>
      <c r="F6" s="12"/>
    </row>
    <row r="7" spans="1:6" ht="17" x14ac:dyDescent="0.4">
      <c r="A7" s="1473" t="s">
        <v>1482</v>
      </c>
      <c r="F7" s="12"/>
    </row>
    <row r="8" spans="1:6" x14ac:dyDescent="0.4">
      <c r="A8" s="1011"/>
      <c r="F8" s="12"/>
    </row>
    <row r="9" spans="1:6" x14ac:dyDescent="0.4">
      <c r="A9" s="1011"/>
      <c r="F9" s="12"/>
    </row>
    <row r="10" spans="1:6" x14ac:dyDescent="0.4">
      <c r="A10" s="1011"/>
      <c r="F10" s="12"/>
    </row>
    <row r="11" spans="1:6" x14ac:dyDescent="0.4">
      <c r="A11" s="1011"/>
      <c r="F11" s="12"/>
    </row>
    <row r="12" spans="1:6" x14ac:dyDescent="0.4">
      <c r="A12" s="1011"/>
      <c r="F12" s="12"/>
    </row>
    <row r="13" spans="1:6" x14ac:dyDescent="0.4">
      <c r="A13" s="1011"/>
      <c r="F13" s="12"/>
    </row>
    <row r="14" spans="1:6" x14ac:dyDescent="0.4">
      <c r="A14" s="1011"/>
      <c r="F14" s="12"/>
    </row>
    <row r="15" spans="1:6" x14ac:dyDescent="0.4">
      <c r="A15" s="1011"/>
      <c r="F15" s="12"/>
    </row>
    <row r="16" spans="1:6" x14ac:dyDescent="0.4">
      <c r="A16" s="1011"/>
      <c r="F16" s="12"/>
    </row>
    <row r="17" spans="1:27" x14ac:dyDescent="0.4">
      <c r="A17" s="1011"/>
      <c r="F17" s="12"/>
    </row>
    <row r="18" spans="1:27" x14ac:dyDescent="0.4">
      <c r="A18" s="1011"/>
      <c r="F18" s="12"/>
    </row>
    <row r="19" spans="1:27" x14ac:dyDescent="0.4">
      <c r="A19" s="1011"/>
      <c r="F19" s="12"/>
    </row>
    <row r="20" spans="1:27" x14ac:dyDescent="0.4">
      <c r="A20" s="1011"/>
      <c r="F20" s="12"/>
    </row>
    <row r="21" spans="1:27" x14ac:dyDescent="0.4">
      <c r="A21" s="1011"/>
      <c r="F21" s="12"/>
    </row>
    <row r="22" spans="1:27" x14ac:dyDescent="0.4">
      <c r="A22" s="1011"/>
      <c r="F22" s="12"/>
    </row>
    <row r="23" spans="1:27" x14ac:dyDescent="0.4">
      <c r="A23" s="1011"/>
      <c r="F23" s="12"/>
    </row>
    <row r="24" spans="1:27" x14ac:dyDescent="0.4">
      <c r="A24" s="1011"/>
      <c r="F24" s="12"/>
    </row>
    <row r="25" spans="1:27" x14ac:dyDescent="0.4">
      <c r="A25" s="1011"/>
      <c r="F25" s="12"/>
    </row>
    <row r="26" spans="1:27" x14ac:dyDescent="0.4">
      <c r="A26" s="1011"/>
      <c r="F26" s="12"/>
    </row>
    <row r="27" spans="1:27" x14ac:dyDescent="0.4">
      <c r="A27" s="1011"/>
      <c r="F27" s="12"/>
    </row>
    <row r="28" spans="1:27" x14ac:dyDescent="0.4">
      <c r="A28" s="1011"/>
      <c r="F28" s="12"/>
    </row>
    <row r="29" spans="1:27" x14ac:dyDescent="0.4">
      <c r="A29" s="42" t="s">
        <v>1077</v>
      </c>
      <c r="F29" s="12"/>
    </row>
    <row r="30" spans="1:27" x14ac:dyDescent="0.4">
      <c r="A30" s="1175" t="s">
        <v>912</v>
      </c>
      <c r="B30" s="1174" t="s">
        <v>676</v>
      </c>
      <c r="C30" s="1174" t="s">
        <v>673</v>
      </c>
      <c r="D30" s="1174" t="s">
        <v>888</v>
      </c>
      <c r="E30" s="501"/>
      <c r="F30" s="501"/>
      <c r="G30" s="501"/>
      <c r="H30" s="501"/>
      <c r="I30" s="501"/>
      <c r="J30" s="501"/>
      <c r="K30" s="501"/>
      <c r="L30" s="501"/>
      <c r="M30" s="501"/>
      <c r="N30" s="501"/>
      <c r="O30" s="501"/>
      <c r="P30" s="501"/>
      <c r="Q30" s="501"/>
      <c r="R30" s="501"/>
      <c r="S30" s="501"/>
      <c r="T30" s="501"/>
      <c r="U30" s="501"/>
      <c r="V30" s="501"/>
      <c r="W30" s="501"/>
      <c r="X30" s="501"/>
      <c r="Y30" s="501"/>
      <c r="Z30" s="501"/>
      <c r="AA30" s="501"/>
    </row>
    <row r="31" spans="1:27" x14ac:dyDescent="0.4">
      <c r="A31" s="1004" t="s">
        <v>693</v>
      </c>
      <c r="B31" s="1006" t="s">
        <v>692</v>
      </c>
      <c r="C31" s="1342" t="s">
        <v>1167</v>
      </c>
      <c r="D31" s="1061">
        <v>44916</v>
      </c>
      <c r="E31" s="501"/>
      <c r="F31" s="501"/>
      <c r="G31" s="501"/>
      <c r="H31" s="501"/>
      <c r="I31" s="501"/>
      <c r="J31" s="501"/>
      <c r="K31" s="501"/>
      <c r="L31" s="501"/>
      <c r="M31" s="501"/>
      <c r="N31" s="501"/>
      <c r="O31" s="501"/>
      <c r="P31" s="501"/>
      <c r="Q31" s="501"/>
      <c r="R31" s="501"/>
      <c r="S31" s="501"/>
      <c r="T31" s="501"/>
      <c r="U31" s="501"/>
      <c r="V31" s="501"/>
      <c r="W31" s="501"/>
      <c r="X31" s="501"/>
      <c r="Y31" s="501"/>
      <c r="Z31" s="501"/>
      <c r="AA31" s="501"/>
    </row>
    <row r="32" spans="1:27" x14ac:dyDescent="0.4">
      <c r="A32" s="1003" t="s">
        <v>691</v>
      </c>
      <c r="B32" s="1006" t="s">
        <v>692</v>
      </c>
      <c r="C32" s="1395" t="s">
        <v>1278</v>
      </c>
      <c r="D32" s="1007">
        <v>45854</v>
      </c>
      <c r="E32" s="501"/>
      <c r="F32" s="501"/>
      <c r="G32" s="501"/>
      <c r="H32" s="501"/>
      <c r="I32" s="501"/>
      <c r="J32" s="501"/>
      <c r="K32" s="501"/>
      <c r="L32" s="501"/>
      <c r="M32" s="501"/>
      <c r="N32" s="501"/>
      <c r="O32" s="501"/>
      <c r="P32" s="501"/>
      <c r="Q32" s="501"/>
      <c r="R32" s="501"/>
      <c r="S32" s="501"/>
      <c r="T32" s="501"/>
      <c r="U32" s="501"/>
      <c r="V32" s="501"/>
      <c r="W32" s="501"/>
      <c r="X32" s="501"/>
      <c r="Y32" s="501"/>
      <c r="Z32" s="501"/>
      <c r="AA32" s="501"/>
    </row>
    <row r="33" spans="1:27" x14ac:dyDescent="0.4">
      <c r="A33" s="28" t="s">
        <v>1063</v>
      </c>
      <c r="B33" s="86"/>
      <c r="C33" s="86"/>
      <c r="D33" s="86"/>
      <c r="E33" s="501"/>
      <c r="F33" s="501"/>
      <c r="G33" s="501"/>
      <c r="H33" s="501"/>
      <c r="I33" s="501"/>
      <c r="J33" s="501"/>
      <c r="K33" s="501"/>
      <c r="L33" s="501"/>
      <c r="M33" s="501"/>
      <c r="N33" s="501"/>
      <c r="O33" s="501"/>
      <c r="P33" s="501"/>
      <c r="Q33" s="501"/>
      <c r="R33" s="501"/>
      <c r="S33" s="501"/>
      <c r="T33" s="501"/>
      <c r="U33" s="501"/>
      <c r="V33" s="501"/>
      <c r="W33" s="501"/>
      <c r="X33" s="501"/>
      <c r="Y33" s="501"/>
      <c r="Z33" s="501"/>
      <c r="AA33" s="501"/>
    </row>
    <row r="34" spans="1:27" x14ac:dyDescent="0.4">
      <c r="A34" s="28"/>
      <c r="B34" s="86"/>
      <c r="C34" s="86"/>
      <c r="D34" s="86"/>
      <c r="E34" s="501"/>
      <c r="F34" s="501"/>
      <c r="G34" s="501"/>
      <c r="H34" s="501"/>
      <c r="I34" s="501"/>
      <c r="J34" s="501"/>
      <c r="K34" s="501"/>
      <c r="L34" s="501"/>
      <c r="M34" s="501"/>
      <c r="N34" s="501"/>
      <c r="O34" s="501"/>
      <c r="P34" s="501"/>
      <c r="Q34" s="501"/>
      <c r="R34" s="501"/>
      <c r="S34" s="501"/>
      <c r="T34" s="501"/>
      <c r="U34" s="501"/>
      <c r="V34" s="501"/>
      <c r="W34" s="501"/>
      <c r="X34" s="501"/>
      <c r="Y34" s="501"/>
      <c r="Z34" s="501"/>
      <c r="AA34" s="501"/>
    </row>
    <row r="35" spans="1:27" x14ac:dyDescent="0.4">
      <c r="A35" s="42" t="s">
        <v>1066</v>
      </c>
    </row>
    <row r="36" spans="1:27" x14ac:dyDescent="0.4">
      <c r="A36" s="402" t="s">
        <v>796</v>
      </c>
    </row>
    <row r="37" spans="1:27" ht="17" x14ac:dyDescent="0.45">
      <c r="A37" s="1399" t="s">
        <v>1483</v>
      </c>
    </row>
    <row r="38" spans="1:27" ht="17" x14ac:dyDescent="0.45">
      <c r="A38" s="1399" t="s">
        <v>1484</v>
      </c>
    </row>
    <row r="39" spans="1:27" ht="17" x14ac:dyDescent="0.45">
      <c r="A39" s="1399" t="s">
        <v>1485</v>
      </c>
    </row>
    <row r="40" spans="1:27" ht="17" x14ac:dyDescent="0.45">
      <c r="A40" s="1399" t="s">
        <v>1486</v>
      </c>
    </row>
    <row r="41" spans="1:27" ht="17" x14ac:dyDescent="0.45">
      <c r="A41" s="1399" t="s">
        <v>1487</v>
      </c>
    </row>
    <row r="42" spans="1:27" ht="17" x14ac:dyDescent="0.45">
      <c r="A42" s="1399" t="s">
        <v>1488</v>
      </c>
    </row>
    <row r="43" spans="1:27" x14ac:dyDescent="0.4">
      <c r="A43" s="1127" t="s">
        <v>1318</v>
      </c>
    </row>
    <row r="44" spans="1:27" x14ac:dyDescent="0.4">
      <c r="A44" s="90" t="s">
        <v>816</v>
      </c>
    </row>
    <row r="45" spans="1:27" s="1344" customFormat="1" x14ac:dyDescent="0.4">
      <c r="A45" s="1011" t="s">
        <v>1310</v>
      </c>
    </row>
    <row r="46" spans="1:27" x14ac:dyDescent="0.4">
      <c r="A46" s="1221" t="s">
        <v>817</v>
      </c>
    </row>
    <row r="47" spans="1:27" x14ac:dyDescent="0.4">
      <c r="A47" s="1221" t="s">
        <v>818</v>
      </c>
    </row>
    <row r="48" spans="1:27" x14ac:dyDescent="0.4">
      <c r="A48" s="1221" t="s">
        <v>819</v>
      </c>
    </row>
    <row r="50" spans="1:38" s="28" customFormat="1" x14ac:dyDescent="0.4">
      <c r="A50" s="90" t="s">
        <v>796</v>
      </c>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K50" s="3"/>
      <c r="AL50" s="3"/>
    </row>
    <row r="51" spans="1:38" s="28" customFormat="1" x14ac:dyDescent="0.4">
      <c r="A51" s="660" t="s">
        <v>996</v>
      </c>
      <c r="B51" s="660"/>
      <c r="C51" s="597"/>
      <c r="D51" s="597"/>
      <c r="E51" s="597"/>
      <c r="F51" s="597"/>
      <c r="G51" s="597"/>
      <c r="H51" s="682"/>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1398"/>
      <c r="AI51" s="683"/>
      <c r="AJ51" s="683"/>
      <c r="AK51" s="3"/>
      <c r="AL51" s="3"/>
    </row>
    <row r="52" spans="1:38" s="28" customFormat="1" x14ac:dyDescent="0.4">
      <c r="A52" s="88" t="s">
        <v>797</v>
      </c>
      <c r="B52" s="660"/>
      <c r="C52" s="597"/>
      <c r="D52" s="597"/>
      <c r="E52" s="597"/>
      <c r="F52" s="597"/>
      <c r="G52" s="597"/>
      <c r="H52" s="682"/>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683"/>
      <c r="AI52" s="683"/>
      <c r="AJ52" s="683"/>
      <c r="AK52" s="3"/>
      <c r="AL52" s="3"/>
    </row>
    <row r="53" spans="1:38" s="28" customFormat="1" ht="16" customHeight="1" x14ac:dyDescent="0.4">
      <c r="A53" s="1218" t="s">
        <v>542</v>
      </c>
      <c r="B53" s="1202" t="s">
        <v>136</v>
      </c>
      <c r="C53" s="1128" t="s">
        <v>391</v>
      </c>
      <c r="D53" s="1128" t="s">
        <v>392</v>
      </c>
      <c r="E53" s="1128" t="s">
        <v>393</v>
      </c>
      <c r="F53" s="1128" t="s">
        <v>394</v>
      </c>
      <c r="G53" s="1128" t="s">
        <v>395</v>
      </c>
      <c r="H53" s="1128" t="s">
        <v>396</v>
      </c>
      <c r="I53" s="1128" t="s">
        <v>397</v>
      </c>
      <c r="J53" s="1128" t="s">
        <v>398</v>
      </c>
      <c r="K53" s="1128" t="s">
        <v>399</v>
      </c>
      <c r="L53" s="1128" t="s">
        <v>400</v>
      </c>
      <c r="M53" s="1128" t="s">
        <v>401</v>
      </c>
      <c r="N53" s="1128" t="s">
        <v>402</v>
      </c>
      <c r="O53" s="1128" t="s">
        <v>403</v>
      </c>
      <c r="P53" s="1128" t="s">
        <v>404</v>
      </c>
      <c r="Q53" s="1128" t="s">
        <v>405</v>
      </c>
      <c r="R53" s="1128" t="s">
        <v>406</v>
      </c>
      <c r="S53" s="1128" t="s">
        <v>407</v>
      </c>
      <c r="T53" s="1128" t="s">
        <v>408</v>
      </c>
      <c r="U53" s="1128" t="s">
        <v>409</v>
      </c>
      <c r="V53" s="1128" t="s">
        <v>410</v>
      </c>
      <c r="W53" s="1128" t="s">
        <v>411</v>
      </c>
      <c r="X53" s="1128" t="s">
        <v>412</v>
      </c>
      <c r="Y53" s="1128" t="s">
        <v>413</v>
      </c>
      <c r="Z53" s="1128" t="s">
        <v>414</v>
      </c>
      <c r="AA53" s="1128" t="s">
        <v>415</v>
      </c>
      <c r="AB53" s="1128" t="s">
        <v>416</v>
      </c>
      <c r="AC53" s="1128" t="s">
        <v>417</v>
      </c>
      <c r="AD53" s="1128" t="s">
        <v>418</v>
      </c>
      <c r="AE53" s="1128" t="s">
        <v>419</v>
      </c>
      <c r="AF53" s="1128" t="s">
        <v>420</v>
      </c>
      <c r="AG53" s="1129" t="s">
        <v>421</v>
      </c>
      <c r="AH53" s="1128" t="s">
        <v>422</v>
      </c>
      <c r="AI53" s="1129" t="s">
        <v>423</v>
      </c>
      <c r="AJ53" s="1128" t="s">
        <v>424</v>
      </c>
      <c r="AK53" s="3"/>
      <c r="AL53" s="3"/>
    </row>
    <row r="54" spans="1:38" s="28" customFormat="1" x14ac:dyDescent="0.4">
      <c r="A54" s="645" t="s">
        <v>538</v>
      </c>
      <c r="B54" s="535" t="s">
        <v>170</v>
      </c>
      <c r="C54" s="565">
        <v>925</v>
      </c>
      <c r="D54" s="565">
        <v>934.3</v>
      </c>
      <c r="E54" s="565">
        <v>934.8</v>
      </c>
      <c r="F54" s="565">
        <v>940.4</v>
      </c>
      <c r="G54" s="565">
        <v>943.3</v>
      </c>
      <c r="H54" s="565">
        <v>944.3</v>
      </c>
      <c r="I54" s="565">
        <v>967.40000000000009</v>
      </c>
      <c r="J54" s="565">
        <v>966.5</v>
      </c>
      <c r="K54" s="565">
        <v>975</v>
      </c>
      <c r="L54" s="565">
        <v>990.93911671924297</v>
      </c>
      <c r="M54" s="565">
        <v>995.93911671924297</v>
      </c>
      <c r="N54" s="565">
        <v>1040</v>
      </c>
      <c r="O54" s="565">
        <v>1054.1300000000001</v>
      </c>
      <c r="P54" s="565">
        <v>1051.2840000000001</v>
      </c>
      <c r="Q54" s="565">
        <v>1096</v>
      </c>
      <c r="R54" s="565">
        <v>1100.26</v>
      </c>
      <c r="S54" s="565">
        <v>1093.7399999999998</v>
      </c>
      <c r="T54" s="565">
        <v>1110.4699999999998</v>
      </c>
      <c r="U54" s="565">
        <v>1109.7399999999998</v>
      </c>
      <c r="V54" s="565">
        <v>1113.27</v>
      </c>
      <c r="W54" s="565">
        <v>1071.5</v>
      </c>
      <c r="X54" s="565">
        <v>1125.1600000000001</v>
      </c>
      <c r="Y54" s="565">
        <v>1125.1699999999998</v>
      </c>
      <c r="Z54" s="565">
        <v>1129.32</v>
      </c>
      <c r="AA54" s="565">
        <v>1129.346</v>
      </c>
      <c r="AB54" s="565">
        <v>1130.3899999999999</v>
      </c>
      <c r="AC54" s="565">
        <v>1135.0399999999997</v>
      </c>
      <c r="AD54" s="565">
        <v>1132.8789999999999</v>
      </c>
      <c r="AE54" s="565">
        <v>1133.579</v>
      </c>
      <c r="AF54" s="565">
        <v>1127.819</v>
      </c>
      <c r="AG54" s="565">
        <v>1130.329</v>
      </c>
      <c r="AH54" s="565">
        <v>1130.8490000000002</v>
      </c>
      <c r="AI54" s="599">
        <v>1128.2</v>
      </c>
      <c r="AJ54" s="599">
        <v>1127</v>
      </c>
      <c r="AK54" s="3"/>
      <c r="AL54" s="3"/>
    </row>
    <row r="55" spans="1:38" s="28" customFormat="1" x14ac:dyDescent="0.4">
      <c r="A55" s="1188" t="s">
        <v>1063</v>
      </c>
      <c r="B55" s="1189"/>
      <c r="C55" s="1190"/>
      <c r="D55" s="1190"/>
      <c r="E55" s="1190"/>
      <c r="F55" s="1190"/>
      <c r="G55" s="1190"/>
      <c r="H55" s="1190"/>
      <c r="I55" s="1190"/>
      <c r="J55" s="1190"/>
      <c r="K55" s="1190"/>
      <c r="L55" s="1190"/>
      <c r="M55" s="1190"/>
      <c r="N55" s="1190"/>
      <c r="O55" s="1190"/>
      <c r="P55" s="1190"/>
      <c r="Q55" s="1190"/>
      <c r="R55" s="1190"/>
      <c r="S55" s="1190"/>
      <c r="T55" s="1190"/>
      <c r="U55" s="1190"/>
      <c r="V55" s="1190"/>
      <c r="W55" s="1190"/>
      <c r="X55" s="1190"/>
      <c r="Y55" s="1190"/>
      <c r="Z55" s="1190"/>
      <c r="AA55" s="1190"/>
      <c r="AB55" s="1190"/>
      <c r="AC55" s="1190"/>
      <c r="AD55" s="1190"/>
      <c r="AE55" s="1190"/>
      <c r="AF55" s="1190"/>
      <c r="AG55" s="1190"/>
      <c r="AH55" s="1190"/>
      <c r="AI55" s="1191"/>
      <c r="AJ55" s="1191"/>
      <c r="AK55" s="3"/>
      <c r="AL55" s="3"/>
    </row>
    <row r="56" spans="1:38" s="28" customFormat="1" x14ac:dyDescent="0.4">
      <c r="A56" s="581"/>
      <c r="B56" s="581"/>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3"/>
      <c r="AL56" s="3"/>
    </row>
    <row r="57" spans="1:38" s="28" customFormat="1" x14ac:dyDescent="0.4">
      <c r="A57" s="88" t="s">
        <v>799</v>
      </c>
      <c r="B57" s="581"/>
      <c r="C57" s="89"/>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3"/>
      <c r="AL57" s="3"/>
    </row>
    <row r="58" spans="1:38" s="28" customFormat="1" ht="16" customHeight="1" x14ac:dyDescent="0.4">
      <c r="A58" s="1218" t="s">
        <v>798</v>
      </c>
      <c r="B58" s="1202" t="s">
        <v>136</v>
      </c>
      <c r="C58" s="1128" t="s">
        <v>391</v>
      </c>
      <c r="D58" s="1128" t="s">
        <v>392</v>
      </c>
      <c r="E58" s="1128" t="s">
        <v>393</v>
      </c>
      <c r="F58" s="1128" t="s">
        <v>394</v>
      </c>
      <c r="G58" s="1128" t="s">
        <v>395</v>
      </c>
      <c r="H58" s="1128" t="s">
        <v>396</v>
      </c>
      <c r="I58" s="1128" t="s">
        <v>397</v>
      </c>
      <c r="J58" s="1128" t="s">
        <v>398</v>
      </c>
      <c r="K58" s="1128" t="s">
        <v>399</v>
      </c>
      <c r="L58" s="1128" t="s">
        <v>400</v>
      </c>
      <c r="M58" s="1128" t="s">
        <v>401</v>
      </c>
      <c r="N58" s="1128" t="s">
        <v>402</v>
      </c>
      <c r="O58" s="1128" t="s">
        <v>403</v>
      </c>
      <c r="P58" s="1128" t="s">
        <v>404</v>
      </c>
      <c r="Q58" s="1128" t="s">
        <v>405</v>
      </c>
      <c r="R58" s="1128" t="s">
        <v>406</v>
      </c>
      <c r="S58" s="1128" t="s">
        <v>407</v>
      </c>
      <c r="T58" s="1128" t="s">
        <v>408</v>
      </c>
      <c r="U58" s="1128" t="s">
        <v>409</v>
      </c>
      <c r="V58" s="1128" t="s">
        <v>410</v>
      </c>
      <c r="W58" s="1128" t="s">
        <v>411</v>
      </c>
      <c r="X58" s="1128" t="s">
        <v>412</v>
      </c>
      <c r="Y58" s="1128" t="s">
        <v>413</v>
      </c>
      <c r="Z58" s="1128" t="s">
        <v>414</v>
      </c>
      <c r="AA58" s="1128" t="s">
        <v>415</v>
      </c>
      <c r="AB58" s="1128" t="s">
        <v>416</v>
      </c>
      <c r="AC58" s="1128" t="s">
        <v>417</v>
      </c>
      <c r="AD58" s="1128" t="s">
        <v>418</v>
      </c>
      <c r="AE58" s="1128" t="s">
        <v>419</v>
      </c>
      <c r="AF58" s="1128" t="s">
        <v>420</v>
      </c>
      <c r="AG58" s="1129" t="s">
        <v>421</v>
      </c>
      <c r="AH58" s="1128" t="s">
        <v>422</v>
      </c>
      <c r="AI58" s="1129" t="s">
        <v>423</v>
      </c>
      <c r="AJ58" s="1128" t="s">
        <v>424</v>
      </c>
      <c r="AK58" s="3"/>
      <c r="AL58" s="3"/>
    </row>
    <row r="59" spans="1:38" s="28" customFormat="1" x14ac:dyDescent="0.4">
      <c r="A59" s="643" t="s">
        <v>539</v>
      </c>
      <c r="B59" s="532" t="s">
        <v>171</v>
      </c>
      <c r="C59" s="566">
        <v>4</v>
      </c>
      <c r="D59" s="566">
        <v>4</v>
      </c>
      <c r="E59" s="566">
        <v>4</v>
      </c>
      <c r="F59" s="566">
        <v>4</v>
      </c>
      <c r="G59" s="566">
        <v>4</v>
      </c>
      <c r="H59" s="566">
        <v>4</v>
      </c>
      <c r="I59" s="566">
        <v>4</v>
      </c>
      <c r="J59" s="566">
        <v>4</v>
      </c>
      <c r="K59" s="566">
        <v>4</v>
      </c>
      <c r="L59" s="566">
        <v>4</v>
      </c>
      <c r="M59" s="566">
        <v>4</v>
      </c>
      <c r="N59" s="566">
        <v>4</v>
      </c>
      <c r="O59" s="566">
        <v>4</v>
      </c>
      <c r="P59" s="566">
        <v>4</v>
      </c>
      <c r="Q59" s="566">
        <v>4</v>
      </c>
      <c r="R59" s="566">
        <v>4</v>
      </c>
      <c r="S59" s="566">
        <v>4</v>
      </c>
      <c r="T59" s="566">
        <v>4</v>
      </c>
      <c r="U59" s="566">
        <v>4</v>
      </c>
      <c r="V59" s="566">
        <v>4</v>
      </c>
      <c r="W59" s="566">
        <v>4</v>
      </c>
      <c r="X59" s="566">
        <v>4</v>
      </c>
      <c r="Y59" s="566">
        <v>5</v>
      </c>
      <c r="Z59" s="566">
        <v>5</v>
      </c>
      <c r="AA59" s="566">
        <v>5</v>
      </c>
      <c r="AB59" s="566">
        <v>5</v>
      </c>
      <c r="AC59" s="566">
        <v>5</v>
      </c>
      <c r="AD59" s="566">
        <v>5</v>
      </c>
      <c r="AE59" s="566">
        <v>5</v>
      </c>
      <c r="AF59" s="566">
        <v>5</v>
      </c>
      <c r="AG59" s="566">
        <v>5</v>
      </c>
      <c r="AH59" s="566">
        <v>6</v>
      </c>
      <c r="AI59" s="566">
        <v>6</v>
      </c>
      <c r="AJ59" s="566">
        <v>6</v>
      </c>
      <c r="AK59" s="3"/>
      <c r="AL59" s="3"/>
    </row>
    <row r="60" spans="1:38" s="28" customFormat="1" x14ac:dyDescent="0.4">
      <c r="A60" s="685" t="s">
        <v>172</v>
      </c>
      <c r="B60" s="533" t="s">
        <v>171</v>
      </c>
      <c r="C60" s="566">
        <f>C59</f>
        <v>4</v>
      </c>
      <c r="D60" s="566">
        <f t="shared" ref="D60:AJ60" si="0">D59</f>
        <v>4</v>
      </c>
      <c r="E60" s="566">
        <f t="shared" si="0"/>
        <v>4</v>
      </c>
      <c r="F60" s="566">
        <f t="shared" si="0"/>
        <v>4</v>
      </c>
      <c r="G60" s="566">
        <f t="shared" si="0"/>
        <v>4</v>
      </c>
      <c r="H60" s="566">
        <f t="shared" si="0"/>
        <v>4</v>
      </c>
      <c r="I60" s="566">
        <f t="shared" si="0"/>
        <v>4</v>
      </c>
      <c r="J60" s="566">
        <f t="shared" si="0"/>
        <v>4</v>
      </c>
      <c r="K60" s="566">
        <f t="shared" si="0"/>
        <v>4</v>
      </c>
      <c r="L60" s="566">
        <f t="shared" si="0"/>
        <v>4</v>
      </c>
      <c r="M60" s="566">
        <f t="shared" si="0"/>
        <v>4</v>
      </c>
      <c r="N60" s="566">
        <f t="shared" si="0"/>
        <v>4</v>
      </c>
      <c r="O60" s="566">
        <f t="shared" si="0"/>
        <v>4</v>
      </c>
      <c r="P60" s="566">
        <f t="shared" si="0"/>
        <v>4</v>
      </c>
      <c r="Q60" s="566">
        <f t="shared" si="0"/>
        <v>4</v>
      </c>
      <c r="R60" s="566">
        <f t="shared" si="0"/>
        <v>4</v>
      </c>
      <c r="S60" s="566">
        <f t="shared" si="0"/>
        <v>4</v>
      </c>
      <c r="T60" s="566">
        <f t="shared" si="0"/>
        <v>4</v>
      </c>
      <c r="U60" s="566">
        <f t="shared" si="0"/>
        <v>4</v>
      </c>
      <c r="V60" s="566">
        <f t="shared" si="0"/>
        <v>4</v>
      </c>
      <c r="W60" s="566">
        <f t="shared" si="0"/>
        <v>4</v>
      </c>
      <c r="X60" s="566">
        <f t="shared" si="0"/>
        <v>4</v>
      </c>
      <c r="Y60" s="566">
        <f t="shared" si="0"/>
        <v>5</v>
      </c>
      <c r="Z60" s="566">
        <f t="shared" si="0"/>
        <v>5</v>
      </c>
      <c r="AA60" s="566">
        <f t="shared" si="0"/>
        <v>5</v>
      </c>
      <c r="AB60" s="566">
        <f t="shared" si="0"/>
        <v>5</v>
      </c>
      <c r="AC60" s="566">
        <f t="shared" si="0"/>
        <v>5</v>
      </c>
      <c r="AD60" s="566">
        <f t="shared" si="0"/>
        <v>5</v>
      </c>
      <c r="AE60" s="566">
        <f t="shared" si="0"/>
        <v>5</v>
      </c>
      <c r="AF60" s="566">
        <f t="shared" si="0"/>
        <v>5</v>
      </c>
      <c r="AG60" s="566">
        <f t="shared" si="0"/>
        <v>5</v>
      </c>
      <c r="AH60" s="566">
        <f t="shared" si="0"/>
        <v>6</v>
      </c>
      <c r="AI60" s="566">
        <f t="shared" si="0"/>
        <v>6</v>
      </c>
      <c r="AJ60" s="566">
        <f t="shared" si="0"/>
        <v>6</v>
      </c>
      <c r="AK60" s="3"/>
      <c r="AL60" s="3"/>
    </row>
    <row r="61" spans="1:38" s="28" customFormat="1" x14ac:dyDescent="0.4">
      <c r="A61" s="685" t="s">
        <v>173</v>
      </c>
      <c r="B61" s="533" t="s">
        <v>174</v>
      </c>
      <c r="C61" s="566">
        <v>3</v>
      </c>
      <c r="D61" s="566">
        <v>3</v>
      </c>
      <c r="E61" s="566">
        <v>3</v>
      </c>
      <c r="F61" s="566">
        <v>3</v>
      </c>
      <c r="G61" s="566">
        <v>3</v>
      </c>
      <c r="H61" s="566">
        <v>3</v>
      </c>
      <c r="I61" s="566">
        <v>3</v>
      </c>
      <c r="J61" s="566">
        <v>3</v>
      </c>
      <c r="K61" s="566">
        <v>3</v>
      </c>
      <c r="L61" s="566">
        <v>3</v>
      </c>
      <c r="M61" s="566">
        <v>3</v>
      </c>
      <c r="N61" s="566">
        <v>3</v>
      </c>
      <c r="O61" s="566">
        <v>3</v>
      </c>
      <c r="P61" s="566">
        <v>3</v>
      </c>
      <c r="Q61" s="566">
        <v>3</v>
      </c>
      <c r="R61" s="566">
        <v>3</v>
      </c>
      <c r="S61" s="566">
        <v>3</v>
      </c>
      <c r="T61" s="566">
        <v>3</v>
      </c>
      <c r="U61" s="566">
        <v>3</v>
      </c>
      <c r="V61" s="566">
        <v>3</v>
      </c>
      <c r="W61" s="566">
        <v>3</v>
      </c>
      <c r="X61" s="566">
        <v>1</v>
      </c>
      <c r="Y61" s="566">
        <v>1</v>
      </c>
      <c r="Z61" s="566">
        <v>1</v>
      </c>
      <c r="AA61" s="566">
        <v>1</v>
      </c>
      <c r="AB61" s="566">
        <v>1</v>
      </c>
      <c r="AC61" s="566">
        <v>1</v>
      </c>
      <c r="AD61" s="566">
        <v>1</v>
      </c>
      <c r="AE61" s="566">
        <v>1</v>
      </c>
      <c r="AF61" s="566">
        <v>1</v>
      </c>
      <c r="AG61" s="566">
        <v>1</v>
      </c>
      <c r="AH61" s="566">
        <v>1</v>
      </c>
      <c r="AI61" s="566">
        <v>1</v>
      </c>
      <c r="AJ61" s="566">
        <v>1</v>
      </c>
      <c r="AK61" s="3"/>
      <c r="AL61" s="3"/>
    </row>
    <row r="62" spans="1:38" s="28" customFormat="1" x14ac:dyDescent="0.4">
      <c r="A62" s="685" t="s">
        <v>175</v>
      </c>
      <c r="B62" s="533" t="s">
        <v>174</v>
      </c>
      <c r="C62" s="566">
        <v>11</v>
      </c>
      <c r="D62" s="566">
        <v>11</v>
      </c>
      <c r="E62" s="566">
        <v>11</v>
      </c>
      <c r="F62" s="566">
        <v>11</v>
      </c>
      <c r="G62" s="566">
        <v>11</v>
      </c>
      <c r="H62" s="566">
        <v>11</v>
      </c>
      <c r="I62" s="566">
        <v>11</v>
      </c>
      <c r="J62" s="566">
        <v>11</v>
      </c>
      <c r="K62" s="566">
        <v>11</v>
      </c>
      <c r="L62" s="566">
        <v>11</v>
      </c>
      <c r="M62" s="566">
        <v>11</v>
      </c>
      <c r="N62" s="566">
        <v>11</v>
      </c>
      <c r="O62" s="566">
        <v>11</v>
      </c>
      <c r="P62" s="566">
        <v>11</v>
      </c>
      <c r="Q62" s="566">
        <v>11</v>
      </c>
      <c r="R62" s="566">
        <v>11</v>
      </c>
      <c r="S62" s="566">
        <v>11</v>
      </c>
      <c r="T62" s="566">
        <v>11</v>
      </c>
      <c r="U62" s="566">
        <v>11</v>
      </c>
      <c r="V62" s="566">
        <v>11</v>
      </c>
      <c r="W62" s="566">
        <v>11</v>
      </c>
      <c r="X62" s="566">
        <v>9</v>
      </c>
      <c r="Y62" s="566">
        <v>9</v>
      </c>
      <c r="Z62" s="566">
        <v>9</v>
      </c>
      <c r="AA62" s="566">
        <v>9</v>
      </c>
      <c r="AB62" s="566">
        <v>9</v>
      </c>
      <c r="AC62" s="566">
        <v>9</v>
      </c>
      <c r="AD62" s="566">
        <v>9</v>
      </c>
      <c r="AE62" s="566">
        <v>9</v>
      </c>
      <c r="AF62" s="566">
        <v>9</v>
      </c>
      <c r="AG62" s="566">
        <v>9</v>
      </c>
      <c r="AH62" s="566">
        <v>8</v>
      </c>
      <c r="AI62" s="566">
        <v>9</v>
      </c>
      <c r="AJ62" s="566">
        <v>9</v>
      </c>
      <c r="AK62" s="3"/>
      <c r="AL62" s="3"/>
    </row>
    <row r="63" spans="1:38" s="28" customFormat="1" x14ac:dyDescent="0.4">
      <c r="A63" s="686" t="s">
        <v>176</v>
      </c>
      <c r="B63" s="535" t="s">
        <v>174</v>
      </c>
      <c r="C63" s="566">
        <v>0</v>
      </c>
      <c r="D63" s="566">
        <v>0</v>
      </c>
      <c r="E63" s="566">
        <v>0</v>
      </c>
      <c r="F63" s="566">
        <v>0</v>
      </c>
      <c r="G63" s="566">
        <v>0</v>
      </c>
      <c r="H63" s="566">
        <v>0</v>
      </c>
      <c r="I63" s="566">
        <v>0</v>
      </c>
      <c r="J63" s="566">
        <v>0</v>
      </c>
      <c r="K63" s="566">
        <v>0</v>
      </c>
      <c r="L63" s="566">
        <v>0</v>
      </c>
      <c r="M63" s="566">
        <v>0</v>
      </c>
      <c r="N63" s="566">
        <v>0</v>
      </c>
      <c r="O63" s="566">
        <v>0</v>
      </c>
      <c r="P63" s="566">
        <v>0</v>
      </c>
      <c r="Q63" s="566">
        <v>0</v>
      </c>
      <c r="R63" s="566">
        <v>0</v>
      </c>
      <c r="S63" s="566">
        <v>0</v>
      </c>
      <c r="T63" s="566">
        <v>0</v>
      </c>
      <c r="U63" s="566">
        <v>0</v>
      </c>
      <c r="V63" s="566">
        <v>0</v>
      </c>
      <c r="W63" s="566">
        <v>0</v>
      </c>
      <c r="X63" s="566">
        <v>5</v>
      </c>
      <c r="Y63" s="566">
        <v>6</v>
      </c>
      <c r="Z63" s="566">
        <v>6</v>
      </c>
      <c r="AA63" s="566">
        <v>6</v>
      </c>
      <c r="AB63" s="566">
        <v>6</v>
      </c>
      <c r="AC63" s="566">
        <v>6</v>
      </c>
      <c r="AD63" s="566">
        <v>6</v>
      </c>
      <c r="AE63" s="566">
        <v>6</v>
      </c>
      <c r="AF63" s="566">
        <v>6</v>
      </c>
      <c r="AG63" s="566">
        <v>6</v>
      </c>
      <c r="AH63" s="566">
        <v>6</v>
      </c>
      <c r="AI63" s="566">
        <v>6</v>
      </c>
      <c r="AJ63" s="566">
        <v>6</v>
      </c>
      <c r="AK63" s="3"/>
      <c r="AL63" s="3"/>
    </row>
    <row r="64" spans="1:38" s="28" customFormat="1" x14ac:dyDescent="0.4">
      <c r="A64" s="1188" t="s">
        <v>1063</v>
      </c>
      <c r="B64" s="1189"/>
      <c r="C64" s="1192"/>
      <c r="D64" s="1192"/>
      <c r="E64" s="1192"/>
      <c r="F64" s="1192"/>
      <c r="G64" s="1192"/>
      <c r="H64" s="1192"/>
      <c r="I64" s="1192"/>
      <c r="J64" s="1192"/>
      <c r="K64" s="1192"/>
      <c r="L64" s="1192"/>
      <c r="M64" s="1192"/>
      <c r="N64" s="1192"/>
      <c r="O64" s="1192"/>
      <c r="P64" s="1192"/>
      <c r="Q64" s="1192"/>
      <c r="R64" s="1192"/>
      <c r="S64" s="1192"/>
      <c r="T64" s="1192"/>
      <c r="U64" s="1192"/>
      <c r="V64" s="1192"/>
      <c r="W64" s="1192"/>
      <c r="X64" s="1192"/>
      <c r="Y64" s="1192"/>
      <c r="Z64" s="1192"/>
      <c r="AA64" s="1192"/>
      <c r="AB64" s="1192"/>
      <c r="AC64" s="1192"/>
      <c r="AD64" s="1192"/>
      <c r="AE64" s="1192"/>
      <c r="AF64" s="1192"/>
      <c r="AG64" s="1192"/>
      <c r="AH64" s="1192"/>
      <c r="AI64" s="1192"/>
      <c r="AJ64" s="1192"/>
      <c r="AK64" s="3"/>
      <c r="AL64" s="3"/>
    </row>
    <row r="65" spans="1:38" s="28" customFormat="1" x14ac:dyDescent="0.4">
      <c r="A65" s="581"/>
      <c r="B65" s="581"/>
      <c r="C65" s="567"/>
      <c r="D65" s="567"/>
      <c r="E65" s="567"/>
      <c r="F65" s="567"/>
      <c r="G65" s="567"/>
      <c r="H65" s="567"/>
      <c r="I65" s="567"/>
      <c r="J65" s="567"/>
      <c r="K65" s="567"/>
      <c r="L65" s="567"/>
      <c r="M65" s="567"/>
      <c r="N65" s="567"/>
      <c r="O65" s="567"/>
      <c r="P65" s="567"/>
      <c r="Q65" s="567"/>
      <c r="R65" s="567"/>
      <c r="S65" s="567"/>
      <c r="T65" s="567"/>
      <c r="U65" s="567"/>
      <c r="V65" s="567"/>
      <c r="W65" s="567"/>
      <c r="X65" s="567"/>
      <c r="Y65" s="567"/>
      <c r="Z65" s="567"/>
      <c r="AA65" s="567"/>
      <c r="AB65" s="567"/>
      <c r="AC65" s="567"/>
      <c r="AD65" s="567"/>
      <c r="AE65" s="567"/>
      <c r="AF65" s="567"/>
      <c r="AG65" s="567"/>
      <c r="AH65" s="567"/>
      <c r="AI65" s="567"/>
      <c r="AJ65" s="567"/>
      <c r="AK65" s="3"/>
      <c r="AL65" s="3"/>
    </row>
    <row r="66" spans="1:38" s="28" customFormat="1" x14ac:dyDescent="0.4">
      <c r="A66" s="660" t="s">
        <v>546</v>
      </c>
      <c r="B66" s="581"/>
      <c r="C66" s="567"/>
      <c r="D66" s="567"/>
      <c r="E66" s="567"/>
      <c r="F66" s="567"/>
      <c r="G66" s="567"/>
      <c r="H66" s="567"/>
      <c r="I66" s="567"/>
      <c r="J66" s="567"/>
      <c r="K66" s="567"/>
      <c r="L66" s="567"/>
      <c r="M66" s="567"/>
      <c r="N66" s="567"/>
      <c r="O66" s="567"/>
      <c r="P66" s="567"/>
      <c r="Q66" s="567"/>
      <c r="R66" s="567"/>
      <c r="S66" s="567"/>
      <c r="T66" s="567"/>
      <c r="U66" s="567"/>
      <c r="V66" s="567"/>
      <c r="W66" s="567"/>
      <c r="X66" s="567"/>
      <c r="Y66" s="567"/>
      <c r="Z66" s="567"/>
      <c r="AA66" s="567"/>
      <c r="AB66" s="567"/>
      <c r="AC66" s="567"/>
      <c r="AD66" s="567"/>
      <c r="AE66" s="567"/>
      <c r="AF66" s="567"/>
      <c r="AG66" s="567"/>
      <c r="AH66" s="567"/>
      <c r="AI66" s="567"/>
      <c r="AJ66" s="567"/>
      <c r="AK66" s="3"/>
      <c r="AL66" s="3"/>
    </row>
    <row r="67" spans="1:38" s="28" customFormat="1" x14ac:dyDescent="0.4">
      <c r="A67" s="1389" t="s">
        <v>1324</v>
      </c>
      <c r="B67" s="581"/>
      <c r="C67" s="567"/>
      <c r="D67" s="567"/>
      <c r="E67" s="567"/>
      <c r="F67" s="567"/>
      <c r="G67" s="567"/>
      <c r="H67" s="567"/>
      <c r="I67" s="567"/>
      <c r="J67" s="567"/>
      <c r="K67" s="567"/>
      <c r="L67" s="567"/>
      <c r="M67" s="567"/>
      <c r="N67" s="567"/>
      <c r="O67" s="567"/>
      <c r="P67" s="567"/>
      <c r="Q67" s="567"/>
      <c r="R67" s="567"/>
      <c r="S67" s="567"/>
      <c r="T67" s="567"/>
      <c r="U67" s="567"/>
      <c r="V67" s="567"/>
      <c r="W67" s="567"/>
      <c r="X67" s="567"/>
      <c r="Y67" s="567"/>
      <c r="Z67" s="567"/>
      <c r="AA67" s="567"/>
      <c r="AB67" s="567"/>
      <c r="AC67" s="567"/>
      <c r="AD67" s="567"/>
      <c r="AE67" s="567"/>
      <c r="AF67" s="567"/>
      <c r="AG67" s="567"/>
      <c r="AH67" s="567"/>
      <c r="AI67" s="567"/>
      <c r="AJ67" s="567"/>
      <c r="AK67" s="3"/>
      <c r="AL67" s="3"/>
    </row>
    <row r="68" spans="1:38" s="28" customFormat="1" x14ac:dyDescent="0.4">
      <c r="A68" s="1397" t="s">
        <v>1328</v>
      </c>
      <c r="B68" s="581"/>
      <c r="C68" s="567"/>
      <c r="D68" s="567"/>
      <c r="E68" s="567"/>
      <c r="F68" s="567"/>
      <c r="G68" s="567"/>
      <c r="H68" s="567"/>
      <c r="I68" s="567"/>
      <c r="J68" s="567"/>
      <c r="K68" s="567"/>
      <c r="L68" s="567"/>
      <c r="M68" s="567"/>
      <c r="N68" s="567"/>
      <c r="O68" s="567"/>
      <c r="P68" s="567"/>
      <c r="Q68" s="567"/>
      <c r="R68" s="567"/>
      <c r="S68" s="567"/>
      <c r="T68" s="567"/>
      <c r="U68" s="567"/>
      <c r="V68" s="567"/>
      <c r="W68" s="567"/>
      <c r="X68" s="567"/>
      <c r="Y68" s="567"/>
      <c r="Z68" s="567"/>
      <c r="AA68" s="567"/>
      <c r="AB68" s="567"/>
      <c r="AC68" s="567"/>
      <c r="AD68" s="567"/>
      <c r="AE68" s="567"/>
      <c r="AF68" s="567"/>
      <c r="AG68" s="567"/>
      <c r="AH68" s="567"/>
      <c r="AI68" s="567"/>
      <c r="AJ68" s="567"/>
      <c r="AK68" s="3"/>
      <c r="AL68" s="3"/>
    </row>
    <row r="69" spans="1:38" s="28" customFormat="1" x14ac:dyDescent="0.4">
      <c r="A69" s="1397" t="s">
        <v>1311</v>
      </c>
      <c r="B69" s="581"/>
      <c r="C69" s="567"/>
      <c r="D69" s="567"/>
      <c r="E69" s="567"/>
      <c r="F69" s="567"/>
      <c r="G69" s="567"/>
      <c r="H69" s="567"/>
      <c r="I69" s="567"/>
      <c r="J69" s="567"/>
      <c r="K69" s="567"/>
      <c r="L69" s="567"/>
      <c r="M69" s="567"/>
      <c r="N69" s="567"/>
      <c r="O69" s="567"/>
      <c r="P69" s="567"/>
      <c r="Q69" s="567"/>
      <c r="R69" s="567"/>
      <c r="S69" s="567"/>
      <c r="T69" s="567"/>
      <c r="U69" s="567"/>
      <c r="V69" s="567"/>
      <c r="W69" s="567"/>
      <c r="X69" s="567"/>
      <c r="Y69" s="567"/>
      <c r="Z69" s="567"/>
      <c r="AA69" s="567"/>
      <c r="AB69" s="567"/>
      <c r="AC69" s="567"/>
      <c r="AD69" s="567"/>
      <c r="AE69" s="567"/>
      <c r="AF69" s="567"/>
      <c r="AG69" s="567"/>
      <c r="AH69" s="567"/>
      <c r="AI69" s="567"/>
      <c r="AJ69" s="567"/>
      <c r="AK69" s="3"/>
      <c r="AL69" s="3"/>
    </row>
    <row r="70" spans="1:38" s="28" customFormat="1" x14ac:dyDescent="0.4">
      <c r="A70" s="1397" t="s">
        <v>1327</v>
      </c>
      <c r="B70" s="581"/>
      <c r="C70" s="567"/>
      <c r="D70" s="567"/>
      <c r="E70" s="567"/>
      <c r="F70" s="567"/>
      <c r="G70" s="567"/>
      <c r="H70" s="567"/>
      <c r="I70" s="567"/>
      <c r="J70" s="567"/>
      <c r="K70" s="567"/>
      <c r="L70" s="567"/>
      <c r="M70" s="567"/>
      <c r="N70" s="567"/>
      <c r="O70" s="567"/>
      <c r="P70" s="567"/>
      <c r="Q70" s="567"/>
      <c r="R70" s="567"/>
      <c r="S70" s="567"/>
      <c r="T70" s="567"/>
      <c r="U70" s="567"/>
      <c r="V70" s="567"/>
      <c r="W70" s="567"/>
      <c r="X70" s="567"/>
      <c r="Y70" s="567"/>
      <c r="Z70" s="567"/>
      <c r="AA70" s="567"/>
      <c r="AB70" s="567"/>
      <c r="AC70" s="567"/>
      <c r="AD70" s="567"/>
      <c r="AE70" s="567"/>
      <c r="AF70" s="567"/>
      <c r="AG70" s="567"/>
      <c r="AH70" s="567"/>
      <c r="AI70" s="567"/>
      <c r="AJ70" s="567"/>
      <c r="AK70" s="3"/>
      <c r="AL70" s="3"/>
    </row>
    <row r="71" spans="1:38" s="28" customFormat="1" x14ac:dyDescent="0.4">
      <c r="A71" s="581"/>
      <c r="B71" s="581"/>
      <c r="C71" s="567"/>
      <c r="D71" s="567"/>
      <c r="E71" s="567"/>
      <c r="F71" s="567"/>
      <c r="G71" s="567"/>
      <c r="H71" s="567"/>
      <c r="I71" s="567"/>
      <c r="J71" s="567"/>
      <c r="K71" s="567"/>
      <c r="L71" s="567"/>
      <c r="M71" s="567"/>
      <c r="N71" s="567"/>
      <c r="O71" s="567"/>
      <c r="P71" s="567"/>
      <c r="Q71" s="567"/>
      <c r="R71" s="567"/>
      <c r="S71" s="567"/>
      <c r="T71" s="567"/>
      <c r="U71" s="567"/>
      <c r="V71" s="567"/>
      <c r="W71" s="567"/>
      <c r="X71" s="567"/>
      <c r="Y71" s="567"/>
      <c r="Z71" s="567"/>
      <c r="AA71" s="567"/>
      <c r="AB71" s="567"/>
      <c r="AC71" s="567"/>
      <c r="AD71" s="567"/>
      <c r="AE71" s="567"/>
      <c r="AF71" s="567"/>
      <c r="AG71" s="567"/>
      <c r="AH71" s="567"/>
      <c r="AI71" s="567"/>
      <c r="AJ71" s="567"/>
      <c r="AK71" s="3"/>
      <c r="AL71" s="3"/>
    </row>
    <row r="72" spans="1:38" s="28" customFormat="1" x14ac:dyDescent="0.4">
      <c r="A72" s="88" t="s">
        <v>800</v>
      </c>
      <c r="B72" s="581"/>
      <c r="C72" s="567"/>
      <c r="D72" s="567"/>
      <c r="E72" s="567"/>
      <c r="F72" s="567"/>
      <c r="G72" s="567"/>
      <c r="H72" s="567"/>
      <c r="I72" s="567"/>
      <c r="J72" s="567"/>
      <c r="K72" s="567"/>
      <c r="L72" s="567"/>
      <c r="M72" s="567"/>
      <c r="N72" s="567"/>
      <c r="O72" s="567"/>
      <c r="P72" s="567"/>
      <c r="Q72" s="567"/>
      <c r="R72" s="567"/>
      <c r="S72" s="567"/>
      <c r="T72" s="567"/>
      <c r="U72" s="567"/>
      <c r="V72" s="567"/>
      <c r="W72" s="567"/>
      <c r="X72" s="567"/>
      <c r="Y72" s="567"/>
      <c r="Z72" s="567"/>
      <c r="AA72" s="567"/>
      <c r="AB72" s="567"/>
      <c r="AC72" s="567"/>
      <c r="AD72" s="567"/>
      <c r="AE72" s="567"/>
      <c r="AF72" s="567"/>
      <c r="AG72" s="567"/>
      <c r="AH72" s="567"/>
      <c r="AI72" s="567"/>
      <c r="AJ72" s="567"/>
      <c r="AK72" s="3"/>
      <c r="AL72" s="3"/>
    </row>
    <row r="73" spans="1:38" s="28" customFormat="1" ht="16" customHeight="1" x14ac:dyDescent="0.4">
      <c r="A73" s="1218" t="s">
        <v>801</v>
      </c>
      <c r="B73" s="1202" t="s">
        <v>136</v>
      </c>
      <c r="C73" s="1128" t="s">
        <v>391</v>
      </c>
      <c r="D73" s="1128" t="s">
        <v>392</v>
      </c>
      <c r="E73" s="1128" t="s">
        <v>393</v>
      </c>
      <c r="F73" s="1128" t="s">
        <v>394</v>
      </c>
      <c r="G73" s="1128" t="s">
        <v>395</v>
      </c>
      <c r="H73" s="1128" t="s">
        <v>396</v>
      </c>
      <c r="I73" s="1128" t="s">
        <v>397</v>
      </c>
      <c r="J73" s="1128" t="s">
        <v>398</v>
      </c>
      <c r="K73" s="1128" t="s">
        <v>399</v>
      </c>
      <c r="L73" s="1128" t="s">
        <v>400</v>
      </c>
      <c r="M73" s="1128" t="s">
        <v>401</v>
      </c>
      <c r="N73" s="1128" t="s">
        <v>402</v>
      </c>
      <c r="O73" s="1128" t="s">
        <v>403</v>
      </c>
      <c r="P73" s="1128" t="s">
        <v>404</v>
      </c>
      <c r="Q73" s="1128" t="s">
        <v>405</v>
      </c>
      <c r="R73" s="1128" t="s">
        <v>406</v>
      </c>
      <c r="S73" s="1128" t="s">
        <v>407</v>
      </c>
      <c r="T73" s="1128" t="s">
        <v>408</v>
      </c>
      <c r="U73" s="1128" t="s">
        <v>409</v>
      </c>
      <c r="V73" s="1128" t="s">
        <v>410</v>
      </c>
      <c r="W73" s="1128" t="s">
        <v>411</v>
      </c>
      <c r="X73" s="1128" t="s">
        <v>412</v>
      </c>
      <c r="Y73" s="1128" t="s">
        <v>413</v>
      </c>
      <c r="Z73" s="1128" t="s">
        <v>414</v>
      </c>
      <c r="AA73" s="1128" t="s">
        <v>415</v>
      </c>
      <c r="AB73" s="1128" t="s">
        <v>416</v>
      </c>
      <c r="AC73" s="1128" t="s">
        <v>417</v>
      </c>
      <c r="AD73" s="1128" t="s">
        <v>418</v>
      </c>
      <c r="AE73" s="1128" t="s">
        <v>419</v>
      </c>
      <c r="AF73" s="1128" t="s">
        <v>420</v>
      </c>
      <c r="AG73" s="1129" t="s">
        <v>421</v>
      </c>
      <c r="AH73" s="1128" t="s">
        <v>422</v>
      </c>
      <c r="AI73" s="1129" t="s">
        <v>423</v>
      </c>
      <c r="AJ73" s="1128" t="s">
        <v>424</v>
      </c>
      <c r="AK73" s="3"/>
      <c r="AL73" s="3"/>
    </row>
    <row r="74" spans="1:38" s="28" customFormat="1" x14ac:dyDescent="0.4">
      <c r="A74" s="643" t="s">
        <v>177</v>
      </c>
      <c r="B74" s="532" t="s">
        <v>178</v>
      </c>
      <c r="C74" s="566">
        <f>C75+C76+C77</f>
        <v>136</v>
      </c>
      <c r="D74" s="566">
        <f t="shared" ref="D74:AJ74" si="1">D75+D76+D77</f>
        <v>136</v>
      </c>
      <c r="E74" s="566">
        <f t="shared" si="1"/>
        <v>136</v>
      </c>
      <c r="F74" s="566">
        <f t="shared" si="1"/>
        <v>136</v>
      </c>
      <c r="G74" s="566">
        <f t="shared" si="1"/>
        <v>136</v>
      </c>
      <c r="H74" s="566">
        <f t="shared" si="1"/>
        <v>136</v>
      </c>
      <c r="I74" s="566">
        <f t="shared" si="1"/>
        <v>136</v>
      </c>
      <c r="J74" s="566">
        <f t="shared" si="1"/>
        <v>136</v>
      </c>
      <c r="K74" s="566">
        <f t="shared" si="1"/>
        <v>136</v>
      </c>
      <c r="L74" s="566">
        <f t="shared" si="1"/>
        <v>136</v>
      </c>
      <c r="M74" s="566">
        <f t="shared" si="1"/>
        <v>136</v>
      </c>
      <c r="N74" s="566">
        <f t="shared" si="1"/>
        <v>136</v>
      </c>
      <c r="O74" s="566">
        <f t="shared" si="1"/>
        <v>136</v>
      </c>
      <c r="P74" s="566">
        <f t="shared" si="1"/>
        <v>136</v>
      </c>
      <c r="Q74" s="566">
        <f t="shared" si="1"/>
        <v>136</v>
      </c>
      <c r="R74" s="566">
        <f t="shared" si="1"/>
        <v>136</v>
      </c>
      <c r="S74" s="566">
        <f t="shared" si="1"/>
        <v>136</v>
      </c>
      <c r="T74" s="566">
        <f t="shared" si="1"/>
        <v>136</v>
      </c>
      <c r="U74" s="566">
        <f t="shared" si="1"/>
        <v>136</v>
      </c>
      <c r="V74" s="566">
        <f t="shared" si="1"/>
        <v>136</v>
      </c>
      <c r="W74" s="566">
        <f t="shared" si="1"/>
        <v>136</v>
      </c>
      <c r="X74" s="566">
        <f t="shared" si="1"/>
        <v>169</v>
      </c>
      <c r="Y74" s="566">
        <f t="shared" si="1"/>
        <v>181</v>
      </c>
      <c r="Z74" s="566">
        <f t="shared" si="1"/>
        <v>181</v>
      </c>
      <c r="AA74" s="566">
        <f t="shared" si="1"/>
        <v>181</v>
      </c>
      <c r="AB74" s="566">
        <f t="shared" si="1"/>
        <v>181</v>
      </c>
      <c r="AC74" s="566">
        <f t="shared" si="1"/>
        <v>181</v>
      </c>
      <c r="AD74" s="566">
        <f t="shared" si="1"/>
        <v>181</v>
      </c>
      <c r="AE74" s="566">
        <f t="shared" si="1"/>
        <v>181</v>
      </c>
      <c r="AF74" s="566">
        <f t="shared" si="1"/>
        <v>181</v>
      </c>
      <c r="AG74" s="566">
        <f t="shared" si="1"/>
        <v>181</v>
      </c>
      <c r="AH74" s="566">
        <f t="shared" si="1"/>
        <v>187</v>
      </c>
      <c r="AI74" s="566">
        <f t="shared" si="1"/>
        <v>187</v>
      </c>
      <c r="AJ74" s="566">
        <f t="shared" si="1"/>
        <v>187</v>
      </c>
      <c r="AK74" s="3"/>
      <c r="AL74" s="3"/>
    </row>
    <row r="75" spans="1:38" s="28" customFormat="1" x14ac:dyDescent="0.4">
      <c r="A75" s="685" t="s">
        <v>179</v>
      </c>
      <c r="B75" s="532" t="s">
        <v>178</v>
      </c>
      <c r="C75" s="566">
        <v>0</v>
      </c>
      <c r="D75" s="566">
        <v>0</v>
      </c>
      <c r="E75" s="566">
        <v>0</v>
      </c>
      <c r="F75" s="566">
        <v>0</v>
      </c>
      <c r="G75" s="566">
        <v>0</v>
      </c>
      <c r="H75" s="566">
        <v>0</v>
      </c>
      <c r="I75" s="566">
        <v>0</v>
      </c>
      <c r="J75" s="566">
        <v>0</v>
      </c>
      <c r="K75" s="566">
        <v>0</v>
      </c>
      <c r="L75" s="566">
        <v>0</v>
      </c>
      <c r="M75" s="566">
        <v>0</v>
      </c>
      <c r="N75" s="566">
        <v>0</v>
      </c>
      <c r="O75" s="566">
        <v>0</v>
      </c>
      <c r="P75" s="566">
        <v>0</v>
      </c>
      <c r="Q75" s="566">
        <v>0</v>
      </c>
      <c r="R75" s="566">
        <v>0</v>
      </c>
      <c r="S75" s="566">
        <v>0</v>
      </c>
      <c r="T75" s="566">
        <v>0</v>
      </c>
      <c r="U75" s="566">
        <v>0</v>
      </c>
      <c r="V75" s="566">
        <v>0</v>
      </c>
      <c r="W75" s="566">
        <v>0</v>
      </c>
      <c r="X75" s="566">
        <v>0</v>
      </c>
      <c r="Y75" s="566">
        <v>0</v>
      </c>
      <c r="Z75" s="566">
        <v>0</v>
      </c>
      <c r="AA75" s="566">
        <v>0</v>
      </c>
      <c r="AB75" s="566">
        <v>0</v>
      </c>
      <c r="AC75" s="566">
        <v>0</v>
      </c>
      <c r="AD75" s="566">
        <v>0</v>
      </c>
      <c r="AE75" s="566">
        <v>0</v>
      </c>
      <c r="AF75" s="566">
        <v>0</v>
      </c>
      <c r="AG75" s="566">
        <v>0</v>
      </c>
      <c r="AH75" s="566">
        <v>0</v>
      </c>
      <c r="AI75" s="566">
        <v>0</v>
      </c>
      <c r="AJ75" s="566">
        <v>0</v>
      </c>
      <c r="AK75" s="3"/>
      <c r="AL75" s="3"/>
    </row>
    <row r="76" spans="1:38" s="28" customFormat="1" x14ac:dyDescent="0.4">
      <c r="A76" s="685" t="s">
        <v>180</v>
      </c>
      <c r="B76" s="532" t="s">
        <v>178</v>
      </c>
      <c r="C76" s="566">
        <v>136</v>
      </c>
      <c r="D76" s="566">
        <v>136</v>
      </c>
      <c r="E76" s="566">
        <v>136</v>
      </c>
      <c r="F76" s="566">
        <v>136</v>
      </c>
      <c r="G76" s="566">
        <v>136</v>
      </c>
      <c r="H76" s="566">
        <v>136</v>
      </c>
      <c r="I76" s="566">
        <v>136</v>
      </c>
      <c r="J76" s="566">
        <v>136</v>
      </c>
      <c r="K76" s="566">
        <v>136</v>
      </c>
      <c r="L76" s="566">
        <v>136</v>
      </c>
      <c r="M76" s="566">
        <v>136</v>
      </c>
      <c r="N76" s="566">
        <v>136</v>
      </c>
      <c r="O76" s="566">
        <v>136</v>
      </c>
      <c r="P76" s="566">
        <v>136</v>
      </c>
      <c r="Q76" s="566">
        <v>136</v>
      </c>
      <c r="R76" s="566">
        <v>136</v>
      </c>
      <c r="S76" s="566">
        <v>136</v>
      </c>
      <c r="T76" s="566">
        <v>136</v>
      </c>
      <c r="U76" s="566">
        <v>136</v>
      </c>
      <c r="V76" s="566">
        <v>136</v>
      </c>
      <c r="W76" s="566">
        <v>136</v>
      </c>
      <c r="X76" s="566">
        <v>169</v>
      </c>
      <c r="Y76" s="566">
        <f t="shared" ref="Y76:AD76" si="2">169+12</f>
        <v>181</v>
      </c>
      <c r="Z76" s="566">
        <f t="shared" si="2"/>
        <v>181</v>
      </c>
      <c r="AA76" s="566">
        <f t="shared" si="2"/>
        <v>181</v>
      </c>
      <c r="AB76" s="566">
        <f t="shared" si="2"/>
        <v>181</v>
      </c>
      <c r="AC76" s="566">
        <f t="shared" si="2"/>
        <v>181</v>
      </c>
      <c r="AD76" s="566">
        <f t="shared" si="2"/>
        <v>181</v>
      </c>
      <c r="AE76" s="566">
        <f>169+12</f>
        <v>181</v>
      </c>
      <c r="AF76" s="566">
        <f>169+12</f>
        <v>181</v>
      </c>
      <c r="AG76" s="566">
        <f>169+12</f>
        <v>181</v>
      </c>
      <c r="AH76" s="566">
        <f>64+25+47+33+12+6</f>
        <v>187</v>
      </c>
      <c r="AI76" s="566">
        <f>64+25+47+33+12+6</f>
        <v>187</v>
      </c>
      <c r="AJ76" s="566">
        <f>64+25+47+33+12+6</f>
        <v>187</v>
      </c>
      <c r="AK76" s="3"/>
      <c r="AL76" s="3"/>
    </row>
    <row r="77" spans="1:38" s="28" customFormat="1" x14ac:dyDescent="0.4">
      <c r="A77" s="686" t="s">
        <v>181</v>
      </c>
      <c r="B77" s="533" t="s">
        <v>178</v>
      </c>
      <c r="C77" s="566">
        <v>0</v>
      </c>
      <c r="D77" s="566">
        <v>0</v>
      </c>
      <c r="E77" s="566">
        <v>0</v>
      </c>
      <c r="F77" s="566">
        <v>0</v>
      </c>
      <c r="G77" s="566">
        <v>0</v>
      </c>
      <c r="H77" s="566">
        <v>0</v>
      </c>
      <c r="I77" s="566">
        <v>0</v>
      </c>
      <c r="J77" s="566">
        <v>0</v>
      </c>
      <c r="K77" s="566">
        <v>0</v>
      </c>
      <c r="L77" s="566">
        <v>0</v>
      </c>
      <c r="M77" s="566">
        <v>0</v>
      </c>
      <c r="N77" s="566">
        <v>0</v>
      </c>
      <c r="O77" s="566">
        <v>0</v>
      </c>
      <c r="P77" s="566">
        <v>0</v>
      </c>
      <c r="Q77" s="566">
        <v>0</v>
      </c>
      <c r="R77" s="566">
        <v>0</v>
      </c>
      <c r="S77" s="566">
        <v>0</v>
      </c>
      <c r="T77" s="566">
        <v>0</v>
      </c>
      <c r="U77" s="566">
        <v>0</v>
      </c>
      <c r="V77" s="566">
        <v>0</v>
      </c>
      <c r="W77" s="566">
        <v>0</v>
      </c>
      <c r="X77" s="566">
        <v>0</v>
      </c>
      <c r="Y77" s="566">
        <v>0</v>
      </c>
      <c r="Z77" s="566">
        <v>0</v>
      </c>
      <c r="AA77" s="566">
        <v>0</v>
      </c>
      <c r="AB77" s="566">
        <v>0</v>
      </c>
      <c r="AC77" s="566">
        <v>0</v>
      </c>
      <c r="AD77" s="566">
        <v>0</v>
      </c>
      <c r="AE77" s="566">
        <v>0</v>
      </c>
      <c r="AF77" s="566">
        <v>0</v>
      </c>
      <c r="AG77" s="566">
        <v>0</v>
      </c>
      <c r="AH77" s="566">
        <v>0</v>
      </c>
      <c r="AI77" s="566">
        <v>0</v>
      </c>
      <c r="AJ77" s="566">
        <v>0</v>
      </c>
      <c r="AK77" s="3"/>
      <c r="AL77" s="3"/>
    </row>
    <row r="78" spans="1:38" s="28" customFormat="1" x14ac:dyDescent="0.4">
      <c r="A78" s="1188" t="s">
        <v>1063</v>
      </c>
      <c r="B78" s="1193"/>
      <c r="C78" s="1192"/>
      <c r="D78" s="1192"/>
      <c r="E78" s="1192"/>
      <c r="F78" s="1192"/>
      <c r="G78" s="1192"/>
      <c r="H78" s="1192"/>
      <c r="I78" s="1192"/>
      <c r="J78" s="1192"/>
      <c r="K78" s="1192"/>
      <c r="L78" s="1192"/>
      <c r="M78" s="1192"/>
      <c r="N78" s="1192"/>
      <c r="O78" s="1192"/>
      <c r="P78" s="1192"/>
      <c r="Q78" s="1192"/>
      <c r="R78" s="1192"/>
      <c r="S78" s="1192"/>
      <c r="T78" s="1192"/>
      <c r="U78" s="1192"/>
      <c r="V78" s="1192"/>
      <c r="W78" s="1192"/>
      <c r="X78" s="1192"/>
      <c r="Y78" s="1192"/>
      <c r="Z78" s="1192"/>
      <c r="AA78" s="1192"/>
      <c r="AB78" s="1192"/>
      <c r="AC78" s="1192"/>
      <c r="AD78" s="1192"/>
      <c r="AE78" s="1192"/>
      <c r="AF78" s="1192"/>
      <c r="AG78" s="1192"/>
      <c r="AH78" s="1192"/>
      <c r="AI78" s="1192"/>
      <c r="AJ78" s="1192"/>
      <c r="AK78" s="3"/>
      <c r="AL78" s="3"/>
    </row>
    <row r="79" spans="1:38" s="28" customFormat="1" x14ac:dyDescent="0.4">
      <c r="A79" s="581"/>
      <c r="B79" s="581"/>
      <c r="C79" s="567"/>
      <c r="D79" s="567"/>
      <c r="E79" s="567"/>
      <c r="F79" s="567"/>
      <c r="G79" s="567"/>
      <c r="H79" s="567"/>
      <c r="I79" s="567"/>
      <c r="J79" s="567"/>
      <c r="K79" s="567"/>
      <c r="L79" s="567"/>
      <c r="M79" s="567"/>
      <c r="N79" s="567"/>
      <c r="O79" s="567"/>
      <c r="P79" s="567"/>
      <c r="Q79" s="567"/>
      <c r="R79" s="567"/>
      <c r="S79" s="567"/>
      <c r="T79" s="567"/>
      <c r="U79" s="567"/>
      <c r="V79" s="567"/>
      <c r="W79" s="567"/>
      <c r="X79" s="567"/>
      <c r="Y79" s="567"/>
      <c r="Z79" s="567"/>
      <c r="AA79" s="567"/>
      <c r="AB79" s="567"/>
      <c r="AC79" s="567"/>
      <c r="AD79" s="567"/>
      <c r="AE79" s="567"/>
      <c r="AF79" s="567"/>
      <c r="AG79" s="567"/>
      <c r="AH79" s="567"/>
      <c r="AI79" s="567"/>
      <c r="AJ79" s="567"/>
      <c r="AK79" s="3"/>
      <c r="AL79" s="3"/>
    </row>
    <row r="80" spans="1:38" s="28" customFormat="1" x14ac:dyDescent="0.4">
      <c r="A80" s="1397" t="s">
        <v>1326</v>
      </c>
      <c r="B80" s="581"/>
      <c r="C80" s="567"/>
      <c r="D80" s="567"/>
      <c r="E80" s="567"/>
      <c r="F80" s="567"/>
      <c r="G80" s="567"/>
      <c r="H80" s="567"/>
      <c r="I80" s="567"/>
      <c r="J80" s="567"/>
      <c r="K80" s="567"/>
      <c r="L80" s="567"/>
      <c r="M80" s="567"/>
      <c r="N80" s="567"/>
      <c r="O80" s="567"/>
      <c r="P80" s="567"/>
      <c r="Q80" s="567"/>
      <c r="R80" s="567"/>
      <c r="S80" s="567"/>
      <c r="T80" s="567"/>
      <c r="U80" s="567"/>
      <c r="V80" s="567"/>
      <c r="W80" s="567"/>
      <c r="X80" s="567"/>
      <c r="Y80" s="567"/>
      <c r="Z80" s="567"/>
      <c r="AA80" s="567"/>
      <c r="AB80" s="567"/>
      <c r="AC80" s="567"/>
      <c r="AD80" s="567"/>
      <c r="AE80" s="567"/>
      <c r="AF80" s="567"/>
      <c r="AG80" s="567"/>
      <c r="AH80" s="567"/>
      <c r="AI80" s="567"/>
      <c r="AJ80" s="567"/>
      <c r="AK80" s="3"/>
      <c r="AL80" s="3"/>
    </row>
    <row r="81" spans="1:38" s="28" customFormat="1" x14ac:dyDescent="0.4">
      <c r="A81" s="1397" t="s">
        <v>1325</v>
      </c>
      <c r="B81" s="581"/>
      <c r="C81" s="567"/>
      <c r="D81" s="567"/>
      <c r="E81" s="567"/>
      <c r="F81" s="567"/>
      <c r="G81" s="567"/>
      <c r="H81" s="567"/>
      <c r="I81" s="567"/>
      <c r="J81" s="567"/>
      <c r="K81" s="567"/>
      <c r="L81" s="567"/>
      <c r="M81" s="567"/>
      <c r="N81" s="567"/>
      <c r="O81" s="567"/>
      <c r="P81" s="567"/>
      <c r="Q81" s="567"/>
      <c r="R81" s="567"/>
      <c r="S81" s="567"/>
      <c r="T81" s="567"/>
      <c r="U81" s="567"/>
      <c r="V81" s="567"/>
      <c r="W81" s="567"/>
      <c r="X81" s="567"/>
      <c r="Y81" s="567"/>
      <c r="Z81" s="567"/>
      <c r="AA81" s="567"/>
      <c r="AB81" s="567"/>
      <c r="AC81" s="567"/>
      <c r="AD81" s="567"/>
      <c r="AE81" s="567"/>
      <c r="AF81" s="567"/>
      <c r="AG81" s="567"/>
      <c r="AH81" s="567"/>
      <c r="AI81" s="567"/>
      <c r="AJ81" s="567"/>
      <c r="AK81" s="3"/>
      <c r="AL81" s="3"/>
    </row>
    <row r="82" spans="1:38" s="28" customFormat="1" x14ac:dyDescent="0.4">
      <c r="A82" s="660" t="s">
        <v>544</v>
      </c>
      <c r="B82" s="581"/>
      <c r="C82" s="567"/>
      <c r="D82" s="567"/>
      <c r="E82" s="567"/>
      <c r="F82" s="567"/>
      <c r="G82" s="567"/>
      <c r="H82" s="567"/>
      <c r="I82" s="567"/>
      <c r="J82" s="567"/>
      <c r="K82" s="567"/>
      <c r="L82" s="567"/>
      <c r="M82" s="567"/>
      <c r="N82" s="567"/>
      <c r="O82" s="567"/>
      <c r="P82" s="567"/>
      <c r="Q82" s="567"/>
      <c r="R82" s="567"/>
      <c r="S82" s="567"/>
      <c r="T82" s="567"/>
      <c r="U82" s="567"/>
      <c r="V82" s="567"/>
      <c r="W82" s="567"/>
      <c r="X82" s="567"/>
      <c r="Y82" s="567"/>
      <c r="Z82" s="567"/>
      <c r="AA82" s="567"/>
      <c r="AB82" s="567"/>
      <c r="AC82" s="567"/>
      <c r="AD82" s="567"/>
      <c r="AE82" s="567"/>
      <c r="AF82" s="567"/>
      <c r="AG82" s="567"/>
      <c r="AH82" s="567"/>
      <c r="AI82" s="567"/>
      <c r="AJ82" s="567"/>
      <c r="AK82" s="3"/>
      <c r="AL82" s="3"/>
    </row>
    <row r="83" spans="1:38" s="28" customFormat="1" x14ac:dyDescent="0.4">
      <c r="A83" s="581"/>
      <c r="B83" s="581"/>
      <c r="C83" s="567"/>
      <c r="D83" s="567"/>
      <c r="E83" s="567"/>
      <c r="F83" s="567"/>
      <c r="G83" s="567"/>
      <c r="H83" s="567"/>
      <c r="I83" s="567"/>
      <c r="J83" s="567"/>
      <c r="K83" s="567"/>
      <c r="L83" s="567"/>
      <c r="M83" s="567"/>
      <c r="N83" s="567"/>
      <c r="O83" s="567"/>
      <c r="P83" s="567"/>
      <c r="Q83" s="567"/>
      <c r="R83" s="567"/>
      <c r="S83" s="567"/>
      <c r="T83" s="567"/>
      <c r="U83" s="567"/>
      <c r="V83" s="567"/>
      <c r="W83" s="567"/>
      <c r="X83" s="567"/>
      <c r="Y83" s="567"/>
      <c r="Z83" s="567"/>
      <c r="AA83" s="567"/>
      <c r="AB83" s="567"/>
      <c r="AC83" s="567"/>
      <c r="AD83" s="567"/>
      <c r="AE83" s="567"/>
      <c r="AF83" s="567"/>
      <c r="AG83" s="567"/>
      <c r="AH83" s="567"/>
      <c r="AI83" s="567"/>
      <c r="AJ83" s="567"/>
      <c r="AK83" s="3"/>
      <c r="AL83" s="3"/>
    </row>
    <row r="84" spans="1:38" s="28" customFormat="1" x14ac:dyDescent="0.4">
      <c r="A84" s="88" t="s">
        <v>182</v>
      </c>
      <c r="B84" s="581"/>
      <c r="C84" s="567"/>
      <c r="D84" s="567"/>
      <c r="E84" s="567"/>
      <c r="F84" s="567"/>
      <c r="G84" s="567"/>
      <c r="H84" s="567"/>
      <c r="I84" s="567"/>
      <c r="J84" s="567"/>
      <c r="K84" s="567"/>
      <c r="L84" s="567"/>
      <c r="M84" s="567"/>
      <c r="N84" s="567"/>
      <c r="O84" s="567"/>
      <c r="P84" s="567"/>
      <c r="Q84" s="567"/>
      <c r="R84" s="567"/>
      <c r="S84" s="567"/>
      <c r="T84" s="567"/>
      <c r="U84" s="567"/>
      <c r="V84" s="567"/>
      <c r="W84" s="567"/>
      <c r="X84" s="567"/>
      <c r="Y84" s="567"/>
      <c r="Z84" s="567"/>
      <c r="AA84" s="567"/>
      <c r="AB84" s="567"/>
      <c r="AC84" s="567"/>
      <c r="AD84" s="567"/>
      <c r="AE84" s="567"/>
      <c r="AF84" s="567"/>
      <c r="AG84" s="567"/>
      <c r="AH84" s="567"/>
      <c r="AI84" s="567"/>
      <c r="AJ84" s="567"/>
      <c r="AK84" s="3"/>
      <c r="AL84" s="3"/>
    </row>
    <row r="85" spans="1:38" s="28" customFormat="1" ht="16" customHeight="1" x14ac:dyDescent="0.4">
      <c r="A85" s="1218" t="s">
        <v>802</v>
      </c>
      <c r="B85" s="1202" t="s">
        <v>136</v>
      </c>
      <c r="C85" s="1128" t="s">
        <v>391</v>
      </c>
      <c r="D85" s="1128" t="s">
        <v>392</v>
      </c>
      <c r="E85" s="1128" t="s">
        <v>393</v>
      </c>
      <c r="F85" s="1128" t="s">
        <v>394</v>
      </c>
      <c r="G85" s="1128" t="s">
        <v>395</v>
      </c>
      <c r="H85" s="1128" t="s">
        <v>396</v>
      </c>
      <c r="I85" s="1128" t="s">
        <v>397</v>
      </c>
      <c r="J85" s="1128" t="s">
        <v>398</v>
      </c>
      <c r="K85" s="1128" t="s">
        <v>399</v>
      </c>
      <c r="L85" s="1128" t="s">
        <v>400</v>
      </c>
      <c r="M85" s="1128" t="s">
        <v>401</v>
      </c>
      <c r="N85" s="1128" t="s">
        <v>402</v>
      </c>
      <c r="O85" s="1128" t="s">
        <v>403</v>
      </c>
      <c r="P85" s="1128" t="s">
        <v>404</v>
      </c>
      <c r="Q85" s="1128" t="s">
        <v>405</v>
      </c>
      <c r="R85" s="1128" t="s">
        <v>406</v>
      </c>
      <c r="S85" s="1128" t="s">
        <v>407</v>
      </c>
      <c r="T85" s="1128" t="s">
        <v>408</v>
      </c>
      <c r="U85" s="1128" t="s">
        <v>409</v>
      </c>
      <c r="V85" s="1128" t="s">
        <v>410</v>
      </c>
      <c r="W85" s="1128" t="s">
        <v>411</v>
      </c>
      <c r="X85" s="1128" t="s">
        <v>412</v>
      </c>
      <c r="Y85" s="1128" t="s">
        <v>413</v>
      </c>
      <c r="Z85" s="1128" t="s">
        <v>414</v>
      </c>
      <c r="AA85" s="1128" t="s">
        <v>415</v>
      </c>
      <c r="AB85" s="1128" t="s">
        <v>416</v>
      </c>
      <c r="AC85" s="1128" t="s">
        <v>417</v>
      </c>
      <c r="AD85" s="1128" t="s">
        <v>418</v>
      </c>
      <c r="AE85" s="1128" t="s">
        <v>419</v>
      </c>
      <c r="AF85" s="1128" t="s">
        <v>420</v>
      </c>
      <c r="AG85" s="1129" t="s">
        <v>421</v>
      </c>
      <c r="AH85" s="1128" t="s">
        <v>422</v>
      </c>
      <c r="AI85" s="1129" t="s">
        <v>423</v>
      </c>
      <c r="AJ85" s="1128" t="s">
        <v>424</v>
      </c>
      <c r="AK85" s="3"/>
      <c r="AL85" s="3"/>
    </row>
    <row r="86" spans="1:38" s="28" customFormat="1" x14ac:dyDescent="0.4">
      <c r="A86" s="533" t="s">
        <v>540</v>
      </c>
      <c r="B86" s="533" t="s">
        <v>184</v>
      </c>
      <c r="C86" s="566">
        <v>18</v>
      </c>
      <c r="D86" s="566">
        <v>18</v>
      </c>
      <c r="E86" s="566">
        <v>18</v>
      </c>
      <c r="F86" s="566">
        <v>18</v>
      </c>
      <c r="G86" s="566">
        <v>18</v>
      </c>
      <c r="H86" s="566">
        <v>18</v>
      </c>
      <c r="I86" s="566">
        <v>18</v>
      </c>
      <c r="J86" s="566">
        <v>18</v>
      </c>
      <c r="K86" s="566">
        <v>18</v>
      </c>
      <c r="L86" s="566">
        <v>18</v>
      </c>
      <c r="M86" s="566">
        <v>19</v>
      </c>
      <c r="N86" s="566">
        <v>19</v>
      </c>
      <c r="O86" s="566">
        <v>19</v>
      </c>
      <c r="P86" s="566">
        <v>19</v>
      </c>
      <c r="Q86" s="566">
        <v>19</v>
      </c>
      <c r="R86" s="566">
        <v>19</v>
      </c>
      <c r="S86" s="566">
        <v>19</v>
      </c>
      <c r="T86" s="566">
        <v>19</v>
      </c>
      <c r="U86" s="566">
        <v>19</v>
      </c>
      <c r="V86" s="566">
        <v>19</v>
      </c>
      <c r="W86" s="566">
        <v>19</v>
      </c>
      <c r="X86" s="566">
        <v>19</v>
      </c>
      <c r="Y86" s="566">
        <v>19</v>
      </c>
      <c r="Z86" s="566">
        <v>19</v>
      </c>
      <c r="AA86" s="566">
        <v>19</v>
      </c>
      <c r="AB86" s="566">
        <v>19</v>
      </c>
      <c r="AC86" s="566">
        <v>19</v>
      </c>
      <c r="AD86" s="566">
        <v>19</v>
      </c>
      <c r="AE86" s="566">
        <v>19</v>
      </c>
      <c r="AF86" s="566">
        <v>19</v>
      </c>
      <c r="AG86" s="566">
        <v>19</v>
      </c>
      <c r="AH86" s="566">
        <v>19</v>
      </c>
      <c r="AI86" s="566">
        <v>19</v>
      </c>
      <c r="AJ86" s="566">
        <v>19</v>
      </c>
      <c r="AK86" s="3"/>
      <c r="AL86" s="3"/>
    </row>
    <row r="87" spans="1:38" s="28" customFormat="1" x14ac:dyDescent="0.4">
      <c r="A87" s="1188" t="s">
        <v>1063</v>
      </c>
      <c r="B87" s="1194"/>
      <c r="C87" s="1192"/>
      <c r="D87" s="1192"/>
      <c r="E87" s="1192"/>
      <c r="F87" s="1192"/>
      <c r="G87" s="1192"/>
      <c r="H87" s="1192"/>
      <c r="I87" s="1192"/>
      <c r="J87" s="1192"/>
      <c r="K87" s="1192"/>
      <c r="L87" s="1192"/>
      <c r="M87" s="1192"/>
      <c r="N87" s="1192"/>
      <c r="O87" s="1192"/>
      <c r="P87" s="1192"/>
      <c r="Q87" s="1192"/>
      <c r="R87" s="1192"/>
      <c r="S87" s="1192"/>
      <c r="T87" s="1192"/>
      <c r="U87" s="1192"/>
      <c r="V87" s="1192"/>
      <c r="W87" s="1192"/>
      <c r="X87" s="1192"/>
      <c r="Y87" s="1192"/>
      <c r="Z87" s="1192"/>
      <c r="AA87" s="1192"/>
      <c r="AB87" s="1192"/>
      <c r="AC87" s="1192"/>
      <c r="AD87" s="1192"/>
      <c r="AE87" s="1192"/>
      <c r="AF87" s="1192"/>
      <c r="AG87" s="1192"/>
      <c r="AH87" s="1192"/>
      <c r="AI87" s="1192"/>
      <c r="AJ87" s="1192"/>
      <c r="AK87" s="3"/>
      <c r="AL87" s="3"/>
    </row>
    <row r="88" spans="1:38" s="28" customFormat="1" x14ac:dyDescent="0.4">
      <c r="A88" s="581"/>
      <c r="B88" s="581"/>
      <c r="C88" s="567"/>
      <c r="D88" s="567"/>
      <c r="E88" s="567"/>
      <c r="F88" s="567"/>
      <c r="G88" s="567"/>
      <c r="H88" s="567"/>
      <c r="I88" s="567"/>
      <c r="J88" s="567"/>
      <c r="K88" s="567"/>
      <c r="L88" s="567"/>
      <c r="M88" s="567"/>
      <c r="N88" s="567"/>
      <c r="O88" s="567"/>
      <c r="P88" s="567"/>
      <c r="Q88" s="567"/>
      <c r="R88" s="567"/>
      <c r="S88" s="567"/>
      <c r="T88" s="567"/>
      <c r="U88" s="567"/>
      <c r="V88" s="567"/>
      <c r="W88" s="567"/>
      <c r="X88" s="567"/>
      <c r="Y88" s="567"/>
      <c r="Z88" s="567"/>
      <c r="AA88" s="567"/>
      <c r="AB88" s="567"/>
      <c r="AC88" s="567"/>
      <c r="AD88" s="567"/>
      <c r="AE88" s="567"/>
      <c r="AF88" s="567"/>
      <c r="AG88" s="567"/>
      <c r="AH88" s="567"/>
      <c r="AI88" s="567"/>
      <c r="AJ88" s="567"/>
      <c r="AK88" s="3"/>
      <c r="AL88" s="3"/>
    </row>
    <row r="89" spans="1:38" s="28" customFormat="1" x14ac:dyDescent="0.4">
      <c r="A89" s="1397" t="s">
        <v>1620</v>
      </c>
      <c r="B89" s="581"/>
      <c r="C89" s="567"/>
      <c r="D89" s="567"/>
      <c r="E89" s="567"/>
      <c r="F89" s="567"/>
      <c r="G89" s="567"/>
      <c r="H89" s="567"/>
      <c r="I89" s="567"/>
      <c r="J89" s="567"/>
      <c r="K89" s="567"/>
      <c r="L89" s="567"/>
      <c r="M89" s="567"/>
      <c r="N89" s="567"/>
      <c r="O89" s="567"/>
      <c r="P89" s="567"/>
      <c r="Q89" s="567"/>
      <c r="R89" s="567"/>
      <c r="S89" s="567"/>
      <c r="T89" s="567"/>
      <c r="U89" s="567"/>
      <c r="V89" s="567"/>
      <c r="W89" s="567"/>
      <c r="X89" s="567"/>
      <c r="Y89" s="567"/>
      <c r="Z89" s="567"/>
      <c r="AA89" s="567"/>
      <c r="AB89" s="567"/>
      <c r="AC89" s="567"/>
      <c r="AD89" s="567"/>
      <c r="AE89" s="567"/>
      <c r="AF89" s="567"/>
      <c r="AG89" s="567"/>
      <c r="AH89" s="567"/>
      <c r="AI89" s="567"/>
      <c r="AJ89" s="567"/>
      <c r="AK89" s="3"/>
      <c r="AL89" s="3"/>
    </row>
    <row r="90" spans="1:38" s="28" customFormat="1" x14ac:dyDescent="0.4">
      <c r="A90" s="28" t="s">
        <v>545</v>
      </c>
      <c r="B90" s="581"/>
      <c r="C90" s="567"/>
      <c r="D90" s="567"/>
      <c r="E90" s="567"/>
      <c r="F90" s="567"/>
      <c r="G90" s="567"/>
      <c r="H90" s="567"/>
      <c r="I90" s="567"/>
      <c r="J90" s="567"/>
      <c r="K90" s="567"/>
      <c r="L90" s="567"/>
      <c r="M90" s="567"/>
      <c r="N90" s="567"/>
      <c r="O90" s="567"/>
      <c r="P90" s="567"/>
      <c r="Q90" s="567"/>
      <c r="R90" s="567"/>
      <c r="S90" s="567"/>
      <c r="T90" s="567"/>
      <c r="U90" s="567"/>
      <c r="V90" s="567"/>
      <c r="W90" s="567"/>
      <c r="X90" s="567"/>
      <c r="Y90" s="567"/>
      <c r="Z90" s="567"/>
      <c r="AA90" s="567"/>
      <c r="AB90" s="567"/>
      <c r="AC90" s="567"/>
      <c r="AD90" s="567"/>
      <c r="AE90" s="567"/>
      <c r="AF90" s="567"/>
      <c r="AG90" s="567"/>
      <c r="AH90" s="567"/>
      <c r="AI90" s="567"/>
      <c r="AJ90" s="567"/>
      <c r="AK90" s="3"/>
      <c r="AL90" s="3"/>
    </row>
    <row r="91" spans="1:38" s="28" customFormat="1" x14ac:dyDescent="0.4">
      <c r="A91" s="581"/>
      <c r="B91" s="581"/>
      <c r="C91" s="567"/>
      <c r="D91" s="567"/>
      <c r="E91" s="567"/>
      <c r="F91" s="567"/>
      <c r="G91" s="567"/>
      <c r="H91" s="567"/>
      <c r="I91" s="567"/>
      <c r="J91" s="567"/>
      <c r="K91" s="567"/>
      <c r="L91" s="567"/>
      <c r="M91" s="567"/>
      <c r="N91" s="567"/>
      <c r="O91" s="567"/>
      <c r="P91" s="567"/>
      <c r="Q91" s="567"/>
      <c r="R91" s="567"/>
      <c r="S91" s="567"/>
      <c r="T91" s="567"/>
      <c r="U91" s="567"/>
      <c r="V91" s="567"/>
      <c r="W91" s="567"/>
      <c r="X91" s="567"/>
      <c r="Y91" s="567"/>
      <c r="Z91" s="567"/>
      <c r="AA91" s="567"/>
      <c r="AB91" s="567"/>
      <c r="AC91" s="567"/>
      <c r="AD91" s="567"/>
      <c r="AE91" s="567"/>
      <c r="AF91" s="567"/>
      <c r="AG91" s="567"/>
      <c r="AH91" s="567"/>
      <c r="AI91" s="567"/>
      <c r="AJ91" s="567"/>
      <c r="AK91" s="3"/>
      <c r="AL91" s="3"/>
    </row>
    <row r="92" spans="1:38" s="28" customFormat="1" x14ac:dyDescent="0.4">
      <c r="A92" s="88" t="s">
        <v>186</v>
      </c>
      <c r="B92" s="581"/>
      <c r="C92" s="567"/>
      <c r="D92" s="567"/>
      <c r="E92" s="567"/>
      <c r="F92" s="567"/>
      <c r="G92" s="567"/>
      <c r="H92" s="567"/>
      <c r="I92" s="567"/>
      <c r="J92" s="567"/>
      <c r="K92" s="567"/>
      <c r="L92" s="567"/>
      <c r="M92" s="567"/>
      <c r="N92" s="567"/>
      <c r="O92" s="567"/>
      <c r="P92" s="567"/>
      <c r="Q92" s="567"/>
      <c r="R92" s="567"/>
      <c r="S92" s="567"/>
      <c r="T92" s="567"/>
      <c r="U92" s="567"/>
      <c r="V92" s="567"/>
      <c r="W92" s="567"/>
      <c r="X92" s="567"/>
      <c r="Y92" s="567"/>
      <c r="Z92" s="567"/>
      <c r="AA92" s="567"/>
      <c r="AB92" s="567"/>
      <c r="AC92" s="567"/>
      <c r="AD92" s="567"/>
      <c r="AE92" s="567"/>
      <c r="AF92" s="567"/>
      <c r="AG92" s="567"/>
      <c r="AH92" s="567"/>
      <c r="AI92" s="567"/>
      <c r="AJ92" s="567"/>
      <c r="AK92" s="3"/>
      <c r="AL92" s="3"/>
    </row>
    <row r="93" spans="1:38" s="28" customFormat="1" ht="16" customHeight="1" x14ac:dyDescent="0.4">
      <c r="A93" s="1218" t="s">
        <v>803</v>
      </c>
      <c r="B93" s="1202" t="s">
        <v>136</v>
      </c>
      <c r="C93" s="1128" t="s">
        <v>391</v>
      </c>
      <c r="D93" s="1128" t="s">
        <v>392</v>
      </c>
      <c r="E93" s="1128" t="s">
        <v>393</v>
      </c>
      <c r="F93" s="1128" t="s">
        <v>394</v>
      </c>
      <c r="G93" s="1128" t="s">
        <v>395</v>
      </c>
      <c r="H93" s="1128" t="s">
        <v>396</v>
      </c>
      <c r="I93" s="1128" t="s">
        <v>397</v>
      </c>
      <c r="J93" s="1128" t="s">
        <v>398</v>
      </c>
      <c r="K93" s="1128" t="s">
        <v>399</v>
      </c>
      <c r="L93" s="1128" t="s">
        <v>400</v>
      </c>
      <c r="M93" s="1128" t="s">
        <v>401</v>
      </c>
      <c r="N93" s="1128" t="s">
        <v>402</v>
      </c>
      <c r="O93" s="1128" t="s">
        <v>403</v>
      </c>
      <c r="P93" s="1128" t="s">
        <v>404</v>
      </c>
      <c r="Q93" s="1128" t="s">
        <v>405</v>
      </c>
      <c r="R93" s="1128" t="s">
        <v>406</v>
      </c>
      <c r="S93" s="1128" t="s">
        <v>407</v>
      </c>
      <c r="T93" s="1128" t="s">
        <v>408</v>
      </c>
      <c r="U93" s="1128" t="s">
        <v>409</v>
      </c>
      <c r="V93" s="1128" t="s">
        <v>410</v>
      </c>
      <c r="W93" s="1128" t="s">
        <v>411</v>
      </c>
      <c r="X93" s="1128" t="s">
        <v>412</v>
      </c>
      <c r="Y93" s="1128" t="s">
        <v>413</v>
      </c>
      <c r="Z93" s="1128" t="s">
        <v>414</v>
      </c>
      <c r="AA93" s="1128" t="s">
        <v>415</v>
      </c>
      <c r="AB93" s="1128" t="s">
        <v>416</v>
      </c>
      <c r="AC93" s="1128" t="s">
        <v>417</v>
      </c>
      <c r="AD93" s="1128" t="s">
        <v>418</v>
      </c>
      <c r="AE93" s="1128" t="s">
        <v>419</v>
      </c>
      <c r="AF93" s="1128" t="s">
        <v>420</v>
      </c>
      <c r="AG93" s="1129" t="s">
        <v>421</v>
      </c>
      <c r="AH93" s="1128" t="s">
        <v>422</v>
      </c>
      <c r="AI93" s="1129" t="s">
        <v>423</v>
      </c>
      <c r="AJ93" s="1128" t="s">
        <v>424</v>
      </c>
      <c r="AK93" s="3"/>
      <c r="AL93" s="3"/>
    </row>
    <row r="94" spans="1:38" s="28" customFormat="1" x14ac:dyDescent="0.4">
      <c r="A94" s="644" t="s">
        <v>541</v>
      </c>
      <c r="B94" s="533" t="s">
        <v>188</v>
      </c>
      <c r="C94" s="566">
        <v>1</v>
      </c>
      <c r="D94" s="566">
        <v>1</v>
      </c>
      <c r="E94" s="566">
        <v>1</v>
      </c>
      <c r="F94" s="566">
        <v>1</v>
      </c>
      <c r="G94" s="566">
        <v>1</v>
      </c>
      <c r="H94" s="566">
        <v>1</v>
      </c>
      <c r="I94" s="566">
        <v>1</v>
      </c>
      <c r="J94" s="566">
        <v>1</v>
      </c>
      <c r="K94" s="566">
        <v>1</v>
      </c>
      <c r="L94" s="566">
        <v>1</v>
      </c>
      <c r="M94" s="566">
        <v>1</v>
      </c>
      <c r="N94" s="566">
        <v>1</v>
      </c>
      <c r="O94" s="566">
        <v>1</v>
      </c>
      <c r="P94" s="566">
        <v>1</v>
      </c>
      <c r="Q94" s="566">
        <v>1</v>
      </c>
      <c r="R94" s="566">
        <v>1</v>
      </c>
      <c r="S94" s="566">
        <v>1</v>
      </c>
      <c r="T94" s="566">
        <v>1</v>
      </c>
      <c r="U94" s="566">
        <v>2</v>
      </c>
      <c r="V94" s="566">
        <v>2</v>
      </c>
      <c r="W94" s="566">
        <v>3</v>
      </c>
      <c r="X94" s="566">
        <v>1</v>
      </c>
      <c r="Y94" s="566">
        <v>1</v>
      </c>
      <c r="Z94" s="566">
        <v>1</v>
      </c>
      <c r="AA94" s="566">
        <v>1</v>
      </c>
      <c r="AB94" s="566">
        <v>2</v>
      </c>
      <c r="AC94" s="566">
        <v>2</v>
      </c>
      <c r="AD94" s="566">
        <v>1</v>
      </c>
      <c r="AE94" s="566">
        <v>1</v>
      </c>
      <c r="AF94" s="566">
        <v>2</v>
      </c>
      <c r="AG94" s="566">
        <v>1</v>
      </c>
      <c r="AH94" s="566">
        <v>1</v>
      </c>
      <c r="AI94" s="566">
        <v>2</v>
      </c>
      <c r="AJ94" s="566">
        <v>1</v>
      </c>
      <c r="AK94" s="3"/>
      <c r="AL94" s="3"/>
    </row>
    <row r="95" spans="1:38" s="28" customFormat="1" x14ac:dyDescent="0.4">
      <c r="A95" s="1188" t="s">
        <v>1063</v>
      </c>
      <c r="B95" s="1189"/>
      <c r="C95" s="1192"/>
      <c r="D95" s="1192"/>
      <c r="E95" s="1192"/>
      <c r="F95" s="1192"/>
      <c r="G95" s="1192"/>
      <c r="H95" s="1192"/>
      <c r="I95" s="1192"/>
      <c r="J95" s="1192"/>
      <c r="K95" s="1192"/>
      <c r="L95" s="1192"/>
      <c r="M95" s="1192"/>
      <c r="N95" s="1192"/>
      <c r="O95" s="1192"/>
      <c r="P95" s="1192"/>
      <c r="Q95" s="1192"/>
      <c r="R95" s="1192"/>
      <c r="S95" s="1192"/>
      <c r="T95" s="1192"/>
      <c r="U95" s="1192"/>
      <c r="V95" s="1192"/>
      <c r="W95" s="1192"/>
      <c r="X95" s="1192"/>
      <c r="Y95" s="1192"/>
      <c r="Z95" s="1192"/>
      <c r="AA95" s="1192"/>
      <c r="AB95" s="1192"/>
      <c r="AC95" s="1192"/>
      <c r="AD95" s="1192"/>
      <c r="AE95" s="1192"/>
      <c r="AF95" s="1192"/>
      <c r="AG95" s="1192"/>
      <c r="AH95" s="1192"/>
      <c r="AI95" s="1192"/>
      <c r="AJ95" s="1192"/>
      <c r="AK95" s="3"/>
      <c r="AL95" s="3"/>
    </row>
    <row r="96" spans="1:38" s="28" customFormat="1" x14ac:dyDescent="0.4">
      <c r="A96" s="581"/>
      <c r="B96" s="581"/>
      <c r="C96" s="567"/>
      <c r="D96" s="567"/>
      <c r="E96" s="567"/>
      <c r="F96" s="567"/>
      <c r="G96" s="567"/>
      <c r="H96" s="567"/>
      <c r="I96" s="567"/>
      <c r="J96" s="567"/>
      <c r="K96" s="567"/>
      <c r="L96" s="567"/>
      <c r="M96" s="567"/>
      <c r="N96" s="567"/>
      <c r="O96" s="567"/>
      <c r="P96" s="567"/>
      <c r="Q96" s="567"/>
      <c r="R96" s="567"/>
      <c r="S96" s="567"/>
      <c r="T96" s="567"/>
      <c r="U96" s="567"/>
      <c r="V96" s="567"/>
      <c r="W96" s="567"/>
      <c r="X96" s="567"/>
      <c r="Y96" s="567"/>
      <c r="Z96" s="567"/>
      <c r="AA96" s="567"/>
      <c r="AB96" s="567"/>
      <c r="AC96" s="567"/>
      <c r="AD96" s="567"/>
      <c r="AE96" s="567"/>
      <c r="AF96" s="567"/>
      <c r="AG96" s="567"/>
      <c r="AH96" s="567"/>
      <c r="AI96" s="567"/>
      <c r="AJ96" s="567"/>
      <c r="AK96" s="3"/>
      <c r="AL96" s="3"/>
    </row>
    <row r="97" spans="1:38" s="28" customFormat="1" x14ac:dyDescent="0.4">
      <c r="A97" s="660" t="s">
        <v>543</v>
      </c>
      <c r="B97" s="581"/>
      <c r="C97" s="567"/>
      <c r="D97" s="567"/>
      <c r="E97" s="567"/>
      <c r="F97" s="567"/>
      <c r="G97" s="567"/>
      <c r="H97" s="567"/>
      <c r="I97" s="567"/>
      <c r="J97" s="567"/>
      <c r="K97" s="567"/>
      <c r="L97" s="567"/>
      <c r="M97" s="567"/>
      <c r="N97" s="567"/>
      <c r="O97" s="567"/>
      <c r="P97" s="567"/>
      <c r="Q97" s="567"/>
      <c r="R97" s="567"/>
      <c r="S97" s="567"/>
      <c r="T97" s="567"/>
      <c r="U97" s="567"/>
      <c r="V97" s="567"/>
      <c r="W97" s="567"/>
      <c r="X97" s="567"/>
      <c r="Y97" s="567"/>
      <c r="Z97" s="567"/>
      <c r="AA97" s="567"/>
      <c r="AB97" s="567"/>
      <c r="AC97" s="567"/>
      <c r="AD97" s="567"/>
      <c r="AE97" s="567"/>
      <c r="AF97" s="567"/>
      <c r="AG97" s="567"/>
      <c r="AH97" s="567"/>
      <c r="AI97" s="567"/>
      <c r="AJ97" s="567"/>
      <c r="AK97" s="3"/>
      <c r="AL97" s="3"/>
    </row>
    <row r="98" spans="1:38" s="28" customFormat="1" x14ac:dyDescent="0.4">
      <c r="A98" s="1397" t="s">
        <v>1312</v>
      </c>
      <c r="B98" s="581"/>
      <c r="C98" s="567"/>
      <c r="D98" s="567"/>
      <c r="E98" s="567"/>
      <c r="F98" s="567"/>
      <c r="G98" s="567"/>
      <c r="H98" s="567"/>
      <c r="I98" s="567"/>
      <c r="J98" s="567"/>
      <c r="K98" s="567"/>
      <c r="L98" s="567"/>
      <c r="M98" s="567"/>
      <c r="N98" s="567"/>
      <c r="O98" s="567"/>
      <c r="P98" s="567"/>
      <c r="Q98" s="567"/>
      <c r="R98" s="567"/>
      <c r="S98" s="567"/>
      <c r="T98" s="567"/>
      <c r="U98" s="567"/>
      <c r="V98" s="567"/>
      <c r="W98" s="567"/>
      <c r="X98" s="567"/>
      <c r="Y98" s="567"/>
      <c r="Z98" s="567"/>
      <c r="AA98" s="567"/>
      <c r="AB98" s="567"/>
      <c r="AC98" s="567"/>
      <c r="AD98" s="567"/>
      <c r="AE98" s="567"/>
      <c r="AF98" s="567"/>
      <c r="AG98" s="567"/>
      <c r="AH98" s="567"/>
      <c r="AI98" s="567"/>
      <c r="AJ98" s="567"/>
      <c r="AK98" s="3"/>
      <c r="AL98" s="3"/>
    </row>
    <row r="99" spans="1:38" s="28" customFormat="1" x14ac:dyDescent="0.4">
      <c r="B99" s="581"/>
      <c r="C99" s="567"/>
      <c r="D99" s="567"/>
      <c r="E99" s="567"/>
      <c r="F99" s="567"/>
      <c r="G99" s="567"/>
      <c r="H99" s="567"/>
      <c r="I99" s="567"/>
      <c r="J99" s="567"/>
      <c r="K99" s="567"/>
      <c r="L99" s="567"/>
      <c r="M99" s="567"/>
      <c r="N99" s="567"/>
      <c r="O99" s="567"/>
      <c r="P99" s="567"/>
      <c r="Q99" s="567"/>
      <c r="R99" s="567"/>
      <c r="S99" s="567"/>
      <c r="T99" s="567"/>
      <c r="U99" s="567"/>
      <c r="V99" s="567"/>
      <c r="W99" s="567"/>
      <c r="X99" s="567"/>
      <c r="Y99" s="567"/>
      <c r="Z99" s="567"/>
      <c r="AA99" s="567"/>
      <c r="AB99" s="567"/>
      <c r="AC99" s="567"/>
      <c r="AD99" s="567"/>
      <c r="AE99" s="567"/>
      <c r="AF99" s="567"/>
      <c r="AG99" s="567"/>
      <c r="AH99" s="567"/>
      <c r="AI99" s="567"/>
      <c r="AJ99" s="567"/>
      <c r="AK99" s="3"/>
      <c r="AL99" s="3"/>
    </row>
    <row r="100" spans="1:38" s="1221" customFormat="1" ht="17" x14ac:dyDescent="0.45">
      <c r="A100" s="90" t="s">
        <v>1489</v>
      </c>
      <c r="B100" s="498" t="s">
        <v>1491</v>
      </c>
      <c r="C100" s="1220"/>
      <c r="D100" s="687"/>
      <c r="E100" s="1220"/>
      <c r="F100" s="1220"/>
      <c r="G100" s="1220"/>
      <c r="H100" s="1220"/>
      <c r="I100" s="1220"/>
      <c r="J100" s="1220"/>
      <c r="K100" s="1220"/>
      <c r="L100" s="1220"/>
      <c r="M100" s="1220"/>
      <c r="N100" s="1220"/>
      <c r="O100" s="1220"/>
      <c r="P100" s="1220"/>
      <c r="Q100" s="1220"/>
      <c r="AK100" s="3"/>
      <c r="AL100" s="3"/>
    </row>
    <row r="101" spans="1:38" ht="17" x14ac:dyDescent="0.45">
      <c r="A101" s="88" t="s">
        <v>1490</v>
      </c>
      <c r="AF101" s="5"/>
    </row>
    <row r="102" spans="1:38" s="28" customFormat="1" ht="16" customHeight="1" x14ac:dyDescent="0.4">
      <c r="A102" s="1218" t="s">
        <v>804</v>
      </c>
      <c r="B102" s="1202" t="s">
        <v>136</v>
      </c>
      <c r="C102" s="1128" t="s">
        <v>391</v>
      </c>
      <c r="D102" s="1128" t="s">
        <v>392</v>
      </c>
      <c r="E102" s="1128" t="s">
        <v>393</v>
      </c>
      <c r="F102" s="1128" t="s">
        <v>394</v>
      </c>
      <c r="G102" s="1128" t="s">
        <v>395</v>
      </c>
      <c r="H102" s="1128" t="s">
        <v>396</v>
      </c>
      <c r="I102" s="1128" t="s">
        <v>397</v>
      </c>
      <c r="J102" s="1128" t="s">
        <v>398</v>
      </c>
      <c r="K102" s="1128" t="s">
        <v>399</v>
      </c>
      <c r="L102" s="1128" t="s">
        <v>400</v>
      </c>
      <c r="M102" s="1128" t="s">
        <v>401</v>
      </c>
      <c r="N102" s="1128" t="s">
        <v>402</v>
      </c>
      <c r="O102" s="1128" t="s">
        <v>403</v>
      </c>
      <c r="P102" s="1128" t="s">
        <v>404</v>
      </c>
      <c r="Q102" s="1128" t="s">
        <v>405</v>
      </c>
      <c r="R102" s="1128" t="s">
        <v>406</v>
      </c>
      <c r="S102" s="1128" t="s">
        <v>407</v>
      </c>
      <c r="T102" s="1128" t="s">
        <v>408</v>
      </c>
      <c r="U102" s="1128" t="s">
        <v>409</v>
      </c>
      <c r="V102" s="1128" t="s">
        <v>410</v>
      </c>
      <c r="W102" s="1128" t="s">
        <v>411</v>
      </c>
      <c r="X102" s="1128" t="s">
        <v>412</v>
      </c>
      <c r="Y102" s="1128" t="s">
        <v>413</v>
      </c>
      <c r="Z102" s="1128" t="s">
        <v>414</v>
      </c>
      <c r="AA102" s="1128" t="s">
        <v>415</v>
      </c>
      <c r="AB102" s="1128" t="s">
        <v>416</v>
      </c>
      <c r="AC102" s="1128" t="s">
        <v>417</v>
      </c>
      <c r="AD102" s="1128" t="s">
        <v>418</v>
      </c>
      <c r="AE102" s="1128" t="s">
        <v>419</v>
      </c>
      <c r="AF102" s="1128" t="s">
        <v>420</v>
      </c>
      <c r="AG102" s="1129" t="s">
        <v>421</v>
      </c>
      <c r="AH102" s="1128" t="s">
        <v>422</v>
      </c>
      <c r="AI102" s="1129" t="s">
        <v>423</v>
      </c>
      <c r="AJ102" s="1128" t="s">
        <v>424</v>
      </c>
      <c r="AK102" s="3"/>
      <c r="AL102" s="3"/>
    </row>
    <row r="103" spans="1:38" s="28" customFormat="1" x14ac:dyDescent="0.4">
      <c r="A103" s="533" t="s">
        <v>169</v>
      </c>
      <c r="B103" s="533" t="s">
        <v>138</v>
      </c>
      <c r="C103" s="534">
        <v>10.924027882038665</v>
      </c>
      <c r="D103" s="534">
        <v>10.924027882038665</v>
      </c>
      <c r="E103" s="534">
        <v>10.924027882038665</v>
      </c>
      <c r="F103" s="534">
        <v>10.924027882038665</v>
      </c>
      <c r="G103" s="534">
        <v>10.924027882038665</v>
      </c>
      <c r="H103" s="534">
        <v>10.924027882038665</v>
      </c>
      <c r="I103" s="534">
        <v>10.924027882038665</v>
      </c>
      <c r="J103" s="534">
        <v>10.924027882038665</v>
      </c>
      <c r="K103" s="534">
        <v>10.924027882038665</v>
      </c>
      <c r="L103" s="534">
        <v>10.924027882038667</v>
      </c>
      <c r="M103" s="534">
        <v>10.924027882038665</v>
      </c>
      <c r="N103" s="534">
        <v>10.924027882038667</v>
      </c>
      <c r="O103" s="534">
        <v>10.924027882038665</v>
      </c>
      <c r="P103" s="534">
        <v>10.924027882038665</v>
      </c>
      <c r="Q103" s="534">
        <v>10.924027882038665</v>
      </c>
      <c r="R103" s="534">
        <v>10.924027882038663</v>
      </c>
      <c r="S103" s="534">
        <v>10.924027882038667</v>
      </c>
      <c r="T103" s="534">
        <v>10.924027882038667</v>
      </c>
      <c r="U103" s="534">
        <v>10.924027882038665</v>
      </c>
      <c r="V103" s="534">
        <v>10.924027882038667</v>
      </c>
      <c r="W103" s="534">
        <v>10.924027882038665</v>
      </c>
      <c r="X103" s="534">
        <v>10.924027882038667</v>
      </c>
      <c r="Y103" s="534">
        <v>10.924027882038665</v>
      </c>
      <c r="Z103" s="534">
        <v>10.924027882038665</v>
      </c>
      <c r="AA103" s="534">
        <v>10.924027882038665</v>
      </c>
      <c r="AB103" s="534">
        <v>10.924027882038665</v>
      </c>
      <c r="AC103" s="534">
        <v>10.924027882038665</v>
      </c>
      <c r="AD103" s="534">
        <v>10.924027882038663</v>
      </c>
      <c r="AE103" s="534">
        <v>10.924027882038663</v>
      </c>
      <c r="AF103" s="534">
        <v>10.924027882038665</v>
      </c>
      <c r="AG103" s="534">
        <v>10.924027882038665</v>
      </c>
      <c r="AH103" s="534">
        <v>10.924027882038665</v>
      </c>
      <c r="AI103" s="534">
        <v>10.924027882038665</v>
      </c>
      <c r="AJ103" s="534">
        <v>10.9240278820387</v>
      </c>
      <c r="AK103" s="3"/>
      <c r="AL103" s="3"/>
    </row>
    <row r="104" spans="1:38" s="28" customFormat="1" x14ac:dyDescent="0.4">
      <c r="A104" s="533" t="s">
        <v>548</v>
      </c>
      <c r="B104" s="533" t="s">
        <v>138</v>
      </c>
      <c r="C104" s="534">
        <v>609.57899999999995</v>
      </c>
      <c r="D104" s="534">
        <v>609.57899999999995</v>
      </c>
      <c r="E104" s="534">
        <v>609.57900000000006</v>
      </c>
      <c r="F104" s="534">
        <v>609.57899999999995</v>
      </c>
      <c r="G104" s="534">
        <v>609.57899999999995</v>
      </c>
      <c r="H104" s="534">
        <v>609.57899999999984</v>
      </c>
      <c r="I104" s="534">
        <v>609.57899999999984</v>
      </c>
      <c r="J104" s="534">
        <v>609.57899999999995</v>
      </c>
      <c r="K104" s="534">
        <v>609.57899999999995</v>
      </c>
      <c r="L104" s="534">
        <v>609.57899999999995</v>
      </c>
      <c r="M104" s="534">
        <v>609.57899999999995</v>
      </c>
      <c r="N104" s="534">
        <v>609.57899999999995</v>
      </c>
      <c r="O104" s="534">
        <v>609.57900000000006</v>
      </c>
      <c r="P104" s="534">
        <v>609.57899999999984</v>
      </c>
      <c r="Q104" s="534">
        <v>609.57899999999995</v>
      </c>
      <c r="R104" s="534">
        <v>609.57899999999995</v>
      </c>
      <c r="S104" s="534">
        <v>609.57899999999995</v>
      </c>
      <c r="T104" s="534">
        <v>609.57899999999995</v>
      </c>
      <c r="U104" s="534">
        <v>609.57899999999995</v>
      </c>
      <c r="V104" s="534">
        <v>609.57899999999995</v>
      </c>
      <c r="W104" s="534">
        <v>609.57899999999995</v>
      </c>
      <c r="X104" s="534">
        <v>609.57899999999995</v>
      </c>
      <c r="Y104" s="534">
        <v>609.57899999999995</v>
      </c>
      <c r="Z104" s="534">
        <v>609.57899999999995</v>
      </c>
      <c r="AA104" s="534">
        <v>609.57899999999995</v>
      </c>
      <c r="AB104" s="534">
        <v>609.57899999999995</v>
      </c>
      <c r="AC104" s="534">
        <v>832.13267341428025</v>
      </c>
      <c r="AD104" s="534">
        <v>666.84254526785526</v>
      </c>
      <c r="AE104" s="534">
        <v>691.04939713060992</v>
      </c>
      <c r="AF104" s="534">
        <v>619.28773803433489</v>
      </c>
      <c r="AG104" s="534">
        <v>731.07501764421352</v>
      </c>
      <c r="AH104" s="534">
        <v>549.54733651510662</v>
      </c>
      <c r="AI104" s="534">
        <v>444.69160217942203</v>
      </c>
      <c r="AJ104" s="534">
        <v>328.86064644637634</v>
      </c>
      <c r="AK104" s="3"/>
      <c r="AL104" s="3"/>
    </row>
    <row r="105" spans="1:38" s="28" customFormat="1" x14ac:dyDescent="0.4">
      <c r="A105" s="1212" t="s">
        <v>1063</v>
      </c>
      <c r="B105" s="1191"/>
      <c r="C105" s="1191"/>
      <c r="D105" s="1191"/>
      <c r="E105" s="1191"/>
      <c r="F105" s="1191"/>
      <c r="G105" s="1191"/>
      <c r="H105" s="1191"/>
      <c r="I105" s="1191"/>
      <c r="J105" s="1191"/>
      <c r="K105" s="1191"/>
      <c r="L105" s="1191"/>
      <c r="M105" s="1191"/>
      <c r="N105" s="1191"/>
      <c r="O105" s="1191"/>
      <c r="P105" s="1191"/>
      <c r="Q105" s="1191"/>
      <c r="R105" s="1191"/>
      <c r="S105" s="1191"/>
      <c r="T105" s="1191"/>
      <c r="U105" s="1191"/>
      <c r="V105" s="1191"/>
      <c r="W105" s="1191"/>
      <c r="X105" s="1191"/>
      <c r="Y105" s="1191"/>
      <c r="Z105" s="1191"/>
      <c r="AA105" s="1191"/>
      <c r="AB105" s="1191"/>
      <c r="AC105" s="1191"/>
      <c r="AD105" s="1191"/>
      <c r="AE105" s="1191"/>
      <c r="AF105" s="1191"/>
      <c r="AG105" s="1191"/>
      <c r="AH105" s="1191"/>
      <c r="AI105" s="1191"/>
      <c r="AJ105" s="1191"/>
      <c r="AK105" s="3"/>
      <c r="AL105" s="3"/>
    </row>
    <row r="106" spans="1:38" s="28" customFormat="1" x14ac:dyDescent="0.4">
      <c r="A106" s="581"/>
      <c r="B106" s="581"/>
      <c r="C106" s="89"/>
      <c r="D106" s="89"/>
      <c r="E106" s="89"/>
      <c r="F106" s="89"/>
      <c r="G106" s="89"/>
      <c r="H106" s="89"/>
      <c r="I106" s="89"/>
      <c r="J106" s="89"/>
      <c r="K106" s="89"/>
      <c r="L106" s="89"/>
      <c r="M106" s="89"/>
      <c r="N106" s="89"/>
      <c r="O106" s="89"/>
      <c r="P106" s="89"/>
      <c r="Q106" s="89"/>
      <c r="R106" s="89"/>
      <c r="S106" s="89"/>
      <c r="T106" s="89"/>
      <c r="U106" s="89"/>
      <c r="V106" s="89"/>
      <c r="W106" s="89"/>
      <c r="X106" s="89"/>
      <c r="Y106" s="89"/>
      <c r="Z106" s="89"/>
      <c r="AA106" s="89"/>
      <c r="AB106" s="89"/>
      <c r="AC106" s="89"/>
      <c r="AD106" s="89"/>
      <c r="AE106" s="89"/>
      <c r="AF106" s="89"/>
      <c r="AG106" s="89"/>
      <c r="AH106" s="89"/>
      <c r="AI106" s="89"/>
      <c r="AJ106" s="89"/>
      <c r="AK106" s="3"/>
      <c r="AL106" s="3"/>
    </row>
    <row r="107" spans="1:38" s="28" customFormat="1" ht="17" x14ac:dyDescent="0.45">
      <c r="A107" s="88" t="s">
        <v>1492</v>
      </c>
      <c r="B107" s="581"/>
      <c r="C107" s="89"/>
      <c r="D107" s="89"/>
      <c r="E107" s="89"/>
      <c r="F107" s="89"/>
      <c r="G107" s="89"/>
      <c r="H107" s="89"/>
      <c r="I107" s="89"/>
      <c r="J107" s="89"/>
      <c r="K107" s="89"/>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c r="AI107" s="89"/>
      <c r="AJ107" s="89"/>
      <c r="AK107" s="3"/>
      <c r="AL107" s="3"/>
    </row>
    <row r="108" spans="1:38" s="28" customFormat="1" ht="16" customHeight="1" x14ac:dyDescent="0.4">
      <c r="A108" s="1218" t="s">
        <v>890</v>
      </c>
      <c r="B108" s="1202" t="s">
        <v>136</v>
      </c>
      <c r="C108" s="1128" t="s">
        <v>391</v>
      </c>
      <c r="D108" s="1128" t="s">
        <v>392</v>
      </c>
      <c r="E108" s="1128" t="s">
        <v>393</v>
      </c>
      <c r="F108" s="1128" t="s">
        <v>394</v>
      </c>
      <c r="G108" s="1128" t="s">
        <v>395</v>
      </c>
      <c r="H108" s="1128" t="s">
        <v>396</v>
      </c>
      <c r="I108" s="1128" t="s">
        <v>397</v>
      </c>
      <c r="J108" s="1128" t="s">
        <v>398</v>
      </c>
      <c r="K108" s="1128" t="s">
        <v>399</v>
      </c>
      <c r="L108" s="1128" t="s">
        <v>400</v>
      </c>
      <c r="M108" s="1128" t="s">
        <v>401</v>
      </c>
      <c r="N108" s="1128" t="s">
        <v>402</v>
      </c>
      <c r="O108" s="1128" t="s">
        <v>403</v>
      </c>
      <c r="P108" s="1128" t="s">
        <v>404</v>
      </c>
      <c r="Q108" s="1128" t="s">
        <v>405</v>
      </c>
      <c r="R108" s="1128" t="s">
        <v>406</v>
      </c>
      <c r="S108" s="1128" t="s">
        <v>407</v>
      </c>
      <c r="T108" s="1128" t="s">
        <v>408</v>
      </c>
      <c r="U108" s="1128" t="s">
        <v>409</v>
      </c>
      <c r="V108" s="1128" t="s">
        <v>410</v>
      </c>
      <c r="W108" s="1128" t="s">
        <v>411</v>
      </c>
      <c r="X108" s="1128" t="s">
        <v>412</v>
      </c>
      <c r="Y108" s="1128" t="s">
        <v>413</v>
      </c>
      <c r="Z108" s="1128" t="s">
        <v>414</v>
      </c>
      <c r="AA108" s="1128" t="s">
        <v>415</v>
      </c>
      <c r="AB108" s="1128" t="s">
        <v>416</v>
      </c>
      <c r="AC108" s="1128" t="s">
        <v>417</v>
      </c>
      <c r="AD108" s="1128" t="s">
        <v>418</v>
      </c>
      <c r="AE108" s="1128" t="s">
        <v>419</v>
      </c>
      <c r="AF108" s="1128" t="s">
        <v>420</v>
      </c>
      <c r="AG108" s="1129" t="s">
        <v>421</v>
      </c>
      <c r="AH108" s="1128" t="s">
        <v>422</v>
      </c>
      <c r="AI108" s="1129" t="s">
        <v>423</v>
      </c>
      <c r="AJ108" s="1128" t="s">
        <v>424</v>
      </c>
      <c r="AK108" s="3"/>
      <c r="AL108" s="3"/>
    </row>
    <row r="109" spans="1:38" s="28" customFormat="1" x14ac:dyDescent="0.4">
      <c r="A109" s="644" t="s">
        <v>549</v>
      </c>
      <c r="B109" s="533" t="s">
        <v>147</v>
      </c>
      <c r="C109" s="534">
        <v>633830.39474332659</v>
      </c>
      <c r="D109" s="534">
        <v>633830.39474332682</v>
      </c>
      <c r="E109" s="534">
        <v>633830.39474332682</v>
      </c>
      <c r="F109" s="534">
        <v>617376.91532074567</v>
      </c>
      <c r="G109" s="534">
        <v>600923.43589816475</v>
      </c>
      <c r="H109" s="534">
        <v>584469.9564755836</v>
      </c>
      <c r="I109" s="534">
        <v>568016.47705300257</v>
      </c>
      <c r="J109" s="534">
        <v>551562.99763042142</v>
      </c>
      <c r="K109" s="534">
        <v>535109.51820784039</v>
      </c>
      <c r="L109" s="534">
        <v>518656.0387852593</v>
      </c>
      <c r="M109" s="534">
        <v>502202.55936267821</v>
      </c>
      <c r="N109" s="534">
        <v>485749.07994009723</v>
      </c>
      <c r="O109" s="534">
        <v>469295.60051751614</v>
      </c>
      <c r="P109" s="534">
        <v>452842.12109493499</v>
      </c>
      <c r="Q109" s="534">
        <v>436388.64167235384</v>
      </c>
      <c r="R109" s="534">
        <v>419935.16224977281</v>
      </c>
      <c r="S109" s="534">
        <v>403481.68282719166</v>
      </c>
      <c r="T109" s="534">
        <v>387028.20340461051</v>
      </c>
      <c r="U109" s="534">
        <v>370574.72398202942</v>
      </c>
      <c r="V109" s="534">
        <v>354121.24455944821</v>
      </c>
      <c r="W109" s="534">
        <v>337667.76513686712</v>
      </c>
      <c r="X109" s="534">
        <v>321214.28571428562</v>
      </c>
      <c r="Y109" s="534">
        <v>321753.74376039935</v>
      </c>
      <c r="Z109" s="534">
        <v>321590.9342177998</v>
      </c>
      <c r="AA109" s="534">
        <v>317726.8156424581</v>
      </c>
      <c r="AB109" s="534">
        <v>319349.09909909905</v>
      </c>
      <c r="AC109" s="534">
        <v>319438.84057971014</v>
      </c>
      <c r="AD109" s="534">
        <v>318440.8117249154</v>
      </c>
      <c r="AE109" s="534">
        <v>313608.74257960066</v>
      </c>
      <c r="AF109" s="534">
        <v>310507.42311770935</v>
      </c>
      <c r="AG109" s="534">
        <v>308820.11708355503</v>
      </c>
      <c r="AH109" s="534">
        <v>298809.18367346941</v>
      </c>
      <c r="AI109" s="534">
        <v>293959.06140788813</v>
      </c>
      <c r="AJ109" s="534">
        <v>298000.53590568062</v>
      </c>
      <c r="AK109" s="3"/>
      <c r="AL109" s="3"/>
    </row>
    <row r="110" spans="1:38" s="28" customFormat="1" x14ac:dyDescent="0.4">
      <c r="A110" s="685" t="s">
        <v>550</v>
      </c>
      <c r="B110" s="533" t="s">
        <v>147</v>
      </c>
      <c r="C110" s="534" t="s">
        <v>167</v>
      </c>
      <c r="D110" s="534" t="s">
        <v>167</v>
      </c>
      <c r="E110" s="534" t="s">
        <v>167</v>
      </c>
      <c r="F110" s="534" t="s">
        <v>167</v>
      </c>
      <c r="G110" s="534" t="s">
        <v>167</v>
      </c>
      <c r="H110" s="534" t="s">
        <v>167</v>
      </c>
      <c r="I110" s="534" t="s">
        <v>167</v>
      </c>
      <c r="J110" s="534" t="s">
        <v>167</v>
      </c>
      <c r="K110" s="534" t="s">
        <v>167</v>
      </c>
      <c r="L110" s="534" t="s">
        <v>167</v>
      </c>
      <c r="M110" s="534" t="s">
        <v>167</v>
      </c>
      <c r="N110" s="534" t="s">
        <v>167</v>
      </c>
      <c r="O110" s="534" t="s">
        <v>167</v>
      </c>
      <c r="P110" s="534" t="s">
        <v>167</v>
      </c>
      <c r="Q110" s="534" t="s">
        <v>167</v>
      </c>
      <c r="R110" s="534" t="s">
        <v>167</v>
      </c>
      <c r="S110" s="534" t="s">
        <v>167</v>
      </c>
      <c r="T110" s="534" t="s">
        <v>167</v>
      </c>
      <c r="U110" s="534" t="s">
        <v>167</v>
      </c>
      <c r="V110" s="534" t="s">
        <v>167</v>
      </c>
      <c r="W110" s="534" t="s">
        <v>167</v>
      </c>
      <c r="X110" s="534">
        <v>64000</v>
      </c>
      <c r="Y110" s="534">
        <v>64000</v>
      </c>
      <c r="Z110" s="534">
        <v>63999.999999999993</v>
      </c>
      <c r="AA110" s="534">
        <v>63999.999999999993</v>
      </c>
      <c r="AB110" s="534">
        <v>63999.999999999993</v>
      </c>
      <c r="AC110" s="534">
        <v>63999.999999999993</v>
      </c>
      <c r="AD110" s="534">
        <v>63999.999999999993</v>
      </c>
      <c r="AE110" s="534">
        <v>63999.999999999993</v>
      </c>
      <c r="AF110" s="534">
        <v>63999.999999999993</v>
      </c>
      <c r="AG110" s="534">
        <v>63999.999999999993</v>
      </c>
      <c r="AH110" s="534">
        <v>63999.999999999985</v>
      </c>
      <c r="AI110" s="534">
        <v>64000</v>
      </c>
      <c r="AJ110" s="534">
        <v>64000</v>
      </c>
      <c r="AK110" s="3"/>
      <c r="AL110" s="3"/>
    </row>
    <row r="111" spans="1:38" s="28" customFormat="1" x14ac:dyDescent="0.4">
      <c r="A111" s="685" t="s">
        <v>551</v>
      </c>
      <c r="B111" s="533" t="s">
        <v>190</v>
      </c>
      <c r="C111" s="534" t="s">
        <v>167</v>
      </c>
      <c r="D111" s="534" t="s">
        <v>167</v>
      </c>
      <c r="E111" s="534" t="s">
        <v>167</v>
      </c>
      <c r="F111" s="534" t="s">
        <v>167</v>
      </c>
      <c r="G111" s="534" t="s">
        <v>167</v>
      </c>
      <c r="H111" s="534" t="s">
        <v>167</v>
      </c>
      <c r="I111" s="534" t="s">
        <v>167</v>
      </c>
      <c r="J111" s="534" t="s">
        <v>167</v>
      </c>
      <c r="K111" s="534" t="s">
        <v>167</v>
      </c>
      <c r="L111" s="534" t="s">
        <v>167</v>
      </c>
      <c r="M111" s="534" t="s">
        <v>167</v>
      </c>
      <c r="N111" s="534" t="s">
        <v>167</v>
      </c>
      <c r="O111" s="534" t="s">
        <v>167</v>
      </c>
      <c r="P111" s="534" t="s">
        <v>167</v>
      </c>
      <c r="Q111" s="534" t="s">
        <v>167</v>
      </c>
      <c r="R111" s="534" t="s">
        <v>167</v>
      </c>
      <c r="S111" s="534" t="s">
        <v>167</v>
      </c>
      <c r="T111" s="534" t="s">
        <v>167</v>
      </c>
      <c r="U111" s="534" t="s">
        <v>167</v>
      </c>
      <c r="V111" s="534" t="s">
        <v>167</v>
      </c>
      <c r="W111" s="534" t="s">
        <v>167</v>
      </c>
      <c r="X111" s="534">
        <v>64999.999999999993</v>
      </c>
      <c r="Y111" s="534">
        <v>65000</v>
      </c>
      <c r="Z111" s="534">
        <v>64999.999999999993</v>
      </c>
      <c r="AA111" s="534">
        <v>64999.999999999985</v>
      </c>
      <c r="AB111" s="534">
        <v>64999.999999999985</v>
      </c>
      <c r="AC111" s="534">
        <v>65000</v>
      </c>
      <c r="AD111" s="534">
        <v>65000</v>
      </c>
      <c r="AE111" s="534">
        <v>65000</v>
      </c>
      <c r="AF111" s="534">
        <v>64999.999999999985</v>
      </c>
      <c r="AG111" s="534">
        <v>65000</v>
      </c>
      <c r="AH111" s="534">
        <v>64999.999999999985</v>
      </c>
      <c r="AI111" s="534">
        <v>64999.999999999985</v>
      </c>
      <c r="AJ111" s="534">
        <v>65000</v>
      </c>
      <c r="AK111" s="3"/>
      <c r="AL111" s="3"/>
    </row>
    <row r="112" spans="1:38" s="28" customFormat="1" x14ac:dyDescent="0.4">
      <c r="A112" s="685" t="s">
        <v>553</v>
      </c>
      <c r="B112" s="533" t="s">
        <v>190</v>
      </c>
      <c r="C112" s="534" t="s">
        <v>167</v>
      </c>
      <c r="D112" s="534" t="s">
        <v>167</v>
      </c>
      <c r="E112" s="534" t="s">
        <v>167</v>
      </c>
      <c r="F112" s="534" t="s">
        <v>167</v>
      </c>
      <c r="G112" s="534" t="s">
        <v>167</v>
      </c>
      <c r="H112" s="534" t="s">
        <v>167</v>
      </c>
      <c r="I112" s="534" t="s">
        <v>167</v>
      </c>
      <c r="J112" s="534" t="s">
        <v>167</v>
      </c>
      <c r="K112" s="534" t="s">
        <v>167</v>
      </c>
      <c r="L112" s="534" t="s">
        <v>167</v>
      </c>
      <c r="M112" s="534" t="s">
        <v>167</v>
      </c>
      <c r="N112" s="534" t="s">
        <v>167</v>
      </c>
      <c r="O112" s="534" t="s">
        <v>167</v>
      </c>
      <c r="P112" s="534" t="s">
        <v>167</v>
      </c>
      <c r="Q112" s="534" t="s">
        <v>167</v>
      </c>
      <c r="R112" s="534" t="s">
        <v>167</v>
      </c>
      <c r="S112" s="534" t="s">
        <v>167</v>
      </c>
      <c r="T112" s="534" t="s">
        <v>167</v>
      </c>
      <c r="U112" s="534" t="s">
        <v>167</v>
      </c>
      <c r="V112" s="534" t="s">
        <v>167</v>
      </c>
      <c r="W112" s="534" t="s">
        <v>167</v>
      </c>
      <c r="X112" s="534">
        <v>68000</v>
      </c>
      <c r="Y112" s="534">
        <v>68000</v>
      </c>
      <c r="Z112" s="534">
        <v>68000</v>
      </c>
      <c r="AA112" s="534">
        <v>67999.999999999985</v>
      </c>
      <c r="AB112" s="534">
        <v>68000</v>
      </c>
      <c r="AC112" s="534">
        <v>68000</v>
      </c>
      <c r="AD112" s="534">
        <v>68000</v>
      </c>
      <c r="AE112" s="534">
        <v>68000</v>
      </c>
      <c r="AF112" s="534">
        <v>68000</v>
      </c>
      <c r="AG112" s="534">
        <v>67999.999999999985</v>
      </c>
      <c r="AH112" s="534">
        <v>68000</v>
      </c>
      <c r="AI112" s="534">
        <v>67999.999999999985</v>
      </c>
      <c r="AJ112" s="534">
        <v>68000</v>
      </c>
      <c r="AK112" s="3"/>
      <c r="AL112" s="3"/>
    </row>
    <row r="113" spans="1:38" s="28" customFormat="1" x14ac:dyDescent="0.4">
      <c r="A113" s="685" t="s">
        <v>554</v>
      </c>
      <c r="B113" s="533" t="s">
        <v>190</v>
      </c>
      <c r="C113" s="534" t="s">
        <v>167</v>
      </c>
      <c r="D113" s="534" t="s">
        <v>167</v>
      </c>
      <c r="E113" s="534" t="s">
        <v>167</v>
      </c>
      <c r="F113" s="534" t="s">
        <v>167</v>
      </c>
      <c r="G113" s="534" t="s">
        <v>167</v>
      </c>
      <c r="H113" s="534" t="s">
        <v>167</v>
      </c>
      <c r="I113" s="534" t="s">
        <v>167</v>
      </c>
      <c r="J113" s="534" t="s">
        <v>167</v>
      </c>
      <c r="K113" s="534" t="s">
        <v>167</v>
      </c>
      <c r="L113" s="534" t="s">
        <v>167</v>
      </c>
      <c r="M113" s="534" t="s">
        <v>167</v>
      </c>
      <c r="N113" s="534" t="s">
        <v>167</v>
      </c>
      <c r="O113" s="534" t="s">
        <v>167</v>
      </c>
      <c r="P113" s="534" t="s">
        <v>167</v>
      </c>
      <c r="Q113" s="534" t="s">
        <v>167</v>
      </c>
      <c r="R113" s="534" t="s">
        <v>167</v>
      </c>
      <c r="S113" s="534" t="s">
        <v>167</v>
      </c>
      <c r="T113" s="534" t="s">
        <v>167</v>
      </c>
      <c r="U113" s="534" t="s">
        <v>167</v>
      </c>
      <c r="V113" s="534" t="s">
        <v>167</v>
      </c>
      <c r="W113" s="534" t="s">
        <v>167</v>
      </c>
      <c r="X113" s="534">
        <v>44000</v>
      </c>
      <c r="Y113" s="534">
        <v>44000</v>
      </c>
      <c r="Z113" s="534">
        <v>44000</v>
      </c>
      <c r="AA113" s="534">
        <v>44000</v>
      </c>
      <c r="AB113" s="534">
        <v>44000</v>
      </c>
      <c r="AC113" s="534">
        <v>44000</v>
      </c>
      <c r="AD113" s="534">
        <v>44000</v>
      </c>
      <c r="AE113" s="534">
        <v>43999.999999999993</v>
      </c>
      <c r="AF113" s="534">
        <v>44000</v>
      </c>
      <c r="AG113" s="534">
        <v>43999.999999999993</v>
      </c>
      <c r="AH113" s="534">
        <v>44000</v>
      </c>
      <c r="AI113" s="534">
        <v>44000</v>
      </c>
      <c r="AJ113" s="534">
        <v>44000</v>
      </c>
      <c r="AK113" s="3"/>
      <c r="AL113" s="3"/>
    </row>
    <row r="114" spans="1:38" s="28" customFormat="1" x14ac:dyDescent="0.4">
      <c r="A114" s="644" t="s">
        <v>547</v>
      </c>
      <c r="B114" s="533" t="s">
        <v>147</v>
      </c>
      <c r="C114" s="534">
        <v>83954.339999999982</v>
      </c>
      <c r="D114" s="534">
        <v>83954.34</v>
      </c>
      <c r="E114" s="534">
        <v>83954.34</v>
      </c>
      <c r="F114" s="534">
        <v>83328.669211208224</v>
      </c>
      <c r="G114" s="534">
        <v>83701.05006117365</v>
      </c>
      <c r="H114" s="534">
        <v>83258.603134065168</v>
      </c>
      <c r="I114" s="534">
        <v>82956.387429048744</v>
      </c>
      <c r="J114" s="534">
        <v>83408.670626649677</v>
      </c>
      <c r="K114" s="534">
        <v>83236.509669129402</v>
      </c>
      <c r="L114" s="534">
        <v>83314.055960552287</v>
      </c>
      <c r="M114" s="534">
        <v>82669.300886399535</v>
      </c>
      <c r="N114" s="534">
        <v>81669.084847966573</v>
      </c>
      <c r="O114" s="534">
        <v>82450.18060887196</v>
      </c>
      <c r="P114" s="534">
        <v>80068.559622045665</v>
      </c>
      <c r="Q114" s="534">
        <v>80924.29079841869</v>
      </c>
      <c r="R114" s="534">
        <v>82743.354412980581</v>
      </c>
      <c r="S114" s="534">
        <v>78310.833385871403</v>
      </c>
      <c r="T114" s="534">
        <v>82959.813370679956</v>
      </c>
      <c r="U114" s="534">
        <v>80445.959241387711</v>
      </c>
      <c r="V114" s="534">
        <v>82093.26189574234</v>
      </c>
      <c r="W114" s="534">
        <v>82059.579313904134</v>
      </c>
      <c r="X114" s="534">
        <v>82558.378650873288</v>
      </c>
      <c r="Y114" s="534">
        <v>82147.560442958289</v>
      </c>
      <c r="Z114" s="534">
        <v>81988.584491679692</v>
      </c>
      <c r="AA114" s="534">
        <v>82142.556029278916</v>
      </c>
      <c r="AB114" s="534">
        <v>81905.166714962339</v>
      </c>
      <c r="AC114" s="534">
        <v>73432.203243699827</v>
      </c>
      <c r="AD114" s="534">
        <v>69299.182039781823</v>
      </c>
      <c r="AE114" s="534">
        <v>68626.712709405445</v>
      </c>
      <c r="AF114" s="534">
        <v>72598.023010916557</v>
      </c>
      <c r="AG114" s="534">
        <v>72555.716348370741</v>
      </c>
      <c r="AH114" s="534">
        <v>73026.781917647255</v>
      </c>
      <c r="AI114" s="534">
        <v>73261.372530498571</v>
      </c>
      <c r="AJ114" s="534">
        <v>72476.304715213613</v>
      </c>
      <c r="AK114" s="3"/>
      <c r="AL114" s="3"/>
    </row>
    <row r="115" spans="1:38" s="28" customFormat="1" x14ac:dyDescent="0.4">
      <c r="A115" s="1195" t="s">
        <v>1063</v>
      </c>
      <c r="B115" s="1194"/>
      <c r="C115" s="1191"/>
      <c r="D115" s="1191"/>
      <c r="E115" s="1191"/>
      <c r="F115" s="1191"/>
      <c r="G115" s="1191"/>
      <c r="H115" s="1191"/>
      <c r="I115" s="1191"/>
      <c r="J115" s="1191"/>
      <c r="K115" s="1191"/>
      <c r="L115" s="1191"/>
      <c r="M115" s="1191"/>
      <c r="N115" s="1191"/>
      <c r="O115" s="1191"/>
      <c r="P115" s="1191"/>
      <c r="Q115" s="1191"/>
      <c r="R115" s="1191"/>
      <c r="S115" s="1191"/>
      <c r="T115" s="1191"/>
      <c r="U115" s="1191"/>
      <c r="V115" s="1191"/>
      <c r="W115" s="1191"/>
      <c r="X115" s="1191"/>
      <c r="Y115" s="1191"/>
      <c r="Z115" s="1191"/>
      <c r="AA115" s="1191"/>
      <c r="AB115" s="1191"/>
      <c r="AC115" s="1191"/>
      <c r="AD115" s="1191"/>
      <c r="AE115" s="1191"/>
      <c r="AF115" s="1191"/>
      <c r="AG115" s="1191"/>
      <c r="AH115" s="1191"/>
      <c r="AI115" s="1191"/>
      <c r="AJ115" s="1191"/>
      <c r="AK115" s="3"/>
      <c r="AL115" s="3"/>
    </row>
    <row r="116" spans="1:38" s="28" customFormat="1" x14ac:dyDescent="0.4">
      <c r="A116" s="581"/>
      <c r="B116" s="581"/>
      <c r="C116" s="89"/>
      <c r="D116" s="89"/>
      <c r="E116" s="89"/>
      <c r="F116" s="89"/>
      <c r="G116" s="89"/>
      <c r="H116" s="89"/>
      <c r="I116" s="89"/>
      <c r="J116" s="89"/>
      <c r="K116" s="89"/>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3"/>
      <c r="AL116" s="3"/>
    </row>
    <row r="117" spans="1:38" s="28" customFormat="1" ht="17" x14ac:dyDescent="0.45">
      <c r="A117" s="88" t="s">
        <v>1493</v>
      </c>
      <c r="B117" s="581"/>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3"/>
      <c r="AL117" s="3"/>
    </row>
    <row r="118" spans="1:38" s="28" customFormat="1" ht="16" customHeight="1" x14ac:dyDescent="0.4">
      <c r="A118" s="1218" t="s">
        <v>801</v>
      </c>
      <c r="B118" s="1202" t="s">
        <v>136</v>
      </c>
      <c r="C118" s="1128" t="s">
        <v>391</v>
      </c>
      <c r="D118" s="1128" t="s">
        <v>392</v>
      </c>
      <c r="E118" s="1128" t="s">
        <v>393</v>
      </c>
      <c r="F118" s="1128" t="s">
        <v>394</v>
      </c>
      <c r="G118" s="1128" t="s">
        <v>395</v>
      </c>
      <c r="H118" s="1128" t="s">
        <v>396</v>
      </c>
      <c r="I118" s="1128" t="s">
        <v>397</v>
      </c>
      <c r="J118" s="1128" t="s">
        <v>398</v>
      </c>
      <c r="K118" s="1128" t="s">
        <v>399</v>
      </c>
      <c r="L118" s="1128" t="s">
        <v>400</v>
      </c>
      <c r="M118" s="1128" t="s">
        <v>401</v>
      </c>
      <c r="N118" s="1128" t="s">
        <v>402</v>
      </c>
      <c r="O118" s="1128" t="s">
        <v>403</v>
      </c>
      <c r="P118" s="1128" t="s">
        <v>404</v>
      </c>
      <c r="Q118" s="1128" t="s">
        <v>405</v>
      </c>
      <c r="R118" s="1128" t="s">
        <v>406</v>
      </c>
      <c r="S118" s="1128" t="s">
        <v>407</v>
      </c>
      <c r="T118" s="1128" t="s">
        <v>408</v>
      </c>
      <c r="U118" s="1128" t="s">
        <v>409</v>
      </c>
      <c r="V118" s="1128" t="s">
        <v>410</v>
      </c>
      <c r="W118" s="1128" t="s">
        <v>411</v>
      </c>
      <c r="X118" s="1128" t="s">
        <v>412</v>
      </c>
      <c r="Y118" s="1128" t="s">
        <v>413</v>
      </c>
      <c r="Z118" s="1128" t="s">
        <v>414</v>
      </c>
      <c r="AA118" s="1128" t="s">
        <v>415</v>
      </c>
      <c r="AB118" s="1128" t="s">
        <v>416</v>
      </c>
      <c r="AC118" s="1128" t="s">
        <v>417</v>
      </c>
      <c r="AD118" s="1128" t="s">
        <v>418</v>
      </c>
      <c r="AE118" s="1128" t="s">
        <v>419</v>
      </c>
      <c r="AF118" s="1128" t="s">
        <v>420</v>
      </c>
      <c r="AG118" s="1129" t="s">
        <v>421</v>
      </c>
      <c r="AH118" s="1128" t="s">
        <v>422</v>
      </c>
      <c r="AI118" s="1129" t="s">
        <v>423</v>
      </c>
      <c r="AJ118" s="1128" t="s">
        <v>424</v>
      </c>
      <c r="AK118" s="3"/>
      <c r="AL118" s="3"/>
    </row>
    <row r="119" spans="1:38" s="28" customFormat="1" x14ac:dyDescent="0.4">
      <c r="A119" s="643" t="s">
        <v>552</v>
      </c>
      <c r="B119" s="532" t="s">
        <v>191</v>
      </c>
      <c r="C119" s="537">
        <v>3123.9142200000001</v>
      </c>
      <c r="D119" s="537">
        <v>3123.9142200000001</v>
      </c>
      <c r="E119" s="537">
        <v>3123.9142200000006</v>
      </c>
      <c r="F119" s="537">
        <v>3007.1602097380182</v>
      </c>
      <c r="G119" s="537">
        <v>2890.4061994760359</v>
      </c>
      <c r="H119" s="537">
        <v>2773.6521892140536</v>
      </c>
      <c r="I119" s="537">
        <v>2656.8981789520722</v>
      </c>
      <c r="J119" s="537">
        <v>2540.1441686900903</v>
      </c>
      <c r="K119" s="537">
        <v>2423.390158428108</v>
      </c>
      <c r="L119" s="537">
        <v>2306.6361481661261</v>
      </c>
      <c r="M119" s="537">
        <v>2189.8821379041442</v>
      </c>
      <c r="N119" s="537">
        <v>2073.1281276421619</v>
      </c>
      <c r="O119" s="537">
        <v>1956.37411738018</v>
      </c>
      <c r="P119" s="537">
        <v>1839.6201071181979</v>
      </c>
      <c r="Q119" s="537">
        <v>1722.866096856216</v>
      </c>
      <c r="R119" s="537">
        <v>1606.1120865942339</v>
      </c>
      <c r="S119" s="537">
        <v>1489.3580763322518</v>
      </c>
      <c r="T119" s="537">
        <v>1372.6040660702697</v>
      </c>
      <c r="U119" s="537">
        <v>1255.8500558082876</v>
      </c>
      <c r="V119" s="537">
        <v>1139.0960455463055</v>
      </c>
      <c r="W119" s="537">
        <v>1022.3420352843236</v>
      </c>
      <c r="X119" s="537">
        <v>905.58802502234062</v>
      </c>
      <c r="Y119" s="537">
        <v>665.52124594886527</v>
      </c>
      <c r="Z119" s="537">
        <v>633.36465849974786</v>
      </c>
      <c r="AA119" s="537">
        <v>588.75400790395918</v>
      </c>
      <c r="AB119" s="537">
        <v>634.42782738095161</v>
      </c>
      <c r="AC119" s="537">
        <v>552.15218712029082</v>
      </c>
      <c r="AD119" s="537">
        <v>524.93016665542075</v>
      </c>
      <c r="AE119" s="537">
        <v>496.88903433692377</v>
      </c>
      <c r="AF119" s="537">
        <v>503.23095998855297</v>
      </c>
      <c r="AG119" s="539">
        <v>495.78095919828178</v>
      </c>
      <c r="AH119" s="534">
        <v>475.70926414134448</v>
      </c>
      <c r="AI119" s="534">
        <v>480.07252479880196</v>
      </c>
      <c r="AJ119" s="534">
        <v>473.30727543043537</v>
      </c>
      <c r="AK119" s="3"/>
      <c r="AL119" s="3"/>
    </row>
    <row r="120" spans="1:38" s="28" customFormat="1" x14ac:dyDescent="0.4">
      <c r="A120" s="1394" t="s">
        <v>562</v>
      </c>
      <c r="B120" s="533" t="s">
        <v>191</v>
      </c>
      <c r="C120" s="534" t="s">
        <v>167</v>
      </c>
      <c r="D120" s="534" t="s">
        <v>167</v>
      </c>
      <c r="E120" s="534" t="s">
        <v>167</v>
      </c>
      <c r="F120" s="534" t="s">
        <v>167</v>
      </c>
      <c r="G120" s="534" t="s">
        <v>167</v>
      </c>
      <c r="H120" s="534" t="s">
        <v>167</v>
      </c>
      <c r="I120" s="534" t="s">
        <v>167</v>
      </c>
      <c r="J120" s="534" t="s">
        <v>167</v>
      </c>
      <c r="K120" s="534" t="s">
        <v>167</v>
      </c>
      <c r="L120" s="534" t="s">
        <v>167</v>
      </c>
      <c r="M120" s="534" t="s">
        <v>167</v>
      </c>
      <c r="N120" s="534" t="s">
        <v>167</v>
      </c>
      <c r="O120" s="534" t="s">
        <v>167</v>
      </c>
      <c r="P120" s="534" t="s">
        <v>167</v>
      </c>
      <c r="Q120" s="534" t="s">
        <v>167</v>
      </c>
      <c r="R120" s="534" t="s">
        <v>167</v>
      </c>
      <c r="S120" s="534" t="s">
        <v>167</v>
      </c>
      <c r="T120" s="534" t="s">
        <v>167</v>
      </c>
      <c r="U120" s="534" t="s">
        <v>167</v>
      </c>
      <c r="V120" s="534" t="s">
        <v>167</v>
      </c>
      <c r="W120" s="534" t="s">
        <v>167</v>
      </c>
      <c r="X120" s="534">
        <v>2996.0099863822061</v>
      </c>
      <c r="Y120" s="534">
        <v>3095.0718132854563</v>
      </c>
      <c r="Z120" s="534">
        <v>2927.2452504317785</v>
      </c>
      <c r="AA120" s="534">
        <v>2927.0332480818415</v>
      </c>
      <c r="AB120" s="534">
        <v>2802.8249336870035</v>
      </c>
      <c r="AC120" s="534">
        <v>2785.5400000000013</v>
      </c>
      <c r="AD120" s="534">
        <v>2908.850457782301</v>
      </c>
      <c r="AE120" s="534">
        <v>2862.9849340866294</v>
      </c>
      <c r="AF120" s="534">
        <v>2868.7181738367003</v>
      </c>
      <c r="AG120" s="539">
        <v>2898.3041474654369</v>
      </c>
      <c r="AH120" s="534">
        <v>2812.6074766355141</v>
      </c>
      <c r="AI120" s="534">
        <v>2839.2768595041321</v>
      </c>
      <c r="AJ120" s="534">
        <v>2879.3526785714266</v>
      </c>
      <c r="AK120" s="3"/>
      <c r="AL120" s="3"/>
    </row>
    <row r="121" spans="1:38" s="28" customFormat="1" x14ac:dyDescent="0.4">
      <c r="A121" s="1394" t="s">
        <v>563</v>
      </c>
      <c r="B121" s="533" t="s">
        <v>191</v>
      </c>
      <c r="C121" s="534" t="s">
        <v>167</v>
      </c>
      <c r="D121" s="534" t="s">
        <v>167</v>
      </c>
      <c r="E121" s="534" t="s">
        <v>167</v>
      </c>
      <c r="F121" s="534" t="s">
        <v>167</v>
      </c>
      <c r="G121" s="534" t="s">
        <v>167</v>
      </c>
      <c r="H121" s="534" t="s">
        <v>167</v>
      </c>
      <c r="I121" s="534" t="s">
        <v>167</v>
      </c>
      <c r="J121" s="534" t="s">
        <v>167</v>
      </c>
      <c r="K121" s="534" t="s">
        <v>167</v>
      </c>
      <c r="L121" s="534" t="s">
        <v>167</v>
      </c>
      <c r="M121" s="534" t="s">
        <v>167</v>
      </c>
      <c r="N121" s="534" t="s">
        <v>167</v>
      </c>
      <c r="O121" s="534" t="s">
        <v>167</v>
      </c>
      <c r="P121" s="534" t="s">
        <v>167</v>
      </c>
      <c r="Q121" s="534" t="s">
        <v>167</v>
      </c>
      <c r="R121" s="534" t="s">
        <v>167</v>
      </c>
      <c r="S121" s="534" t="s">
        <v>167</v>
      </c>
      <c r="T121" s="534" t="s">
        <v>167</v>
      </c>
      <c r="U121" s="534" t="s">
        <v>167</v>
      </c>
      <c r="V121" s="534" t="s">
        <v>167</v>
      </c>
      <c r="W121" s="534" t="s">
        <v>167</v>
      </c>
      <c r="X121" s="534">
        <v>403.35970274481605</v>
      </c>
      <c r="Y121" s="534">
        <v>408.95216150976495</v>
      </c>
      <c r="Z121" s="534">
        <v>399.45673028375239</v>
      </c>
      <c r="AA121" s="534">
        <v>379.03494623655962</v>
      </c>
      <c r="AB121" s="534">
        <v>373.509496284063</v>
      </c>
      <c r="AC121" s="534">
        <v>380.48195991091347</v>
      </c>
      <c r="AD121" s="534">
        <v>367.55382681125275</v>
      </c>
      <c r="AE121" s="534">
        <v>373.10916732931958</v>
      </c>
      <c r="AF121" s="534">
        <v>376.50774093319757</v>
      </c>
      <c r="AG121" s="539">
        <v>373.48056537102497</v>
      </c>
      <c r="AH121" s="534">
        <v>361.8663368887523</v>
      </c>
      <c r="AI121" s="534">
        <v>375.57907204284504</v>
      </c>
      <c r="AJ121" s="534">
        <v>372.87934668071745</v>
      </c>
      <c r="AK121" s="3"/>
      <c r="AL121" s="3"/>
    </row>
    <row r="122" spans="1:38" s="28" customFormat="1" x14ac:dyDescent="0.4">
      <c r="A122" s="1394" t="s">
        <v>564</v>
      </c>
      <c r="B122" s="533" t="s">
        <v>191</v>
      </c>
      <c r="C122" s="534" t="s">
        <v>167</v>
      </c>
      <c r="D122" s="534" t="s">
        <v>167</v>
      </c>
      <c r="E122" s="534" t="s">
        <v>167</v>
      </c>
      <c r="F122" s="534" t="s">
        <v>167</v>
      </c>
      <c r="G122" s="534" t="s">
        <v>167</v>
      </c>
      <c r="H122" s="534" t="s">
        <v>167</v>
      </c>
      <c r="I122" s="534" t="s">
        <v>167</v>
      </c>
      <c r="J122" s="534" t="s">
        <v>167</v>
      </c>
      <c r="K122" s="534" t="s">
        <v>167</v>
      </c>
      <c r="L122" s="534" t="s">
        <v>167</v>
      </c>
      <c r="M122" s="534" t="s">
        <v>167</v>
      </c>
      <c r="N122" s="534" t="s">
        <v>167</v>
      </c>
      <c r="O122" s="534" t="s">
        <v>167</v>
      </c>
      <c r="P122" s="534" t="s">
        <v>167</v>
      </c>
      <c r="Q122" s="534" t="s">
        <v>167</v>
      </c>
      <c r="R122" s="534" t="s">
        <v>167</v>
      </c>
      <c r="S122" s="534" t="s">
        <v>167</v>
      </c>
      <c r="T122" s="534" t="s">
        <v>167</v>
      </c>
      <c r="U122" s="534" t="s">
        <v>167</v>
      </c>
      <c r="V122" s="534" t="s">
        <v>167</v>
      </c>
      <c r="W122" s="534" t="s">
        <v>167</v>
      </c>
      <c r="X122" s="534">
        <v>261.00931677018633</v>
      </c>
      <c r="Y122" s="534">
        <v>247.17045454545428</v>
      </c>
      <c r="Z122" s="534">
        <v>236.7211201866977</v>
      </c>
      <c r="AA122" s="534">
        <v>215.52875695732823</v>
      </c>
      <c r="AB122" s="534">
        <v>221.84898354307842</v>
      </c>
      <c r="AC122" s="534">
        <v>227.24284199363714</v>
      </c>
      <c r="AD122" s="534">
        <v>218.61510791366899</v>
      </c>
      <c r="AE122" s="534">
        <v>217.55443886097135</v>
      </c>
      <c r="AF122" s="534">
        <v>220.55889939810822</v>
      </c>
      <c r="AG122" s="534">
        <v>225.30201342281853</v>
      </c>
      <c r="AH122" s="534">
        <v>221.22377622377613</v>
      </c>
      <c r="AI122" s="534">
        <v>221.64467005076136</v>
      </c>
      <c r="AJ122" s="534">
        <v>217.21025641025625</v>
      </c>
      <c r="AK122" s="3"/>
      <c r="AL122" s="3"/>
    </row>
    <row r="123" spans="1:38" s="28" customFormat="1" x14ac:dyDescent="0.4">
      <c r="A123" s="1188" t="s">
        <v>1063</v>
      </c>
      <c r="B123" s="1194"/>
      <c r="C123" s="1191"/>
      <c r="D123" s="1191"/>
      <c r="E123" s="1191"/>
      <c r="F123" s="1191"/>
      <c r="G123" s="1191"/>
      <c r="H123" s="1191"/>
      <c r="I123" s="1191"/>
      <c r="J123" s="1191"/>
      <c r="K123" s="1191"/>
      <c r="L123" s="1191"/>
      <c r="M123" s="1191"/>
      <c r="N123" s="1191"/>
      <c r="O123" s="1191"/>
      <c r="P123" s="1191"/>
      <c r="Q123" s="1191"/>
      <c r="R123" s="1191"/>
      <c r="S123" s="1191"/>
      <c r="T123" s="1191"/>
      <c r="U123" s="1191"/>
      <c r="V123" s="1191"/>
      <c r="W123" s="1191"/>
      <c r="X123" s="1191"/>
      <c r="Y123" s="1191"/>
      <c r="Z123" s="1191"/>
      <c r="AA123" s="1191"/>
      <c r="AB123" s="1191"/>
      <c r="AC123" s="1191"/>
      <c r="AD123" s="1191"/>
      <c r="AE123" s="1191"/>
      <c r="AF123" s="1191"/>
      <c r="AG123" s="1191"/>
      <c r="AH123" s="1191"/>
      <c r="AI123" s="1191"/>
      <c r="AJ123" s="1191"/>
      <c r="AK123" s="3"/>
      <c r="AL123" s="3"/>
    </row>
    <row r="124" spans="1:38" s="28" customFormat="1" x14ac:dyDescent="0.4">
      <c r="A124" s="581"/>
      <c r="B124" s="581"/>
      <c r="C124" s="89"/>
      <c r="D124" s="89"/>
      <c r="E124" s="89"/>
      <c r="F124" s="89"/>
      <c r="G124" s="89"/>
      <c r="H124" s="89"/>
      <c r="I124" s="89"/>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3"/>
      <c r="AL124" s="3"/>
    </row>
    <row r="125" spans="1:38" s="28" customFormat="1" ht="17" x14ac:dyDescent="0.45">
      <c r="A125" s="88" t="s">
        <v>1494</v>
      </c>
      <c r="B125" s="581"/>
      <c r="C125" s="89"/>
      <c r="D125" s="89"/>
      <c r="E125" s="89"/>
      <c r="F125" s="89"/>
      <c r="G125" s="89"/>
      <c r="H125" s="89"/>
      <c r="I125" s="89"/>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3"/>
      <c r="AL125" s="3"/>
    </row>
    <row r="126" spans="1:38" s="28" customFormat="1" ht="16" customHeight="1" x14ac:dyDescent="0.4">
      <c r="A126" s="1218" t="s">
        <v>805</v>
      </c>
      <c r="B126" s="1202" t="s">
        <v>136</v>
      </c>
      <c r="C126" s="1128" t="s">
        <v>391</v>
      </c>
      <c r="D126" s="1128" t="s">
        <v>392</v>
      </c>
      <c r="E126" s="1128" t="s">
        <v>393</v>
      </c>
      <c r="F126" s="1128" t="s">
        <v>394</v>
      </c>
      <c r="G126" s="1128" t="s">
        <v>395</v>
      </c>
      <c r="H126" s="1128" t="s">
        <v>396</v>
      </c>
      <c r="I126" s="1128" t="s">
        <v>397</v>
      </c>
      <c r="J126" s="1128" t="s">
        <v>398</v>
      </c>
      <c r="K126" s="1128" t="s">
        <v>399</v>
      </c>
      <c r="L126" s="1128" t="s">
        <v>400</v>
      </c>
      <c r="M126" s="1128" t="s">
        <v>401</v>
      </c>
      <c r="N126" s="1128" t="s">
        <v>402</v>
      </c>
      <c r="O126" s="1128" t="s">
        <v>403</v>
      </c>
      <c r="P126" s="1128" t="s">
        <v>404</v>
      </c>
      <c r="Q126" s="1128" t="s">
        <v>405</v>
      </c>
      <c r="R126" s="1128" t="s">
        <v>406</v>
      </c>
      <c r="S126" s="1128" t="s">
        <v>407</v>
      </c>
      <c r="T126" s="1128" t="s">
        <v>408</v>
      </c>
      <c r="U126" s="1128" t="s">
        <v>409</v>
      </c>
      <c r="V126" s="1128" t="s">
        <v>410</v>
      </c>
      <c r="W126" s="1128" t="s">
        <v>411</v>
      </c>
      <c r="X126" s="1128" t="s">
        <v>412</v>
      </c>
      <c r="Y126" s="1128" t="s">
        <v>413</v>
      </c>
      <c r="Z126" s="1128" t="s">
        <v>414</v>
      </c>
      <c r="AA126" s="1128" t="s">
        <v>415</v>
      </c>
      <c r="AB126" s="1128" t="s">
        <v>416</v>
      </c>
      <c r="AC126" s="1128" t="s">
        <v>417</v>
      </c>
      <c r="AD126" s="1128" t="s">
        <v>418</v>
      </c>
      <c r="AE126" s="1128" t="s">
        <v>419</v>
      </c>
      <c r="AF126" s="1128" t="s">
        <v>420</v>
      </c>
      <c r="AG126" s="1129" t="s">
        <v>421</v>
      </c>
      <c r="AH126" s="1128" t="s">
        <v>422</v>
      </c>
      <c r="AI126" s="1129" t="s">
        <v>423</v>
      </c>
      <c r="AJ126" s="1128" t="s">
        <v>424</v>
      </c>
      <c r="AK126" s="3"/>
      <c r="AL126" s="3"/>
    </row>
    <row r="127" spans="1:38" s="28" customFormat="1" x14ac:dyDescent="0.4">
      <c r="A127" s="533" t="s">
        <v>183</v>
      </c>
      <c r="B127" s="533" t="s">
        <v>192</v>
      </c>
      <c r="C127" s="534">
        <v>6038.8235294117649</v>
      </c>
      <c r="D127" s="534">
        <v>6038.8235294117649</v>
      </c>
      <c r="E127" s="534">
        <v>6038.823529411764</v>
      </c>
      <c r="F127" s="534">
        <v>6038.823529411764</v>
      </c>
      <c r="G127" s="534">
        <v>6038.823529411764</v>
      </c>
      <c r="H127" s="534">
        <v>6038.823529411763</v>
      </c>
      <c r="I127" s="534">
        <v>6038.8235294117649</v>
      </c>
      <c r="J127" s="534">
        <v>6038.823529411764</v>
      </c>
      <c r="K127" s="534">
        <v>6038.823529411764</v>
      </c>
      <c r="L127" s="534">
        <v>6038.823529411764</v>
      </c>
      <c r="M127" s="534">
        <v>6038.8235294117649</v>
      </c>
      <c r="N127" s="534">
        <v>6038.823529411764</v>
      </c>
      <c r="O127" s="534">
        <v>6038.823529411763</v>
      </c>
      <c r="P127" s="534">
        <v>6038.8235294117649</v>
      </c>
      <c r="Q127" s="534">
        <v>6038.8235294117649</v>
      </c>
      <c r="R127" s="534">
        <v>6038.8235294117649</v>
      </c>
      <c r="S127" s="534">
        <v>6038.8235294117649</v>
      </c>
      <c r="T127" s="534">
        <v>6038.8235294117649</v>
      </c>
      <c r="U127" s="534">
        <v>6038.8235294117649</v>
      </c>
      <c r="V127" s="534">
        <v>6038.8235294117649</v>
      </c>
      <c r="W127" s="534">
        <v>6038.823529411764</v>
      </c>
      <c r="X127" s="534">
        <v>6038.823529411764</v>
      </c>
      <c r="Y127" s="534">
        <v>6038.823529411764</v>
      </c>
      <c r="Z127" s="534">
        <v>6038.823529411764</v>
      </c>
      <c r="AA127" s="534">
        <v>6038.823529411764</v>
      </c>
      <c r="AB127" s="534">
        <v>6038.823529411764</v>
      </c>
      <c r="AC127" s="534">
        <v>6038.8235294117649</v>
      </c>
      <c r="AD127" s="534">
        <v>6038.823529411764</v>
      </c>
      <c r="AE127" s="534">
        <v>5564.666666666667</v>
      </c>
      <c r="AF127" s="534">
        <v>9012.6666666666679</v>
      </c>
      <c r="AG127" s="534">
        <v>16636</v>
      </c>
      <c r="AH127" s="534">
        <v>27370</v>
      </c>
      <c r="AI127" s="534">
        <v>33418</v>
      </c>
      <c r="AJ127" s="534">
        <v>31020</v>
      </c>
      <c r="AK127" s="3"/>
      <c r="AL127" s="3"/>
    </row>
    <row r="128" spans="1:38" s="28" customFormat="1" x14ac:dyDescent="0.4">
      <c r="A128" s="533" t="s">
        <v>185</v>
      </c>
      <c r="B128" s="533" t="s">
        <v>192</v>
      </c>
      <c r="C128" s="534">
        <v>83954.340000000011</v>
      </c>
      <c r="D128" s="534">
        <v>83954.34</v>
      </c>
      <c r="E128" s="534">
        <v>83954.339999999982</v>
      </c>
      <c r="F128" s="534">
        <v>83954.34</v>
      </c>
      <c r="G128" s="534">
        <v>83954.339999999982</v>
      </c>
      <c r="H128" s="534">
        <v>83954.34</v>
      </c>
      <c r="I128" s="534">
        <v>83954.34</v>
      </c>
      <c r="J128" s="534">
        <v>83954.34</v>
      </c>
      <c r="K128" s="534">
        <v>83954.34</v>
      </c>
      <c r="L128" s="534">
        <v>83954.34</v>
      </c>
      <c r="M128" s="534">
        <v>83954.339999999982</v>
      </c>
      <c r="N128" s="534">
        <v>83954.34</v>
      </c>
      <c r="O128" s="534">
        <v>83954.34</v>
      </c>
      <c r="P128" s="534">
        <v>83954.34</v>
      </c>
      <c r="Q128" s="534">
        <v>83954.34</v>
      </c>
      <c r="R128" s="534">
        <v>83954.34</v>
      </c>
      <c r="S128" s="534">
        <v>83954.34</v>
      </c>
      <c r="T128" s="534">
        <v>83954.34</v>
      </c>
      <c r="U128" s="534">
        <v>83954.34</v>
      </c>
      <c r="V128" s="534">
        <v>83954.34</v>
      </c>
      <c r="W128" s="534">
        <v>83954.34</v>
      </c>
      <c r="X128" s="534">
        <v>83954.34</v>
      </c>
      <c r="Y128" s="534">
        <v>83954.339999999982</v>
      </c>
      <c r="Z128" s="534">
        <v>83954.339999999982</v>
      </c>
      <c r="AA128" s="534">
        <v>83954.339999999982</v>
      </c>
      <c r="AB128" s="534">
        <v>83954.339999999982</v>
      </c>
      <c r="AC128" s="534">
        <v>83954.34</v>
      </c>
      <c r="AD128" s="534">
        <v>83954.34</v>
      </c>
      <c r="AE128" s="534">
        <v>83954.34</v>
      </c>
      <c r="AF128" s="534">
        <v>83954.339999999982</v>
      </c>
      <c r="AG128" s="534">
        <v>83954.34</v>
      </c>
      <c r="AH128" s="534">
        <v>83954.34</v>
      </c>
      <c r="AI128" s="534">
        <v>83954.34</v>
      </c>
      <c r="AJ128" s="534">
        <v>83954.340000000011</v>
      </c>
      <c r="AK128" s="3"/>
      <c r="AL128" s="3"/>
    </row>
    <row r="129" spans="1:38" s="28" customFormat="1" x14ac:dyDescent="0.4">
      <c r="A129" s="1193" t="s">
        <v>1063</v>
      </c>
      <c r="B129" s="1194"/>
      <c r="C129" s="1191"/>
      <c r="D129" s="1191"/>
      <c r="E129" s="1191"/>
      <c r="F129" s="1191"/>
      <c r="G129" s="1191"/>
      <c r="H129" s="1191"/>
      <c r="I129" s="1191"/>
      <c r="J129" s="1191"/>
      <c r="K129" s="1191"/>
      <c r="L129" s="1191"/>
      <c r="M129" s="1191"/>
      <c r="N129" s="1191"/>
      <c r="O129" s="1191"/>
      <c r="P129" s="1191"/>
      <c r="Q129" s="1191"/>
      <c r="R129" s="1191"/>
      <c r="S129" s="1191"/>
      <c r="T129" s="1191"/>
      <c r="U129" s="1191"/>
      <c r="V129" s="1191"/>
      <c r="W129" s="1191"/>
      <c r="X129" s="1191"/>
      <c r="Y129" s="1191"/>
      <c r="Z129" s="1191"/>
      <c r="AA129" s="1191"/>
      <c r="AB129" s="1191"/>
      <c r="AC129" s="1191"/>
      <c r="AD129" s="1191"/>
      <c r="AE129" s="1191"/>
      <c r="AF129" s="1191"/>
      <c r="AG129" s="1191"/>
      <c r="AH129" s="1191"/>
      <c r="AI129" s="1191"/>
      <c r="AJ129" s="1191"/>
      <c r="AK129" s="3"/>
      <c r="AL129" s="3"/>
    </row>
    <row r="130" spans="1:38" s="28" customFormat="1" x14ac:dyDescent="0.4">
      <c r="A130" s="581"/>
      <c r="B130" s="581"/>
      <c r="C130" s="89"/>
      <c r="D130" s="89"/>
      <c r="E130" s="89"/>
      <c r="F130" s="89"/>
      <c r="G130" s="89"/>
      <c r="H130" s="89"/>
      <c r="I130" s="89"/>
      <c r="J130" s="89"/>
      <c r="K130" s="89"/>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3"/>
      <c r="AL130" s="3"/>
    </row>
    <row r="131" spans="1:38" s="28" customFormat="1" ht="17" x14ac:dyDescent="0.45">
      <c r="A131" s="88" t="s">
        <v>1495</v>
      </c>
      <c r="B131" s="581"/>
      <c r="C131" s="89"/>
      <c r="D131" s="89"/>
      <c r="E131" s="89"/>
      <c r="F131" s="89"/>
      <c r="G131" s="89"/>
      <c r="H131" s="89"/>
      <c r="I131" s="89"/>
      <c r="J131" s="89"/>
      <c r="K131" s="89"/>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3"/>
      <c r="AL131" s="3"/>
    </row>
    <row r="132" spans="1:38" s="28" customFormat="1" ht="16" customHeight="1" x14ac:dyDescent="0.4">
      <c r="A132" s="1218" t="s">
        <v>806</v>
      </c>
      <c r="B132" s="1202" t="s">
        <v>136</v>
      </c>
      <c r="C132" s="1128" t="s">
        <v>391</v>
      </c>
      <c r="D132" s="1128" t="s">
        <v>392</v>
      </c>
      <c r="E132" s="1128" t="s">
        <v>393</v>
      </c>
      <c r="F132" s="1128" t="s">
        <v>394</v>
      </c>
      <c r="G132" s="1128" t="s">
        <v>395</v>
      </c>
      <c r="H132" s="1128" t="s">
        <v>396</v>
      </c>
      <c r="I132" s="1128" t="s">
        <v>397</v>
      </c>
      <c r="J132" s="1128" t="s">
        <v>398</v>
      </c>
      <c r="K132" s="1128" t="s">
        <v>399</v>
      </c>
      <c r="L132" s="1128" t="s">
        <v>400</v>
      </c>
      <c r="M132" s="1128" t="s">
        <v>401</v>
      </c>
      <c r="N132" s="1128" t="s">
        <v>402</v>
      </c>
      <c r="O132" s="1128" t="s">
        <v>403</v>
      </c>
      <c r="P132" s="1128" t="s">
        <v>404</v>
      </c>
      <c r="Q132" s="1128" t="s">
        <v>405</v>
      </c>
      <c r="R132" s="1128" t="s">
        <v>406</v>
      </c>
      <c r="S132" s="1128" t="s">
        <v>407</v>
      </c>
      <c r="T132" s="1128" t="s">
        <v>408</v>
      </c>
      <c r="U132" s="1128" t="s">
        <v>409</v>
      </c>
      <c r="V132" s="1128" t="s">
        <v>410</v>
      </c>
      <c r="W132" s="1128" t="s">
        <v>411</v>
      </c>
      <c r="X132" s="1128" t="s">
        <v>412</v>
      </c>
      <c r="Y132" s="1128" t="s">
        <v>413</v>
      </c>
      <c r="Z132" s="1128" t="s">
        <v>414</v>
      </c>
      <c r="AA132" s="1128" t="s">
        <v>415</v>
      </c>
      <c r="AB132" s="1128" t="s">
        <v>416</v>
      </c>
      <c r="AC132" s="1128" t="s">
        <v>417</v>
      </c>
      <c r="AD132" s="1128" t="s">
        <v>418</v>
      </c>
      <c r="AE132" s="1128" t="s">
        <v>419</v>
      </c>
      <c r="AF132" s="1128" t="s">
        <v>420</v>
      </c>
      <c r="AG132" s="1129" t="s">
        <v>421</v>
      </c>
      <c r="AH132" s="1128" t="s">
        <v>422</v>
      </c>
      <c r="AI132" s="1129" t="s">
        <v>423</v>
      </c>
      <c r="AJ132" s="1128" t="s">
        <v>424</v>
      </c>
      <c r="AK132" s="3"/>
      <c r="AL132" s="3"/>
    </row>
    <row r="133" spans="1:38" s="28" customFormat="1" x14ac:dyDescent="0.4">
      <c r="A133" s="533" t="s">
        <v>187</v>
      </c>
      <c r="B133" s="533" t="s">
        <v>193</v>
      </c>
      <c r="C133" s="534">
        <v>57731.333333333328</v>
      </c>
      <c r="D133" s="534">
        <v>66609.23076923078</v>
      </c>
      <c r="E133" s="534">
        <v>66609.23076923078</v>
      </c>
      <c r="F133" s="534">
        <v>66609.23076923078</v>
      </c>
      <c r="G133" s="534">
        <v>66609.23076923078</v>
      </c>
      <c r="H133" s="534">
        <v>66609.23076923078</v>
      </c>
      <c r="I133" s="534">
        <v>66609.23076923078</v>
      </c>
      <c r="J133" s="534">
        <v>66609.23076923078</v>
      </c>
      <c r="K133" s="534">
        <v>66609.23076923078</v>
      </c>
      <c r="L133" s="534">
        <v>66609.23076923078</v>
      </c>
      <c r="M133" s="534">
        <v>66609.23076923078</v>
      </c>
      <c r="N133" s="534">
        <v>66609.230769230766</v>
      </c>
      <c r="O133" s="534">
        <v>66609.230769230766</v>
      </c>
      <c r="P133" s="534">
        <v>66609.23076923078</v>
      </c>
      <c r="Q133" s="534">
        <v>66609.23076923078</v>
      </c>
      <c r="R133" s="534">
        <v>66609.23076923078</v>
      </c>
      <c r="S133" s="534">
        <v>66609.23076923078</v>
      </c>
      <c r="T133" s="534">
        <v>66609.23076923078</v>
      </c>
      <c r="U133" s="534">
        <v>66609.23076923078</v>
      </c>
      <c r="V133" s="534">
        <v>66609.23076923078</v>
      </c>
      <c r="W133" s="534">
        <v>66609.23076923078</v>
      </c>
      <c r="X133" s="534">
        <v>66609.23076923078</v>
      </c>
      <c r="Y133" s="534">
        <v>66609.23076923078</v>
      </c>
      <c r="Z133" s="534">
        <v>66609.23076923078</v>
      </c>
      <c r="AA133" s="534">
        <v>66609.23076923078</v>
      </c>
      <c r="AB133" s="534">
        <v>66609.230769230766</v>
      </c>
      <c r="AC133" s="534">
        <v>66609.23076923078</v>
      </c>
      <c r="AD133" s="534">
        <v>66609.23076923078</v>
      </c>
      <c r="AE133" s="534">
        <v>32488.333333333339</v>
      </c>
      <c r="AF133" s="534">
        <v>30825.833333333328</v>
      </c>
      <c r="AG133" s="534">
        <v>19260.909090909088</v>
      </c>
      <c r="AH133" s="534">
        <v>11822.222222222221</v>
      </c>
      <c r="AI133" s="534">
        <v>21915.714285714294</v>
      </c>
      <c r="AJ133" s="534">
        <v>24281.428571428576</v>
      </c>
      <c r="AK133" s="3"/>
      <c r="AL133" s="3"/>
    </row>
    <row r="134" spans="1:38" s="28" customFormat="1" x14ac:dyDescent="0.4">
      <c r="A134" s="535" t="s">
        <v>189</v>
      </c>
      <c r="B134" s="533" t="s">
        <v>193</v>
      </c>
      <c r="C134" s="1219">
        <v>1229556</v>
      </c>
      <c r="D134" s="1219">
        <v>1418669.9999999998</v>
      </c>
      <c r="E134" s="1219">
        <v>1418669.9999999998</v>
      </c>
      <c r="F134" s="1219">
        <v>1418669.9999999998</v>
      </c>
      <c r="G134" s="1219">
        <v>1418669.9999999998</v>
      </c>
      <c r="H134" s="1219">
        <v>1418669.9999999998</v>
      </c>
      <c r="I134" s="1219">
        <v>1418669.9999999998</v>
      </c>
      <c r="J134" s="1219">
        <v>1418669.9999999998</v>
      </c>
      <c r="K134" s="1219">
        <v>1418669.9999999998</v>
      </c>
      <c r="L134" s="1219">
        <v>1418669.9999999998</v>
      </c>
      <c r="M134" s="1219">
        <v>1418669.9999999998</v>
      </c>
      <c r="N134" s="1219">
        <v>1418669.9999999998</v>
      </c>
      <c r="O134" s="1219">
        <v>1418669.9999999998</v>
      </c>
      <c r="P134" s="1219">
        <v>1418669.9999999998</v>
      </c>
      <c r="Q134" s="1219">
        <v>1418669.9999999998</v>
      </c>
      <c r="R134" s="1219">
        <v>1418669.9999999998</v>
      </c>
      <c r="S134" s="1219">
        <v>1418669.9999999998</v>
      </c>
      <c r="T134" s="1219">
        <v>1418669.9999999998</v>
      </c>
      <c r="U134" s="1219">
        <v>1418669.9999999998</v>
      </c>
      <c r="V134" s="1219">
        <v>1418669.9999999998</v>
      </c>
      <c r="W134" s="1219">
        <v>1418669.9999999998</v>
      </c>
      <c r="X134" s="1219">
        <v>1418670</v>
      </c>
      <c r="Y134" s="1219">
        <v>1418669.9999999998</v>
      </c>
      <c r="Z134" s="1219">
        <v>1418669.9999999998</v>
      </c>
      <c r="AA134" s="1219">
        <v>1418669.9999999998</v>
      </c>
      <c r="AB134" s="1219">
        <v>1418669.9999999998</v>
      </c>
      <c r="AC134" s="1219">
        <v>1418669.9999999998</v>
      </c>
      <c r="AD134" s="1219">
        <v>1418669.9999999998</v>
      </c>
      <c r="AE134" s="1219">
        <v>1533813.3333333333</v>
      </c>
      <c r="AF134" s="1219">
        <v>58968.333333333336</v>
      </c>
      <c r="AG134" s="534">
        <v>28554.545454545452</v>
      </c>
      <c r="AH134" s="534">
        <v>10.333333333333334</v>
      </c>
      <c r="AI134" s="534">
        <v>13.571428571428571</v>
      </c>
      <c r="AJ134" s="534">
        <v>12.571428571428571</v>
      </c>
      <c r="AK134" s="3"/>
      <c r="AL134" s="3"/>
    </row>
    <row r="135" spans="1:38" s="28" customFormat="1" x14ac:dyDescent="0.4">
      <c r="A135" s="1189" t="s">
        <v>1063</v>
      </c>
      <c r="B135" s="1194"/>
      <c r="C135" s="1191"/>
      <c r="D135" s="1191"/>
      <c r="E135" s="1191"/>
      <c r="F135" s="1191"/>
      <c r="G135" s="1191"/>
      <c r="H135" s="1191"/>
      <c r="I135" s="1191"/>
      <c r="J135" s="1191"/>
      <c r="K135" s="1191"/>
      <c r="L135" s="1191"/>
      <c r="M135" s="1191"/>
      <c r="N135" s="1191"/>
      <c r="O135" s="1191"/>
      <c r="P135" s="1191"/>
      <c r="Q135" s="1191"/>
      <c r="R135" s="1191"/>
      <c r="S135" s="1191"/>
      <c r="T135" s="1191"/>
      <c r="U135" s="1191"/>
      <c r="V135" s="1191"/>
      <c r="W135" s="1191"/>
      <c r="X135" s="1191"/>
      <c r="Y135" s="1191"/>
      <c r="Z135" s="1191"/>
      <c r="AA135" s="1191"/>
      <c r="AB135" s="1191"/>
      <c r="AC135" s="1191"/>
      <c r="AD135" s="1191"/>
      <c r="AE135" s="1191"/>
      <c r="AF135" s="1191"/>
      <c r="AG135" s="1191"/>
      <c r="AH135" s="1191"/>
      <c r="AI135" s="1191"/>
      <c r="AJ135" s="1191"/>
      <c r="AK135" s="3"/>
      <c r="AL135" s="3"/>
    </row>
    <row r="136" spans="1:38" s="28" customFormat="1" x14ac:dyDescent="0.4">
      <c r="A136" s="581"/>
      <c r="B136" s="581"/>
      <c r="C136" s="567"/>
      <c r="D136" s="567"/>
      <c r="E136" s="567"/>
      <c r="F136" s="567"/>
      <c r="G136" s="567"/>
      <c r="H136" s="567"/>
      <c r="I136" s="567"/>
      <c r="J136" s="567"/>
      <c r="K136" s="567"/>
      <c r="L136" s="567"/>
      <c r="M136" s="567"/>
      <c r="N136" s="567"/>
      <c r="O136" s="567"/>
      <c r="P136" s="567"/>
      <c r="Q136" s="567"/>
      <c r="R136" s="567"/>
      <c r="S136" s="567"/>
      <c r="T136" s="567"/>
      <c r="U136" s="567"/>
      <c r="V136" s="567"/>
      <c r="W136" s="567"/>
      <c r="X136" s="567"/>
      <c r="Y136" s="567"/>
      <c r="Z136" s="567"/>
      <c r="AA136" s="567"/>
      <c r="AB136" s="567"/>
      <c r="AC136" s="567"/>
      <c r="AD136" s="567"/>
      <c r="AE136" s="567"/>
      <c r="AF136" s="567"/>
      <c r="AG136" s="89"/>
      <c r="AH136" s="89"/>
      <c r="AI136" s="89"/>
      <c r="AJ136" s="89"/>
      <c r="AK136" s="3"/>
      <c r="AL136" s="3"/>
    </row>
    <row r="137" spans="1:38" s="28" customFormat="1" ht="17" x14ac:dyDescent="0.45">
      <c r="A137" s="88" t="s">
        <v>1496</v>
      </c>
      <c r="B137" s="1217" t="s">
        <v>1497</v>
      </c>
      <c r="C137" s="1217"/>
      <c r="D137" s="1217"/>
      <c r="E137" s="1217"/>
      <c r="F137" s="1217"/>
      <c r="G137" s="89"/>
      <c r="H137" s="89"/>
      <c r="I137" s="89"/>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J137" s="12"/>
      <c r="AK137" s="3"/>
      <c r="AL137" s="3"/>
    </row>
    <row r="138" spans="1:38" s="28" customFormat="1" ht="16" customHeight="1" x14ac:dyDescent="0.4">
      <c r="A138" s="1218" t="s">
        <v>804</v>
      </c>
      <c r="B138" s="1140" t="s">
        <v>136</v>
      </c>
      <c r="C138" s="1159" t="s">
        <v>391</v>
      </c>
      <c r="D138" s="1159" t="s">
        <v>392</v>
      </c>
      <c r="E138" s="1159" t="s">
        <v>393</v>
      </c>
      <c r="F138" s="1159" t="s">
        <v>394</v>
      </c>
      <c r="G138" s="1159" t="s">
        <v>395</v>
      </c>
      <c r="H138" s="1159" t="s">
        <v>396</v>
      </c>
      <c r="I138" s="1159" t="s">
        <v>397</v>
      </c>
      <c r="J138" s="1159" t="s">
        <v>398</v>
      </c>
      <c r="K138" s="1159" t="s">
        <v>399</v>
      </c>
      <c r="L138" s="1159" t="s">
        <v>400</v>
      </c>
      <c r="M138" s="1159" t="s">
        <v>401</v>
      </c>
      <c r="N138" s="1159" t="s">
        <v>402</v>
      </c>
      <c r="O138" s="1159" t="s">
        <v>403</v>
      </c>
      <c r="P138" s="1159" t="s">
        <v>404</v>
      </c>
      <c r="Q138" s="1159" t="s">
        <v>405</v>
      </c>
      <c r="R138" s="1159" t="s">
        <v>406</v>
      </c>
      <c r="S138" s="1159" t="s">
        <v>407</v>
      </c>
      <c r="T138" s="1159" t="s">
        <v>408</v>
      </c>
      <c r="U138" s="1159" t="s">
        <v>409</v>
      </c>
      <c r="V138" s="1159" t="s">
        <v>410</v>
      </c>
      <c r="W138" s="1159" t="s">
        <v>411</v>
      </c>
      <c r="X138" s="1159" t="s">
        <v>412</v>
      </c>
      <c r="Y138" s="1159" t="s">
        <v>413</v>
      </c>
      <c r="Z138" s="1159" t="s">
        <v>414</v>
      </c>
      <c r="AA138" s="1159" t="s">
        <v>415</v>
      </c>
      <c r="AB138" s="1159" t="s">
        <v>416</v>
      </c>
      <c r="AC138" s="1159" t="s">
        <v>417</v>
      </c>
      <c r="AD138" s="1159" t="s">
        <v>418</v>
      </c>
      <c r="AE138" s="1159" t="s">
        <v>419</v>
      </c>
      <c r="AF138" s="1159" t="s">
        <v>420</v>
      </c>
      <c r="AG138" s="1159" t="s">
        <v>421</v>
      </c>
      <c r="AH138" s="1159" t="s">
        <v>422</v>
      </c>
      <c r="AI138" s="1159" t="s">
        <v>423</v>
      </c>
      <c r="AJ138" s="1159" t="s">
        <v>424</v>
      </c>
      <c r="AK138" s="3"/>
      <c r="AL138" s="3"/>
    </row>
    <row r="139" spans="1:38" s="28" customFormat="1" x14ac:dyDescent="0.4">
      <c r="A139" s="644" t="s">
        <v>169</v>
      </c>
      <c r="B139" s="533" t="s">
        <v>1279</v>
      </c>
      <c r="C139" s="553">
        <f t="shared" ref="C139:AJ139" si="3">C103*$B$370</f>
        <v>1.0924027882038665E-2</v>
      </c>
      <c r="D139" s="553">
        <f t="shared" si="3"/>
        <v>1.0924027882038665E-2</v>
      </c>
      <c r="E139" s="553">
        <f t="shared" si="3"/>
        <v>1.0924027882038665E-2</v>
      </c>
      <c r="F139" s="553">
        <f t="shared" si="3"/>
        <v>1.0924027882038665E-2</v>
      </c>
      <c r="G139" s="553">
        <f t="shared" si="3"/>
        <v>1.0924027882038665E-2</v>
      </c>
      <c r="H139" s="553">
        <f t="shared" si="3"/>
        <v>1.0924027882038665E-2</v>
      </c>
      <c r="I139" s="553">
        <f t="shared" si="3"/>
        <v>1.0924027882038665E-2</v>
      </c>
      <c r="J139" s="553">
        <f t="shared" si="3"/>
        <v>1.0924027882038665E-2</v>
      </c>
      <c r="K139" s="553">
        <f t="shared" si="3"/>
        <v>1.0924027882038665E-2</v>
      </c>
      <c r="L139" s="553">
        <f t="shared" si="3"/>
        <v>1.0924027882038667E-2</v>
      </c>
      <c r="M139" s="553">
        <f t="shared" si="3"/>
        <v>1.0924027882038665E-2</v>
      </c>
      <c r="N139" s="553">
        <f t="shared" si="3"/>
        <v>1.0924027882038667E-2</v>
      </c>
      <c r="O139" s="553">
        <f t="shared" si="3"/>
        <v>1.0924027882038665E-2</v>
      </c>
      <c r="P139" s="553">
        <f t="shared" si="3"/>
        <v>1.0924027882038665E-2</v>
      </c>
      <c r="Q139" s="553">
        <f t="shared" si="3"/>
        <v>1.0924027882038665E-2</v>
      </c>
      <c r="R139" s="553">
        <f t="shared" si="3"/>
        <v>1.0924027882038664E-2</v>
      </c>
      <c r="S139" s="553">
        <f t="shared" si="3"/>
        <v>1.0924027882038667E-2</v>
      </c>
      <c r="T139" s="553">
        <f t="shared" si="3"/>
        <v>1.0924027882038667E-2</v>
      </c>
      <c r="U139" s="553">
        <f t="shared" si="3"/>
        <v>1.0924027882038665E-2</v>
      </c>
      <c r="V139" s="553">
        <f t="shared" si="3"/>
        <v>1.0924027882038667E-2</v>
      </c>
      <c r="W139" s="553">
        <f t="shared" si="3"/>
        <v>1.0924027882038665E-2</v>
      </c>
      <c r="X139" s="553">
        <f t="shared" si="3"/>
        <v>1.0924027882038667E-2</v>
      </c>
      <c r="Y139" s="553">
        <f t="shared" si="3"/>
        <v>1.0924027882038665E-2</v>
      </c>
      <c r="Z139" s="553">
        <f t="shared" si="3"/>
        <v>1.0924027882038665E-2</v>
      </c>
      <c r="AA139" s="553">
        <f t="shared" si="3"/>
        <v>1.0924027882038665E-2</v>
      </c>
      <c r="AB139" s="553">
        <f t="shared" si="3"/>
        <v>1.0924027882038665E-2</v>
      </c>
      <c r="AC139" s="553">
        <f t="shared" si="3"/>
        <v>1.0924027882038665E-2</v>
      </c>
      <c r="AD139" s="553">
        <f t="shared" si="3"/>
        <v>1.0924027882038664E-2</v>
      </c>
      <c r="AE139" s="553">
        <f t="shared" si="3"/>
        <v>1.0924027882038664E-2</v>
      </c>
      <c r="AF139" s="553">
        <f t="shared" si="3"/>
        <v>1.0924027882038665E-2</v>
      </c>
      <c r="AG139" s="553">
        <f t="shared" si="3"/>
        <v>1.0924027882038665E-2</v>
      </c>
      <c r="AH139" s="553">
        <f t="shared" si="3"/>
        <v>1.0924027882038665E-2</v>
      </c>
      <c r="AI139" s="553">
        <f t="shared" si="3"/>
        <v>1.0924027882038665E-2</v>
      </c>
      <c r="AJ139" s="553">
        <f t="shared" si="3"/>
        <v>1.09240278820387E-2</v>
      </c>
      <c r="AK139" s="3"/>
      <c r="AL139" s="3"/>
    </row>
    <row r="140" spans="1:38" s="28" customFormat="1" x14ac:dyDescent="0.4">
      <c r="A140" s="645" t="s">
        <v>548</v>
      </c>
      <c r="B140" s="535" t="s">
        <v>1279</v>
      </c>
      <c r="C140" s="688">
        <f t="shared" ref="C140:AJ140" si="4">C104*$B$370</f>
        <v>0.60957899999999998</v>
      </c>
      <c r="D140" s="688">
        <f t="shared" si="4"/>
        <v>0.60957899999999998</v>
      </c>
      <c r="E140" s="688">
        <f t="shared" si="4"/>
        <v>0.60957900000000009</v>
      </c>
      <c r="F140" s="688">
        <f t="shared" si="4"/>
        <v>0.60957899999999998</v>
      </c>
      <c r="G140" s="688">
        <f t="shared" si="4"/>
        <v>0.60957899999999998</v>
      </c>
      <c r="H140" s="688">
        <f t="shared" si="4"/>
        <v>0.60957899999999987</v>
      </c>
      <c r="I140" s="688">
        <f t="shared" si="4"/>
        <v>0.60957899999999987</v>
      </c>
      <c r="J140" s="688">
        <f t="shared" si="4"/>
        <v>0.60957899999999998</v>
      </c>
      <c r="K140" s="688">
        <f t="shared" si="4"/>
        <v>0.60957899999999998</v>
      </c>
      <c r="L140" s="688">
        <f t="shared" si="4"/>
        <v>0.60957899999999998</v>
      </c>
      <c r="M140" s="688">
        <f t="shared" si="4"/>
        <v>0.60957899999999998</v>
      </c>
      <c r="N140" s="688">
        <f t="shared" si="4"/>
        <v>0.60957899999999998</v>
      </c>
      <c r="O140" s="688">
        <f t="shared" si="4"/>
        <v>0.60957900000000009</v>
      </c>
      <c r="P140" s="688">
        <f t="shared" si="4"/>
        <v>0.60957899999999987</v>
      </c>
      <c r="Q140" s="688">
        <f t="shared" si="4"/>
        <v>0.60957899999999998</v>
      </c>
      <c r="R140" s="688">
        <f t="shared" si="4"/>
        <v>0.60957899999999998</v>
      </c>
      <c r="S140" s="688">
        <f t="shared" si="4"/>
        <v>0.60957899999999998</v>
      </c>
      <c r="T140" s="688">
        <f t="shared" si="4"/>
        <v>0.60957899999999998</v>
      </c>
      <c r="U140" s="688">
        <f t="shared" si="4"/>
        <v>0.60957899999999998</v>
      </c>
      <c r="V140" s="688">
        <f t="shared" si="4"/>
        <v>0.60957899999999998</v>
      </c>
      <c r="W140" s="688">
        <f t="shared" si="4"/>
        <v>0.60957899999999998</v>
      </c>
      <c r="X140" s="688">
        <f t="shared" si="4"/>
        <v>0.60957899999999998</v>
      </c>
      <c r="Y140" s="688">
        <f t="shared" si="4"/>
        <v>0.60957899999999998</v>
      </c>
      <c r="Z140" s="688">
        <f t="shared" si="4"/>
        <v>0.60957899999999998</v>
      </c>
      <c r="AA140" s="688">
        <f t="shared" si="4"/>
        <v>0.60957899999999998</v>
      </c>
      <c r="AB140" s="688">
        <f t="shared" si="4"/>
        <v>0.60957899999999998</v>
      </c>
      <c r="AC140" s="688">
        <f t="shared" si="4"/>
        <v>0.83213267341428021</v>
      </c>
      <c r="AD140" s="688">
        <f t="shared" si="4"/>
        <v>0.66684254526785525</v>
      </c>
      <c r="AE140" s="688">
        <f t="shared" si="4"/>
        <v>0.69104939713060998</v>
      </c>
      <c r="AF140" s="688">
        <f t="shared" si="4"/>
        <v>0.6192877380343349</v>
      </c>
      <c r="AG140" s="688">
        <f t="shared" si="4"/>
        <v>0.73107501764421357</v>
      </c>
      <c r="AH140" s="688">
        <f t="shared" si="4"/>
        <v>0.54954733651510668</v>
      </c>
      <c r="AI140" s="688">
        <f t="shared" si="4"/>
        <v>0.44469160217942205</v>
      </c>
      <c r="AJ140" s="688">
        <f t="shared" si="4"/>
        <v>0.32886064644637636</v>
      </c>
      <c r="AK140" s="3"/>
      <c r="AL140" s="3"/>
    </row>
    <row r="141" spans="1:38" s="28" customFormat="1" x14ac:dyDescent="0.4">
      <c r="A141" s="544" t="s">
        <v>1063</v>
      </c>
      <c r="B141" s="581"/>
      <c r="C141" s="571"/>
      <c r="D141" s="571"/>
      <c r="E141" s="571"/>
      <c r="F141" s="571"/>
      <c r="G141" s="571"/>
      <c r="H141" s="571"/>
      <c r="I141" s="571"/>
      <c r="J141" s="571"/>
      <c r="K141" s="571"/>
      <c r="L141" s="571"/>
      <c r="M141" s="571"/>
      <c r="N141" s="571"/>
      <c r="O141" s="571"/>
      <c r="P141" s="571"/>
      <c r="Q141" s="571"/>
      <c r="R141" s="571"/>
      <c r="S141" s="571"/>
      <c r="T141" s="571"/>
      <c r="U141" s="571"/>
      <c r="V141" s="571"/>
      <c r="W141" s="571"/>
      <c r="X141" s="571"/>
      <c r="Y141" s="571"/>
      <c r="Z141" s="571"/>
      <c r="AA141" s="571"/>
      <c r="AB141" s="571"/>
      <c r="AC141" s="571"/>
      <c r="AD141" s="571"/>
      <c r="AE141" s="571"/>
      <c r="AF141" s="571"/>
      <c r="AG141" s="571"/>
      <c r="AH141" s="571"/>
      <c r="AI141" s="571"/>
      <c r="AJ141" s="571"/>
      <c r="AK141" s="3"/>
      <c r="AL141" s="3"/>
    </row>
    <row r="142" spans="1:38" s="28" customFormat="1" x14ac:dyDescent="0.4">
      <c r="A142" s="581"/>
      <c r="B142" s="581"/>
      <c r="C142" s="571"/>
      <c r="D142" s="571"/>
      <c r="E142" s="571"/>
      <c r="F142" s="571"/>
      <c r="G142" s="571"/>
      <c r="H142" s="571"/>
      <c r="I142" s="571"/>
      <c r="J142" s="571"/>
      <c r="K142" s="571"/>
      <c r="L142" s="571"/>
      <c r="M142" s="571"/>
      <c r="N142" s="571"/>
      <c r="O142" s="571"/>
      <c r="P142" s="571"/>
      <c r="Q142" s="571"/>
      <c r="R142" s="571"/>
      <c r="S142" s="571"/>
      <c r="T142" s="571"/>
      <c r="U142" s="571"/>
      <c r="V142" s="571"/>
      <c r="W142" s="571"/>
      <c r="X142" s="571"/>
      <c r="Y142" s="571"/>
      <c r="Z142" s="571"/>
      <c r="AA142" s="571"/>
      <c r="AB142" s="571"/>
      <c r="AC142" s="571"/>
      <c r="AD142" s="571"/>
      <c r="AE142" s="571"/>
      <c r="AF142" s="571"/>
      <c r="AG142" s="571"/>
      <c r="AH142" s="571"/>
      <c r="AI142" s="571"/>
      <c r="AJ142" s="571"/>
      <c r="AK142" s="3"/>
      <c r="AL142" s="3"/>
    </row>
    <row r="143" spans="1:38" s="28" customFormat="1" ht="17" x14ac:dyDescent="0.45">
      <c r="A143" s="88" t="s">
        <v>1498</v>
      </c>
      <c r="B143" s="581"/>
      <c r="C143" s="571"/>
      <c r="D143" s="571"/>
      <c r="E143" s="571"/>
      <c r="F143" s="571"/>
      <c r="G143" s="571"/>
      <c r="H143" s="571"/>
      <c r="I143" s="571"/>
      <c r="J143" s="571"/>
      <c r="K143" s="571"/>
      <c r="L143" s="571"/>
      <c r="M143" s="571"/>
      <c r="N143" s="571"/>
      <c r="O143" s="571"/>
      <c r="P143" s="571"/>
      <c r="Q143" s="571"/>
      <c r="R143" s="571"/>
      <c r="S143" s="571"/>
      <c r="T143" s="571"/>
      <c r="U143" s="571"/>
      <c r="V143" s="571"/>
      <c r="W143" s="571"/>
      <c r="X143" s="571"/>
      <c r="Y143" s="571"/>
      <c r="Z143" s="571"/>
      <c r="AA143" s="571"/>
      <c r="AB143" s="571"/>
      <c r="AC143" s="571"/>
      <c r="AD143" s="571"/>
      <c r="AE143" s="571"/>
      <c r="AF143" s="571"/>
      <c r="AG143" s="571"/>
      <c r="AH143" s="571"/>
      <c r="AI143" s="571"/>
      <c r="AJ143" s="571"/>
      <c r="AK143" s="3"/>
      <c r="AL143" s="3"/>
    </row>
    <row r="144" spans="1:38" s="28" customFormat="1" ht="16" customHeight="1" x14ac:dyDescent="0.4">
      <c r="A144" s="1218" t="s">
        <v>890</v>
      </c>
      <c r="B144" s="1140" t="s">
        <v>136</v>
      </c>
      <c r="C144" s="1159" t="s">
        <v>391</v>
      </c>
      <c r="D144" s="1159" t="s">
        <v>392</v>
      </c>
      <c r="E144" s="1159" t="s">
        <v>393</v>
      </c>
      <c r="F144" s="1159" t="s">
        <v>394</v>
      </c>
      <c r="G144" s="1159" t="s">
        <v>395</v>
      </c>
      <c r="H144" s="1159" t="s">
        <v>396</v>
      </c>
      <c r="I144" s="1159" t="s">
        <v>397</v>
      </c>
      <c r="J144" s="1159" t="s">
        <v>398</v>
      </c>
      <c r="K144" s="1159" t="s">
        <v>399</v>
      </c>
      <c r="L144" s="1159" t="s">
        <v>400</v>
      </c>
      <c r="M144" s="1159" t="s">
        <v>401</v>
      </c>
      <c r="N144" s="1159" t="s">
        <v>402</v>
      </c>
      <c r="O144" s="1159" t="s">
        <v>403</v>
      </c>
      <c r="P144" s="1159" t="s">
        <v>404</v>
      </c>
      <c r="Q144" s="1159" t="s">
        <v>405</v>
      </c>
      <c r="R144" s="1159" t="s">
        <v>406</v>
      </c>
      <c r="S144" s="1159" t="s">
        <v>407</v>
      </c>
      <c r="T144" s="1159" t="s">
        <v>408</v>
      </c>
      <c r="U144" s="1159" t="s">
        <v>409</v>
      </c>
      <c r="V144" s="1159" t="s">
        <v>410</v>
      </c>
      <c r="W144" s="1159" t="s">
        <v>411</v>
      </c>
      <c r="X144" s="1159" t="s">
        <v>412</v>
      </c>
      <c r="Y144" s="1159" t="s">
        <v>413</v>
      </c>
      <c r="Z144" s="1159" t="s">
        <v>414</v>
      </c>
      <c r="AA144" s="1159" t="s">
        <v>415</v>
      </c>
      <c r="AB144" s="1159" t="s">
        <v>416</v>
      </c>
      <c r="AC144" s="1159" t="s">
        <v>417</v>
      </c>
      <c r="AD144" s="1159" t="s">
        <v>418</v>
      </c>
      <c r="AE144" s="1159" t="s">
        <v>419</v>
      </c>
      <c r="AF144" s="1159" t="s">
        <v>420</v>
      </c>
      <c r="AG144" s="1159" t="s">
        <v>421</v>
      </c>
      <c r="AH144" s="1159" t="s">
        <v>422</v>
      </c>
      <c r="AI144" s="1159" t="s">
        <v>423</v>
      </c>
      <c r="AJ144" s="1159" t="s">
        <v>424</v>
      </c>
      <c r="AK144" s="3"/>
      <c r="AL144" s="3"/>
    </row>
    <row r="145" spans="1:38" s="28" customFormat="1" x14ac:dyDescent="0.4">
      <c r="A145" s="689" t="s">
        <v>549</v>
      </c>
      <c r="B145" s="533" t="s">
        <v>1281</v>
      </c>
      <c r="C145" s="553">
        <f t="shared" ref="C145:AJ145" si="5">C109*$B$370</f>
        <v>633.83039474332656</v>
      </c>
      <c r="D145" s="553">
        <f t="shared" si="5"/>
        <v>633.83039474332679</v>
      </c>
      <c r="E145" s="553">
        <f t="shared" si="5"/>
        <v>633.83039474332679</v>
      </c>
      <c r="F145" s="553">
        <f t="shared" si="5"/>
        <v>617.37691532074564</v>
      </c>
      <c r="G145" s="553">
        <f t="shared" si="5"/>
        <v>600.92343589816471</v>
      </c>
      <c r="H145" s="553">
        <f t="shared" si="5"/>
        <v>584.46995647558367</v>
      </c>
      <c r="I145" s="553">
        <f t="shared" si="5"/>
        <v>568.01647705300263</v>
      </c>
      <c r="J145" s="553">
        <f t="shared" si="5"/>
        <v>551.56299763042148</v>
      </c>
      <c r="K145" s="553">
        <f t="shared" si="5"/>
        <v>535.10951820784044</v>
      </c>
      <c r="L145" s="553">
        <f t="shared" si="5"/>
        <v>518.65603878525928</v>
      </c>
      <c r="M145" s="553">
        <f t="shared" si="5"/>
        <v>502.20255936267824</v>
      </c>
      <c r="N145" s="553">
        <f t="shared" si="5"/>
        <v>485.74907994009726</v>
      </c>
      <c r="O145" s="553">
        <f t="shared" si="5"/>
        <v>469.29560051751616</v>
      </c>
      <c r="P145" s="553">
        <f t="shared" si="5"/>
        <v>452.84212109493501</v>
      </c>
      <c r="Q145" s="553">
        <f t="shared" si="5"/>
        <v>436.38864167235386</v>
      </c>
      <c r="R145" s="553">
        <f t="shared" si="5"/>
        <v>419.93516224977282</v>
      </c>
      <c r="S145" s="553">
        <f t="shared" si="5"/>
        <v>403.48168282719166</v>
      </c>
      <c r="T145" s="553">
        <f t="shared" si="5"/>
        <v>387.02820340461051</v>
      </c>
      <c r="U145" s="553">
        <f t="shared" si="5"/>
        <v>370.57472398202941</v>
      </c>
      <c r="V145" s="553">
        <f t="shared" si="5"/>
        <v>354.1212445594482</v>
      </c>
      <c r="W145" s="553">
        <f t="shared" si="5"/>
        <v>337.6677651368671</v>
      </c>
      <c r="X145" s="1243">
        <f t="shared" si="5"/>
        <v>321.21428571428561</v>
      </c>
      <c r="Y145" s="1243">
        <f t="shared" si="5"/>
        <v>321.75374376039935</v>
      </c>
      <c r="Z145" s="1243">
        <f t="shared" si="5"/>
        <v>321.59093421779983</v>
      </c>
      <c r="AA145" s="1243">
        <f t="shared" si="5"/>
        <v>317.72681564245812</v>
      </c>
      <c r="AB145" s="1243">
        <f t="shared" si="5"/>
        <v>319.34909909909908</v>
      </c>
      <c r="AC145" s="1243">
        <f t="shared" si="5"/>
        <v>319.43884057971013</v>
      </c>
      <c r="AD145" s="1243">
        <f t="shared" si="5"/>
        <v>318.44081172491542</v>
      </c>
      <c r="AE145" s="1243">
        <f t="shared" si="5"/>
        <v>313.60874257960069</v>
      </c>
      <c r="AF145" s="1243">
        <f t="shared" si="5"/>
        <v>310.50742311770938</v>
      </c>
      <c r="AG145" s="1243">
        <f t="shared" si="5"/>
        <v>308.82011708355503</v>
      </c>
      <c r="AH145" s="1243">
        <f t="shared" si="5"/>
        <v>298.80918367346942</v>
      </c>
      <c r="AI145" s="1243">
        <f t="shared" si="5"/>
        <v>293.95906140788816</v>
      </c>
      <c r="AJ145" s="1243">
        <f t="shared" si="5"/>
        <v>298.00053590568064</v>
      </c>
      <c r="AK145" s="3"/>
      <c r="AL145" s="3"/>
    </row>
    <row r="146" spans="1:38" s="28" customFormat="1" x14ac:dyDescent="0.4">
      <c r="A146" s="685" t="s">
        <v>550</v>
      </c>
      <c r="B146" s="533" t="s">
        <v>1281</v>
      </c>
      <c r="C146" s="553" t="e">
        <f t="shared" ref="C146:AJ146" si="6">C110*$B$370</f>
        <v>#VALUE!</v>
      </c>
      <c r="D146" s="553" t="e">
        <f t="shared" si="6"/>
        <v>#VALUE!</v>
      </c>
      <c r="E146" s="553" t="e">
        <f t="shared" si="6"/>
        <v>#VALUE!</v>
      </c>
      <c r="F146" s="553" t="e">
        <f t="shared" si="6"/>
        <v>#VALUE!</v>
      </c>
      <c r="G146" s="553" t="e">
        <f t="shared" si="6"/>
        <v>#VALUE!</v>
      </c>
      <c r="H146" s="553" t="e">
        <f t="shared" si="6"/>
        <v>#VALUE!</v>
      </c>
      <c r="I146" s="553" t="e">
        <f t="shared" si="6"/>
        <v>#VALUE!</v>
      </c>
      <c r="J146" s="553" t="e">
        <f t="shared" si="6"/>
        <v>#VALUE!</v>
      </c>
      <c r="K146" s="553" t="e">
        <f t="shared" si="6"/>
        <v>#VALUE!</v>
      </c>
      <c r="L146" s="553" t="e">
        <f t="shared" si="6"/>
        <v>#VALUE!</v>
      </c>
      <c r="M146" s="553" t="e">
        <f t="shared" si="6"/>
        <v>#VALUE!</v>
      </c>
      <c r="N146" s="553" t="e">
        <f t="shared" si="6"/>
        <v>#VALUE!</v>
      </c>
      <c r="O146" s="553" t="e">
        <f t="shared" si="6"/>
        <v>#VALUE!</v>
      </c>
      <c r="P146" s="553" t="e">
        <f t="shared" si="6"/>
        <v>#VALUE!</v>
      </c>
      <c r="Q146" s="553" t="e">
        <f t="shared" si="6"/>
        <v>#VALUE!</v>
      </c>
      <c r="R146" s="553" t="e">
        <f t="shared" si="6"/>
        <v>#VALUE!</v>
      </c>
      <c r="S146" s="553" t="e">
        <f t="shared" si="6"/>
        <v>#VALUE!</v>
      </c>
      <c r="T146" s="553" t="e">
        <f t="shared" si="6"/>
        <v>#VALUE!</v>
      </c>
      <c r="U146" s="553" t="e">
        <f t="shared" si="6"/>
        <v>#VALUE!</v>
      </c>
      <c r="V146" s="553" t="e">
        <f t="shared" si="6"/>
        <v>#VALUE!</v>
      </c>
      <c r="W146" s="553" t="e">
        <f t="shared" si="6"/>
        <v>#VALUE!</v>
      </c>
      <c r="X146" s="553">
        <f t="shared" si="6"/>
        <v>64</v>
      </c>
      <c r="Y146" s="553">
        <f t="shared" si="6"/>
        <v>64</v>
      </c>
      <c r="Z146" s="553">
        <f t="shared" si="6"/>
        <v>63.999999999999993</v>
      </c>
      <c r="AA146" s="553">
        <f t="shared" si="6"/>
        <v>63.999999999999993</v>
      </c>
      <c r="AB146" s="553">
        <f t="shared" si="6"/>
        <v>63.999999999999993</v>
      </c>
      <c r="AC146" s="553">
        <f t="shared" si="6"/>
        <v>63.999999999999993</v>
      </c>
      <c r="AD146" s="553">
        <f t="shared" si="6"/>
        <v>63.999999999999993</v>
      </c>
      <c r="AE146" s="553">
        <f t="shared" si="6"/>
        <v>63.999999999999993</v>
      </c>
      <c r="AF146" s="553">
        <f t="shared" si="6"/>
        <v>63.999999999999993</v>
      </c>
      <c r="AG146" s="553">
        <f t="shared" si="6"/>
        <v>63.999999999999993</v>
      </c>
      <c r="AH146" s="553">
        <f t="shared" si="6"/>
        <v>63.999999999999986</v>
      </c>
      <c r="AI146" s="553">
        <f t="shared" si="6"/>
        <v>64</v>
      </c>
      <c r="AJ146" s="553">
        <f t="shared" si="6"/>
        <v>64</v>
      </c>
      <c r="AK146" s="3"/>
      <c r="AL146" s="3"/>
    </row>
    <row r="147" spans="1:38" s="28" customFormat="1" x14ac:dyDescent="0.4">
      <c r="A147" s="690" t="s">
        <v>551</v>
      </c>
      <c r="B147" s="533" t="s">
        <v>1319</v>
      </c>
      <c r="C147" s="553" t="e">
        <f t="shared" ref="C147:AJ147" si="7">C111*$B$370</f>
        <v>#VALUE!</v>
      </c>
      <c r="D147" s="553" t="e">
        <f t="shared" si="7"/>
        <v>#VALUE!</v>
      </c>
      <c r="E147" s="553" t="e">
        <f t="shared" si="7"/>
        <v>#VALUE!</v>
      </c>
      <c r="F147" s="553" t="e">
        <f t="shared" si="7"/>
        <v>#VALUE!</v>
      </c>
      <c r="G147" s="553" t="e">
        <f t="shared" si="7"/>
        <v>#VALUE!</v>
      </c>
      <c r="H147" s="553" t="e">
        <f t="shared" si="7"/>
        <v>#VALUE!</v>
      </c>
      <c r="I147" s="553" t="e">
        <f t="shared" si="7"/>
        <v>#VALUE!</v>
      </c>
      <c r="J147" s="553" t="e">
        <f t="shared" si="7"/>
        <v>#VALUE!</v>
      </c>
      <c r="K147" s="553" t="e">
        <f t="shared" si="7"/>
        <v>#VALUE!</v>
      </c>
      <c r="L147" s="553" t="e">
        <f t="shared" si="7"/>
        <v>#VALUE!</v>
      </c>
      <c r="M147" s="553" t="e">
        <f t="shared" si="7"/>
        <v>#VALUE!</v>
      </c>
      <c r="N147" s="553" t="e">
        <f t="shared" si="7"/>
        <v>#VALUE!</v>
      </c>
      <c r="O147" s="553" t="e">
        <f t="shared" si="7"/>
        <v>#VALUE!</v>
      </c>
      <c r="P147" s="553" t="e">
        <f t="shared" si="7"/>
        <v>#VALUE!</v>
      </c>
      <c r="Q147" s="553" t="e">
        <f t="shared" si="7"/>
        <v>#VALUE!</v>
      </c>
      <c r="R147" s="553" t="e">
        <f t="shared" si="7"/>
        <v>#VALUE!</v>
      </c>
      <c r="S147" s="553" t="e">
        <f t="shared" si="7"/>
        <v>#VALUE!</v>
      </c>
      <c r="T147" s="553" t="e">
        <f t="shared" si="7"/>
        <v>#VALUE!</v>
      </c>
      <c r="U147" s="553" t="e">
        <f t="shared" si="7"/>
        <v>#VALUE!</v>
      </c>
      <c r="V147" s="553" t="e">
        <f t="shared" si="7"/>
        <v>#VALUE!</v>
      </c>
      <c r="W147" s="553" t="e">
        <f t="shared" si="7"/>
        <v>#VALUE!</v>
      </c>
      <c r="X147" s="553">
        <f t="shared" si="7"/>
        <v>65</v>
      </c>
      <c r="Y147" s="553">
        <f t="shared" si="7"/>
        <v>65</v>
      </c>
      <c r="Z147" s="553">
        <f t="shared" si="7"/>
        <v>65</v>
      </c>
      <c r="AA147" s="553">
        <f t="shared" si="7"/>
        <v>64.999999999999986</v>
      </c>
      <c r="AB147" s="553">
        <f t="shared" si="7"/>
        <v>64.999999999999986</v>
      </c>
      <c r="AC147" s="553">
        <f t="shared" si="7"/>
        <v>65</v>
      </c>
      <c r="AD147" s="553">
        <f t="shared" si="7"/>
        <v>65</v>
      </c>
      <c r="AE147" s="553">
        <f t="shared" si="7"/>
        <v>65</v>
      </c>
      <c r="AF147" s="553">
        <f t="shared" si="7"/>
        <v>64.999999999999986</v>
      </c>
      <c r="AG147" s="553">
        <f t="shared" si="7"/>
        <v>65</v>
      </c>
      <c r="AH147" s="553">
        <f t="shared" si="7"/>
        <v>64.999999999999986</v>
      </c>
      <c r="AI147" s="553">
        <f t="shared" si="7"/>
        <v>64.999999999999986</v>
      </c>
      <c r="AJ147" s="553">
        <f t="shared" si="7"/>
        <v>65</v>
      </c>
      <c r="AK147" s="3"/>
      <c r="AL147" s="3"/>
    </row>
    <row r="148" spans="1:38" s="28" customFormat="1" x14ac:dyDescent="0.4">
      <c r="A148" s="685" t="s">
        <v>553</v>
      </c>
      <c r="B148" s="533" t="s">
        <v>1319</v>
      </c>
      <c r="C148" s="553" t="e">
        <f t="shared" ref="C148:AJ148" si="8">C112*$B$370</f>
        <v>#VALUE!</v>
      </c>
      <c r="D148" s="553" t="e">
        <f t="shared" si="8"/>
        <v>#VALUE!</v>
      </c>
      <c r="E148" s="553" t="e">
        <f t="shared" si="8"/>
        <v>#VALUE!</v>
      </c>
      <c r="F148" s="553" t="e">
        <f t="shared" si="8"/>
        <v>#VALUE!</v>
      </c>
      <c r="G148" s="553" t="e">
        <f t="shared" si="8"/>
        <v>#VALUE!</v>
      </c>
      <c r="H148" s="553" t="e">
        <f t="shared" si="8"/>
        <v>#VALUE!</v>
      </c>
      <c r="I148" s="553" t="e">
        <f t="shared" si="8"/>
        <v>#VALUE!</v>
      </c>
      <c r="J148" s="553" t="e">
        <f t="shared" si="8"/>
        <v>#VALUE!</v>
      </c>
      <c r="K148" s="553" t="e">
        <f t="shared" si="8"/>
        <v>#VALUE!</v>
      </c>
      <c r="L148" s="553" t="e">
        <f t="shared" si="8"/>
        <v>#VALUE!</v>
      </c>
      <c r="M148" s="553" t="e">
        <f t="shared" si="8"/>
        <v>#VALUE!</v>
      </c>
      <c r="N148" s="553" t="e">
        <f t="shared" si="8"/>
        <v>#VALUE!</v>
      </c>
      <c r="O148" s="553" t="e">
        <f t="shared" si="8"/>
        <v>#VALUE!</v>
      </c>
      <c r="P148" s="553" t="e">
        <f t="shared" si="8"/>
        <v>#VALUE!</v>
      </c>
      <c r="Q148" s="553" t="e">
        <f t="shared" si="8"/>
        <v>#VALUE!</v>
      </c>
      <c r="R148" s="553" t="e">
        <f t="shared" si="8"/>
        <v>#VALUE!</v>
      </c>
      <c r="S148" s="553" t="e">
        <f t="shared" si="8"/>
        <v>#VALUE!</v>
      </c>
      <c r="T148" s="553" t="e">
        <f t="shared" si="8"/>
        <v>#VALUE!</v>
      </c>
      <c r="U148" s="553" t="e">
        <f t="shared" si="8"/>
        <v>#VALUE!</v>
      </c>
      <c r="V148" s="553" t="e">
        <f t="shared" si="8"/>
        <v>#VALUE!</v>
      </c>
      <c r="W148" s="553" t="e">
        <f t="shared" si="8"/>
        <v>#VALUE!</v>
      </c>
      <c r="X148" s="553">
        <f t="shared" si="8"/>
        <v>68</v>
      </c>
      <c r="Y148" s="553">
        <f t="shared" si="8"/>
        <v>68</v>
      </c>
      <c r="Z148" s="553">
        <f t="shared" si="8"/>
        <v>68</v>
      </c>
      <c r="AA148" s="553">
        <f t="shared" si="8"/>
        <v>67.999999999999986</v>
      </c>
      <c r="AB148" s="553">
        <f t="shared" si="8"/>
        <v>68</v>
      </c>
      <c r="AC148" s="553">
        <f t="shared" si="8"/>
        <v>68</v>
      </c>
      <c r="AD148" s="553">
        <f t="shared" si="8"/>
        <v>68</v>
      </c>
      <c r="AE148" s="553">
        <f t="shared" si="8"/>
        <v>68</v>
      </c>
      <c r="AF148" s="553">
        <f t="shared" si="8"/>
        <v>68</v>
      </c>
      <c r="AG148" s="553">
        <f t="shared" si="8"/>
        <v>67.999999999999986</v>
      </c>
      <c r="AH148" s="553">
        <f t="shared" si="8"/>
        <v>68</v>
      </c>
      <c r="AI148" s="553">
        <f t="shared" si="8"/>
        <v>67.999999999999986</v>
      </c>
      <c r="AJ148" s="553">
        <f t="shared" si="8"/>
        <v>68</v>
      </c>
      <c r="AK148" s="3"/>
      <c r="AL148" s="3"/>
    </row>
    <row r="149" spans="1:38" s="28" customFormat="1" x14ac:dyDescent="0.4">
      <c r="A149" s="690" t="s">
        <v>554</v>
      </c>
      <c r="B149" s="533" t="s">
        <v>1319</v>
      </c>
      <c r="C149" s="553" t="e">
        <f t="shared" ref="C149:AJ149" si="9">C113*$B$370</f>
        <v>#VALUE!</v>
      </c>
      <c r="D149" s="553" t="e">
        <f t="shared" si="9"/>
        <v>#VALUE!</v>
      </c>
      <c r="E149" s="553" t="e">
        <f t="shared" si="9"/>
        <v>#VALUE!</v>
      </c>
      <c r="F149" s="553" t="e">
        <f t="shared" si="9"/>
        <v>#VALUE!</v>
      </c>
      <c r="G149" s="553" t="e">
        <f t="shared" si="9"/>
        <v>#VALUE!</v>
      </c>
      <c r="H149" s="553" t="e">
        <f t="shared" si="9"/>
        <v>#VALUE!</v>
      </c>
      <c r="I149" s="553" t="e">
        <f t="shared" si="9"/>
        <v>#VALUE!</v>
      </c>
      <c r="J149" s="553" t="e">
        <f t="shared" si="9"/>
        <v>#VALUE!</v>
      </c>
      <c r="K149" s="553" t="e">
        <f t="shared" si="9"/>
        <v>#VALUE!</v>
      </c>
      <c r="L149" s="553" t="e">
        <f t="shared" si="9"/>
        <v>#VALUE!</v>
      </c>
      <c r="M149" s="553" t="e">
        <f t="shared" si="9"/>
        <v>#VALUE!</v>
      </c>
      <c r="N149" s="553" t="e">
        <f t="shared" si="9"/>
        <v>#VALUE!</v>
      </c>
      <c r="O149" s="553" t="e">
        <f t="shared" si="9"/>
        <v>#VALUE!</v>
      </c>
      <c r="P149" s="553" t="e">
        <f t="shared" si="9"/>
        <v>#VALUE!</v>
      </c>
      <c r="Q149" s="553" t="e">
        <f t="shared" si="9"/>
        <v>#VALUE!</v>
      </c>
      <c r="R149" s="553" t="e">
        <f t="shared" si="9"/>
        <v>#VALUE!</v>
      </c>
      <c r="S149" s="553" t="e">
        <f t="shared" si="9"/>
        <v>#VALUE!</v>
      </c>
      <c r="T149" s="553" t="e">
        <f t="shared" si="9"/>
        <v>#VALUE!</v>
      </c>
      <c r="U149" s="553" t="e">
        <f t="shared" si="9"/>
        <v>#VALUE!</v>
      </c>
      <c r="V149" s="553" t="e">
        <f t="shared" si="9"/>
        <v>#VALUE!</v>
      </c>
      <c r="W149" s="553" t="e">
        <f t="shared" si="9"/>
        <v>#VALUE!</v>
      </c>
      <c r="X149" s="553">
        <f t="shared" si="9"/>
        <v>44</v>
      </c>
      <c r="Y149" s="553">
        <f t="shared" si="9"/>
        <v>44</v>
      </c>
      <c r="Z149" s="553">
        <f t="shared" si="9"/>
        <v>44</v>
      </c>
      <c r="AA149" s="553">
        <f t="shared" si="9"/>
        <v>44</v>
      </c>
      <c r="AB149" s="553">
        <f t="shared" si="9"/>
        <v>44</v>
      </c>
      <c r="AC149" s="553">
        <f t="shared" si="9"/>
        <v>44</v>
      </c>
      <c r="AD149" s="553">
        <f t="shared" si="9"/>
        <v>44</v>
      </c>
      <c r="AE149" s="553">
        <f t="shared" si="9"/>
        <v>43.999999999999993</v>
      </c>
      <c r="AF149" s="553">
        <f t="shared" si="9"/>
        <v>44</v>
      </c>
      <c r="AG149" s="553">
        <f t="shared" si="9"/>
        <v>43.999999999999993</v>
      </c>
      <c r="AH149" s="553">
        <f t="shared" si="9"/>
        <v>44</v>
      </c>
      <c r="AI149" s="553">
        <f t="shared" si="9"/>
        <v>44</v>
      </c>
      <c r="AJ149" s="553">
        <f t="shared" si="9"/>
        <v>44</v>
      </c>
      <c r="AK149" s="3"/>
      <c r="AL149" s="3"/>
    </row>
    <row r="150" spans="1:38" s="28" customFormat="1" x14ac:dyDescent="0.4">
      <c r="A150" s="644" t="s">
        <v>547</v>
      </c>
      <c r="B150" s="535" t="s">
        <v>1281</v>
      </c>
      <c r="C150" s="553">
        <f t="shared" ref="C150:AJ150" si="10">C114*$B$370</f>
        <v>83.954339999999988</v>
      </c>
      <c r="D150" s="553">
        <f t="shared" si="10"/>
        <v>83.954340000000002</v>
      </c>
      <c r="E150" s="553">
        <f t="shared" si="10"/>
        <v>83.954340000000002</v>
      </c>
      <c r="F150" s="553">
        <f t="shared" si="10"/>
        <v>83.328669211208222</v>
      </c>
      <c r="G150" s="553">
        <f t="shared" si="10"/>
        <v>83.701050061173646</v>
      </c>
      <c r="H150" s="553">
        <f t="shared" si="10"/>
        <v>83.258603134065169</v>
      </c>
      <c r="I150" s="553">
        <f t="shared" si="10"/>
        <v>82.956387429048746</v>
      </c>
      <c r="J150" s="553">
        <f t="shared" si="10"/>
        <v>83.40867062664968</v>
      </c>
      <c r="K150" s="553">
        <f t="shared" si="10"/>
        <v>83.236509669129404</v>
      </c>
      <c r="L150" s="553">
        <f t="shared" si="10"/>
        <v>83.314055960552295</v>
      </c>
      <c r="M150" s="553">
        <f t="shared" si="10"/>
        <v>82.66930088639954</v>
      </c>
      <c r="N150" s="553">
        <f t="shared" si="10"/>
        <v>81.669084847966573</v>
      </c>
      <c r="O150" s="553">
        <f t="shared" si="10"/>
        <v>82.45018060887196</v>
      </c>
      <c r="P150" s="553">
        <f t="shared" si="10"/>
        <v>80.068559622045669</v>
      </c>
      <c r="Q150" s="553">
        <f t="shared" si="10"/>
        <v>80.924290798418696</v>
      </c>
      <c r="R150" s="553">
        <f t="shared" si="10"/>
        <v>82.74335441298058</v>
      </c>
      <c r="S150" s="553">
        <f t="shared" si="10"/>
        <v>78.310833385871405</v>
      </c>
      <c r="T150" s="553">
        <f t="shared" si="10"/>
        <v>82.959813370679953</v>
      </c>
      <c r="U150" s="553">
        <f t="shared" si="10"/>
        <v>80.445959241387712</v>
      </c>
      <c r="V150" s="553">
        <f t="shared" si="10"/>
        <v>82.093261895742344</v>
      </c>
      <c r="W150" s="553">
        <f t="shared" si="10"/>
        <v>82.059579313904138</v>
      </c>
      <c r="X150" s="553">
        <f t="shared" si="10"/>
        <v>82.558378650873294</v>
      </c>
      <c r="Y150" s="553">
        <f t="shared" si="10"/>
        <v>82.147560442958294</v>
      </c>
      <c r="Z150" s="553">
        <f t="shared" si="10"/>
        <v>81.988584491679688</v>
      </c>
      <c r="AA150" s="553">
        <f t="shared" si="10"/>
        <v>82.142556029278921</v>
      </c>
      <c r="AB150" s="553">
        <f t="shared" si="10"/>
        <v>81.905166714962334</v>
      </c>
      <c r="AC150" s="553">
        <f t="shared" si="10"/>
        <v>73.432203243699831</v>
      </c>
      <c r="AD150" s="553">
        <f t="shared" si="10"/>
        <v>69.299182039781826</v>
      </c>
      <c r="AE150" s="553">
        <f t="shared" si="10"/>
        <v>68.626712709405453</v>
      </c>
      <c r="AF150" s="553">
        <f t="shared" si="10"/>
        <v>72.598023010916563</v>
      </c>
      <c r="AG150" s="553">
        <f t="shared" si="10"/>
        <v>72.555716348370737</v>
      </c>
      <c r="AH150" s="553">
        <f t="shared" si="10"/>
        <v>73.026781917647256</v>
      </c>
      <c r="AI150" s="553">
        <f t="shared" si="10"/>
        <v>73.261372530498576</v>
      </c>
      <c r="AJ150" s="553">
        <f t="shared" si="10"/>
        <v>72.476304715213615</v>
      </c>
      <c r="AK150" s="3"/>
      <c r="AL150" s="3"/>
    </row>
    <row r="151" spans="1:38" s="28" customFormat="1" x14ac:dyDescent="0.4">
      <c r="A151" s="544" t="s">
        <v>1063</v>
      </c>
      <c r="B151" s="581"/>
      <c r="C151" s="571"/>
      <c r="D151" s="571"/>
      <c r="E151" s="571"/>
      <c r="F151" s="571"/>
      <c r="G151" s="571"/>
      <c r="H151" s="571"/>
      <c r="I151" s="571"/>
      <c r="J151" s="571"/>
      <c r="K151" s="571"/>
      <c r="L151" s="571"/>
      <c r="M151" s="571"/>
      <c r="N151" s="571"/>
      <c r="O151" s="571"/>
      <c r="P151" s="571"/>
      <c r="Q151" s="571"/>
      <c r="R151" s="571"/>
      <c r="S151" s="571"/>
      <c r="T151" s="571"/>
      <c r="U151" s="571"/>
      <c r="V151" s="571"/>
      <c r="W151" s="571"/>
      <c r="X151" s="571"/>
      <c r="Y151" s="571"/>
      <c r="Z151" s="571"/>
      <c r="AA151" s="571"/>
      <c r="AB151" s="571"/>
      <c r="AC151" s="571"/>
      <c r="AD151" s="571"/>
      <c r="AE151" s="571"/>
      <c r="AF151" s="571"/>
      <c r="AG151" s="571"/>
      <c r="AH151" s="571"/>
      <c r="AI151" s="571"/>
      <c r="AJ151" s="571"/>
      <c r="AK151" s="3"/>
      <c r="AL151" s="3"/>
    </row>
    <row r="152" spans="1:38" s="28" customFormat="1" x14ac:dyDescent="0.4">
      <c r="A152" s="684"/>
      <c r="B152" s="581"/>
      <c r="C152" s="571"/>
      <c r="D152" s="571"/>
      <c r="E152" s="571"/>
      <c r="F152" s="571"/>
      <c r="G152" s="571"/>
      <c r="H152" s="571"/>
      <c r="I152" s="571"/>
      <c r="J152" s="571"/>
      <c r="K152" s="571"/>
      <c r="L152" s="571"/>
      <c r="M152" s="571"/>
      <c r="N152" s="571"/>
      <c r="O152" s="571"/>
      <c r="P152" s="571"/>
      <c r="Q152" s="571"/>
      <c r="R152" s="571"/>
      <c r="S152" s="571"/>
      <c r="T152" s="571"/>
      <c r="U152" s="571"/>
      <c r="V152" s="571"/>
      <c r="W152" s="571"/>
      <c r="X152" s="571"/>
      <c r="Y152" s="571"/>
      <c r="Z152" s="571"/>
      <c r="AA152" s="571"/>
      <c r="AB152" s="571"/>
      <c r="AC152" s="571"/>
      <c r="AD152" s="571"/>
      <c r="AE152" s="571"/>
      <c r="AF152" s="571"/>
      <c r="AG152" s="571"/>
      <c r="AH152" s="571"/>
      <c r="AI152" s="571"/>
      <c r="AJ152" s="571"/>
      <c r="AK152" s="3"/>
      <c r="AL152" s="3"/>
    </row>
    <row r="153" spans="1:38" s="28" customFormat="1" ht="17" x14ac:dyDescent="0.45">
      <c r="A153" s="88" t="s">
        <v>1499</v>
      </c>
      <c r="B153" s="581"/>
      <c r="C153" s="571"/>
      <c r="D153" s="571"/>
      <c r="E153" s="571"/>
      <c r="F153" s="571"/>
      <c r="G153" s="571"/>
      <c r="H153" s="571"/>
      <c r="I153" s="571"/>
      <c r="J153" s="571"/>
      <c r="K153" s="571"/>
      <c r="L153" s="571"/>
      <c r="M153" s="571"/>
      <c r="N153" s="571"/>
      <c r="O153" s="571"/>
      <c r="P153" s="571"/>
      <c r="Q153" s="571"/>
      <c r="R153" s="571"/>
      <c r="S153" s="571"/>
      <c r="T153" s="571"/>
      <c r="U153" s="571"/>
      <c r="V153" s="571"/>
      <c r="W153" s="571"/>
      <c r="X153" s="571"/>
      <c r="Y153" s="571"/>
      <c r="Z153" s="571"/>
      <c r="AA153" s="571"/>
      <c r="AB153" s="571"/>
      <c r="AC153" s="571"/>
      <c r="AD153" s="571"/>
      <c r="AE153" s="571"/>
      <c r="AF153" s="571"/>
      <c r="AG153" s="571"/>
      <c r="AH153" s="571"/>
      <c r="AI153" s="571"/>
      <c r="AJ153" s="571"/>
      <c r="AK153" s="3"/>
      <c r="AL153" s="3"/>
    </row>
    <row r="154" spans="1:38" s="28" customFormat="1" ht="16" customHeight="1" x14ac:dyDescent="0.4">
      <c r="A154" s="1218" t="s">
        <v>801</v>
      </c>
      <c r="B154" s="1140" t="s">
        <v>136</v>
      </c>
      <c r="C154" s="1159" t="s">
        <v>391</v>
      </c>
      <c r="D154" s="1159" t="s">
        <v>392</v>
      </c>
      <c r="E154" s="1159" t="s">
        <v>393</v>
      </c>
      <c r="F154" s="1159" t="s">
        <v>394</v>
      </c>
      <c r="G154" s="1159" t="s">
        <v>395</v>
      </c>
      <c r="H154" s="1159" t="s">
        <v>396</v>
      </c>
      <c r="I154" s="1159" t="s">
        <v>397</v>
      </c>
      <c r="J154" s="1159" t="s">
        <v>398</v>
      </c>
      <c r="K154" s="1159" t="s">
        <v>399</v>
      </c>
      <c r="L154" s="1159" t="s">
        <v>400</v>
      </c>
      <c r="M154" s="1159" t="s">
        <v>401</v>
      </c>
      <c r="N154" s="1159" t="s">
        <v>402</v>
      </c>
      <c r="O154" s="1159" t="s">
        <v>403</v>
      </c>
      <c r="P154" s="1159" t="s">
        <v>404</v>
      </c>
      <c r="Q154" s="1159" t="s">
        <v>405</v>
      </c>
      <c r="R154" s="1159" t="s">
        <v>406</v>
      </c>
      <c r="S154" s="1159" t="s">
        <v>407</v>
      </c>
      <c r="T154" s="1159" t="s">
        <v>408</v>
      </c>
      <c r="U154" s="1159" t="s">
        <v>409</v>
      </c>
      <c r="V154" s="1159" t="s">
        <v>410</v>
      </c>
      <c r="W154" s="1159" t="s">
        <v>411</v>
      </c>
      <c r="X154" s="1159" t="s">
        <v>412</v>
      </c>
      <c r="Y154" s="1159" t="s">
        <v>413</v>
      </c>
      <c r="Z154" s="1159" t="s">
        <v>414</v>
      </c>
      <c r="AA154" s="1159" t="s">
        <v>415</v>
      </c>
      <c r="AB154" s="1159" t="s">
        <v>416</v>
      </c>
      <c r="AC154" s="1159" t="s">
        <v>417</v>
      </c>
      <c r="AD154" s="1159" t="s">
        <v>418</v>
      </c>
      <c r="AE154" s="1159" t="s">
        <v>419</v>
      </c>
      <c r="AF154" s="1159" t="s">
        <v>420</v>
      </c>
      <c r="AG154" s="1159" t="s">
        <v>421</v>
      </c>
      <c r="AH154" s="1159" t="s">
        <v>422</v>
      </c>
      <c r="AI154" s="1159" t="s">
        <v>423</v>
      </c>
      <c r="AJ154" s="1159" t="s">
        <v>424</v>
      </c>
      <c r="AK154" s="3"/>
      <c r="AL154" s="3"/>
    </row>
    <row r="155" spans="1:38" s="28" customFormat="1" x14ac:dyDescent="0.4">
      <c r="A155" s="643" t="s">
        <v>552</v>
      </c>
      <c r="B155" s="532" t="s">
        <v>1320</v>
      </c>
      <c r="C155" s="572">
        <f t="shared" ref="C155:AJ155" si="11">C119*$B$370</f>
        <v>3.1239142200000001</v>
      </c>
      <c r="D155" s="572">
        <f t="shared" si="11"/>
        <v>3.1239142200000001</v>
      </c>
      <c r="E155" s="572">
        <f t="shared" si="11"/>
        <v>3.1239142200000005</v>
      </c>
      <c r="F155" s="572">
        <f t="shared" si="11"/>
        <v>3.0071602097380183</v>
      </c>
      <c r="G155" s="572">
        <f t="shared" si="11"/>
        <v>2.8904061994760362</v>
      </c>
      <c r="H155" s="572">
        <f t="shared" si="11"/>
        <v>2.7736521892140535</v>
      </c>
      <c r="I155" s="572">
        <f t="shared" si="11"/>
        <v>2.6568981789520723</v>
      </c>
      <c r="J155" s="572">
        <f t="shared" si="11"/>
        <v>2.5401441686900905</v>
      </c>
      <c r="K155" s="572">
        <f t="shared" si="11"/>
        <v>2.4233901584281079</v>
      </c>
      <c r="L155" s="572">
        <f t="shared" si="11"/>
        <v>2.3066361481661262</v>
      </c>
      <c r="M155" s="572">
        <f t="shared" si="11"/>
        <v>2.1898821379041444</v>
      </c>
      <c r="N155" s="572">
        <f t="shared" si="11"/>
        <v>2.0731281276421618</v>
      </c>
      <c r="O155" s="572">
        <f t="shared" si="11"/>
        <v>1.9563741173801801</v>
      </c>
      <c r="P155" s="572">
        <f t="shared" si="11"/>
        <v>1.8396201071181979</v>
      </c>
      <c r="Q155" s="572">
        <f t="shared" si="11"/>
        <v>1.7228660968562159</v>
      </c>
      <c r="R155" s="572">
        <f t="shared" si="11"/>
        <v>1.606112086594234</v>
      </c>
      <c r="S155" s="572">
        <f t="shared" si="11"/>
        <v>1.4893580763322518</v>
      </c>
      <c r="T155" s="572">
        <f t="shared" si="11"/>
        <v>1.3726040660702696</v>
      </c>
      <c r="U155" s="572">
        <f t="shared" si="11"/>
        <v>1.2558500558082877</v>
      </c>
      <c r="V155" s="572">
        <f t="shared" si="11"/>
        <v>1.1390960455463055</v>
      </c>
      <c r="W155" s="572">
        <f t="shared" si="11"/>
        <v>1.0223420352843235</v>
      </c>
      <c r="X155" s="572">
        <f t="shared" si="11"/>
        <v>0.90558802502234059</v>
      </c>
      <c r="Y155" s="572">
        <f t="shared" si="11"/>
        <v>0.6655212459488653</v>
      </c>
      <c r="Z155" s="572">
        <f t="shared" si="11"/>
        <v>0.63336465849974788</v>
      </c>
      <c r="AA155" s="572">
        <f t="shared" si="11"/>
        <v>0.58875400790395915</v>
      </c>
      <c r="AB155" s="572">
        <f t="shared" si="11"/>
        <v>0.6344278273809516</v>
      </c>
      <c r="AC155" s="572">
        <f t="shared" si="11"/>
        <v>0.55215218712029079</v>
      </c>
      <c r="AD155" s="572">
        <f t="shared" si="11"/>
        <v>0.5249301666554208</v>
      </c>
      <c r="AE155" s="572">
        <f t="shared" si="11"/>
        <v>0.49688903433692377</v>
      </c>
      <c r="AF155" s="572">
        <f t="shared" si="11"/>
        <v>0.50323095998855294</v>
      </c>
      <c r="AG155" s="572">
        <f t="shared" si="11"/>
        <v>0.4957809591982818</v>
      </c>
      <c r="AH155" s="572">
        <f t="shared" si="11"/>
        <v>0.47570926414134451</v>
      </c>
      <c r="AI155" s="572">
        <f t="shared" si="11"/>
        <v>0.48007252479880197</v>
      </c>
      <c r="AJ155" s="572">
        <f t="shared" si="11"/>
        <v>0.47330727543043538</v>
      </c>
      <c r="AK155" s="3"/>
      <c r="AL155" s="3"/>
    </row>
    <row r="156" spans="1:38" s="28" customFormat="1" x14ac:dyDescent="0.4">
      <c r="A156" s="1394" t="s">
        <v>562</v>
      </c>
      <c r="B156" s="532" t="s">
        <v>1320</v>
      </c>
      <c r="C156" s="572" t="e">
        <f t="shared" ref="C156:AJ156" si="12">C120*$B$370</f>
        <v>#VALUE!</v>
      </c>
      <c r="D156" s="572" t="e">
        <f t="shared" si="12"/>
        <v>#VALUE!</v>
      </c>
      <c r="E156" s="572" t="e">
        <f t="shared" si="12"/>
        <v>#VALUE!</v>
      </c>
      <c r="F156" s="572" t="e">
        <f t="shared" si="12"/>
        <v>#VALUE!</v>
      </c>
      <c r="G156" s="572" t="e">
        <f t="shared" si="12"/>
        <v>#VALUE!</v>
      </c>
      <c r="H156" s="572" t="e">
        <f t="shared" si="12"/>
        <v>#VALUE!</v>
      </c>
      <c r="I156" s="572" t="e">
        <f t="shared" si="12"/>
        <v>#VALUE!</v>
      </c>
      <c r="J156" s="572" t="e">
        <f t="shared" si="12"/>
        <v>#VALUE!</v>
      </c>
      <c r="K156" s="572" t="e">
        <f t="shared" si="12"/>
        <v>#VALUE!</v>
      </c>
      <c r="L156" s="572" t="e">
        <f t="shared" si="12"/>
        <v>#VALUE!</v>
      </c>
      <c r="M156" s="572" t="e">
        <f t="shared" si="12"/>
        <v>#VALUE!</v>
      </c>
      <c r="N156" s="572" t="e">
        <f t="shared" si="12"/>
        <v>#VALUE!</v>
      </c>
      <c r="O156" s="572" t="e">
        <f t="shared" si="12"/>
        <v>#VALUE!</v>
      </c>
      <c r="P156" s="572" t="e">
        <f t="shared" si="12"/>
        <v>#VALUE!</v>
      </c>
      <c r="Q156" s="572" t="e">
        <f t="shared" si="12"/>
        <v>#VALUE!</v>
      </c>
      <c r="R156" s="572" t="e">
        <f t="shared" si="12"/>
        <v>#VALUE!</v>
      </c>
      <c r="S156" s="572" t="e">
        <f t="shared" si="12"/>
        <v>#VALUE!</v>
      </c>
      <c r="T156" s="572" t="e">
        <f t="shared" si="12"/>
        <v>#VALUE!</v>
      </c>
      <c r="U156" s="572" t="e">
        <f t="shared" si="12"/>
        <v>#VALUE!</v>
      </c>
      <c r="V156" s="572" t="e">
        <f t="shared" si="12"/>
        <v>#VALUE!</v>
      </c>
      <c r="W156" s="572" t="e">
        <f t="shared" si="12"/>
        <v>#VALUE!</v>
      </c>
      <c r="X156" s="572">
        <f t="shared" si="12"/>
        <v>2.9960099863822061</v>
      </c>
      <c r="Y156" s="572">
        <f t="shared" si="12"/>
        <v>3.0950718132854562</v>
      </c>
      <c r="Z156" s="572">
        <f t="shared" si="12"/>
        <v>2.9272452504317785</v>
      </c>
      <c r="AA156" s="572">
        <f t="shared" si="12"/>
        <v>2.9270332480818415</v>
      </c>
      <c r="AB156" s="572">
        <f t="shared" si="12"/>
        <v>2.8028249336870035</v>
      </c>
      <c r="AC156" s="572">
        <f t="shared" si="12"/>
        <v>2.7855400000000015</v>
      </c>
      <c r="AD156" s="572">
        <f t="shared" si="12"/>
        <v>2.9088504577823011</v>
      </c>
      <c r="AE156" s="572">
        <f t="shared" si="12"/>
        <v>2.8629849340866294</v>
      </c>
      <c r="AF156" s="572">
        <f t="shared" si="12"/>
        <v>2.8687181738367005</v>
      </c>
      <c r="AG156" s="572">
        <f t="shared" si="12"/>
        <v>2.8983041474654372</v>
      </c>
      <c r="AH156" s="572">
        <f t="shared" si="12"/>
        <v>2.812607476635514</v>
      </c>
      <c r="AI156" s="572">
        <f t="shared" si="12"/>
        <v>2.8392768595041322</v>
      </c>
      <c r="AJ156" s="572">
        <f t="shared" si="12"/>
        <v>2.8793526785714265</v>
      </c>
      <c r="AK156" s="3"/>
      <c r="AL156" s="3"/>
    </row>
    <row r="157" spans="1:38" s="28" customFormat="1" x14ac:dyDescent="0.4">
      <c r="A157" s="1394" t="s">
        <v>563</v>
      </c>
      <c r="B157" s="532" t="s">
        <v>1320</v>
      </c>
      <c r="C157" s="572" t="e">
        <f t="shared" ref="C157:AJ157" si="13">C121*$B$370</f>
        <v>#VALUE!</v>
      </c>
      <c r="D157" s="572" t="e">
        <f t="shared" si="13"/>
        <v>#VALUE!</v>
      </c>
      <c r="E157" s="572" t="e">
        <f t="shared" si="13"/>
        <v>#VALUE!</v>
      </c>
      <c r="F157" s="572" t="e">
        <f t="shared" si="13"/>
        <v>#VALUE!</v>
      </c>
      <c r="G157" s="572" t="e">
        <f t="shared" si="13"/>
        <v>#VALUE!</v>
      </c>
      <c r="H157" s="572" t="e">
        <f t="shared" si="13"/>
        <v>#VALUE!</v>
      </c>
      <c r="I157" s="572" t="e">
        <f t="shared" si="13"/>
        <v>#VALUE!</v>
      </c>
      <c r="J157" s="572" t="e">
        <f t="shared" si="13"/>
        <v>#VALUE!</v>
      </c>
      <c r="K157" s="572" t="e">
        <f t="shared" si="13"/>
        <v>#VALUE!</v>
      </c>
      <c r="L157" s="572" t="e">
        <f t="shared" si="13"/>
        <v>#VALUE!</v>
      </c>
      <c r="M157" s="572" t="e">
        <f t="shared" si="13"/>
        <v>#VALUE!</v>
      </c>
      <c r="N157" s="572" t="e">
        <f t="shared" si="13"/>
        <v>#VALUE!</v>
      </c>
      <c r="O157" s="572" t="e">
        <f t="shared" si="13"/>
        <v>#VALUE!</v>
      </c>
      <c r="P157" s="572" t="e">
        <f t="shared" si="13"/>
        <v>#VALUE!</v>
      </c>
      <c r="Q157" s="572" t="e">
        <f t="shared" si="13"/>
        <v>#VALUE!</v>
      </c>
      <c r="R157" s="572" t="e">
        <f t="shared" si="13"/>
        <v>#VALUE!</v>
      </c>
      <c r="S157" s="572" t="e">
        <f t="shared" si="13"/>
        <v>#VALUE!</v>
      </c>
      <c r="T157" s="572" t="e">
        <f t="shared" si="13"/>
        <v>#VALUE!</v>
      </c>
      <c r="U157" s="572" t="e">
        <f t="shared" si="13"/>
        <v>#VALUE!</v>
      </c>
      <c r="V157" s="572" t="e">
        <f t="shared" si="13"/>
        <v>#VALUE!</v>
      </c>
      <c r="W157" s="572" t="e">
        <f t="shared" si="13"/>
        <v>#VALUE!</v>
      </c>
      <c r="X157" s="572">
        <f t="shared" si="13"/>
        <v>0.40335970274481603</v>
      </c>
      <c r="Y157" s="572">
        <f t="shared" si="13"/>
        <v>0.40895216150976493</v>
      </c>
      <c r="Z157" s="572">
        <f t="shared" si="13"/>
        <v>0.39945673028375239</v>
      </c>
      <c r="AA157" s="572">
        <f t="shared" si="13"/>
        <v>0.37903494623655964</v>
      </c>
      <c r="AB157" s="572">
        <f t="shared" si="13"/>
        <v>0.37350949628406299</v>
      </c>
      <c r="AC157" s="572">
        <f t="shared" si="13"/>
        <v>0.38048195991091349</v>
      </c>
      <c r="AD157" s="572">
        <f t="shared" si="13"/>
        <v>0.36755382681125276</v>
      </c>
      <c r="AE157" s="572">
        <f t="shared" si="13"/>
        <v>0.37310916732931959</v>
      </c>
      <c r="AF157" s="572">
        <f t="shared" si="13"/>
        <v>0.37650774093319755</v>
      </c>
      <c r="AG157" s="572">
        <f t="shared" si="13"/>
        <v>0.37348056537102498</v>
      </c>
      <c r="AH157" s="572">
        <f t="shared" si="13"/>
        <v>0.3618663368887523</v>
      </c>
      <c r="AI157" s="572">
        <f t="shared" si="13"/>
        <v>0.37557907204284507</v>
      </c>
      <c r="AJ157" s="572">
        <f t="shared" si="13"/>
        <v>0.37287934668071743</v>
      </c>
      <c r="AK157" s="3"/>
      <c r="AL157" s="3"/>
    </row>
    <row r="158" spans="1:38" s="28" customFormat="1" x14ac:dyDescent="0.4">
      <c r="A158" s="1394" t="s">
        <v>564</v>
      </c>
      <c r="B158" s="538" t="s">
        <v>1320</v>
      </c>
      <c r="C158" s="572" t="e">
        <f t="shared" ref="C158:AJ158" si="14">C122*$B$370</f>
        <v>#VALUE!</v>
      </c>
      <c r="D158" s="572" t="e">
        <f t="shared" si="14"/>
        <v>#VALUE!</v>
      </c>
      <c r="E158" s="572" t="e">
        <f t="shared" si="14"/>
        <v>#VALUE!</v>
      </c>
      <c r="F158" s="572" t="e">
        <f t="shared" si="14"/>
        <v>#VALUE!</v>
      </c>
      <c r="G158" s="572" t="e">
        <f t="shared" si="14"/>
        <v>#VALUE!</v>
      </c>
      <c r="H158" s="572" t="e">
        <f t="shared" si="14"/>
        <v>#VALUE!</v>
      </c>
      <c r="I158" s="572" t="e">
        <f t="shared" si="14"/>
        <v>#VALUE!</v>
      </c>
      <c r="J158" s="572" t="e">
        <f t="shared" si="14"/>
        <v>#VALUE!</v>
      </c>
      <c r="K158" s="572" t="e">
        <f t="shared" si="14"/>
        <v>#VALUE!</v>
      </c>
      <c r="L158" s="572" t="e">
        <f t="shared" si="14"/>
        <v>#VALUE!</v>
      </c>
      <c r="M158" s="572" t="e">
        <f t="shared" si="14"/>
        <v>#VALUE!</v>
      </c>
      <c r="N158" s="572" t="e">
        <f t="shared" si="14"/>
        <v>#VALUE!</v>
      </c>
      <c r="O158" s="572" t="e">
        <f t="shared" si="14"/>
        <v>#VALUE!</v>
      </c>
      <c r="P158" s="572" t="e">
        <f t="shared" si="14"/>
        <v>#VALUE!</v>
      </c>
      <c r="Q158" s="572" t="e">
        <f t="shared" si="14"/>
        <v>#VALUE!</v>
      </c>
      <c r="R158" s="572" t="e">
        <f t="shared" si="14"/>
        <v>#VALUE!</v>
      </c>
      <c r="S158" s="572" t="e">
        <f t="shared" si="14"/>
        <v>#VALUE!</v>
      </c>
      <c r="T158" s="572" t="e">
        <f t="shared" si="14"/>
        <v>#VALUE!</v>
      </c>
      <c r="U158" s="572" t="e">
        <f t="shared" si="14"/>
        <v>#VALUE!</v>
      </c>
      <c r="V158" s="572" t="e">
        <f t="shared" si="14"/>
        <v>#VALUE!</v>
      </c>
      <c r="W158" s="572" t="e">
        <f t="shared" si="14"/>
        <v>#VALUE!</v>
      </c>
      <c r="X158" s="572">
        <f t="shared" si="14"/>
        <v>0.26100931677018635</v>
      </c>
      <c r="Y158" s="572">
        <f t="shared" si="14"/>
        <v>0.24717045454545428</v>
      </c>
      <c r="Z158" s="572">
        <f t="shared" si="14"/>
        <v>0.23672112018669772</v>
      </c>
      <c r="AA158" s="572">
        <f t="shared" si="14"/>
        <v>0.21552875695732823</v>
      </c>
      <c r="AB158" s="572">
        <f t="shared" si="14"/>
        <v>0.22184898354307842</v>
      </c>
      <c r="AC158" s="572">
        <f t="shared" si="14"/>
        <v>0.22724284199363715</v>
      </c>
      <c r="AD158" s="572">
        <f t="shared" si="14"/>
        <v>0.218615107913669</v>
      </c>
      <c r="AE158" s="572">
        <f t="shared" si="14"/>
        <v>0.21755443886097134</v>
      </c>
      <c r="AF158" s="572">
        <f t="shared" si="14"/>
        <v>0.22055889939810822</v>
      </c>
      <c r="AG158" s="572">
        <f t="shared" si="14"/>
        <v>0.22530201342281853</v>
      </c>
      <c r="AH158" s="572">
        <f t="shared" si="14"/>
        <v>0.22122377622377612</v>
      </c>
      <c r="AI158" s="572">
        <f t="shared" si="14"/>
        <v>0.22164467005076136</v>
      </c>
      <c r="AJ158" s="572">
        <f t="shared" si="14"/>
        <v>0.21721025641025626</v>
      </c>
      <c r="AK158" s="3"/>
      <c r="AL158" s="3"/>
    </row>
    <row r="159" spans="1:38" s="28" customFormat="1" x14ac:dyDescent="0.4">
      <c r="A159" s="691" t="s">
        <v>1063</v>
      </c>
      <c r="B159" s="581"/>
      <c r="C159" s="581"/>
      <c r="D159" s="581"/>
      <c r="E159" s="581"/>
      <c r="F159" s="581"/>
      <c r="G159" s="581"/>
      <c r="H159" s="581"/>
      <c r="I159" s="581"/>
      <c r="J159" s="581"/>
      <c r="K159" s="581"/>
      <c r="L159" s="581"/>
      <c r="M159" s="581"/>
      <c r="N159" s="581"/>
      <c r="O159" s="581"/>
      <c r="P159" s="581"/>
      <c r="Q159" s="581"/>
      <c r="R159" s="581"/>
      <c r="S159" s="581"/>
      <c r="T159" s="581"/>
      <c r="U159" s="581"/>
      <c r="V159" s="581"/>
      <c r="W159" s="581"/>
      <c r="X159" s="581"/>
      <c r="Y159" s="581"/>
      <c r="Z159" s="581"/>
      <c r="AA159" s="581"/>
      <c r="AB159" s="581"/>
      <c r="AC159" s="581"/>
      <c r="AD159" s="581"/>
      <c r="AE159" s="581"/>
      <c r="AF159" s="581"/>
      <c r="AG159" s="581"/>
      <c r="AH159" s="581"/>
      <c r="AI159" s="581"/>
      <c r="AJ159" s="581"/>
      <c r="AK159" s="3"/>
      <c r="AL159" s="3"/>
    </row>
    <row r="160" spans="1:38" s="28" customFormat="1" x14ac:dyDescent="0.4">
      <c r="A160" s="581"/>
      <c r="B160" s="581"/>
      <c r="C160" s="571"/>
      <c r="D160" s="571"/>
      <c r="E160" s="571"/>
      <c r="F160" s="571"/>
      <c r="G160" s="571"/>
      <c r="H160" s="571"/>
      <c r="I160" s="571"/>
      <c r="J160" s="571"/>
      <c r="K160" s="571"/>
      <c r="L160" s="571"/>
      <c r="M160" s="571"/>
      <c r="N160" s="571"/>
      <c r="O160" s="571"/>
      <c r="P160" s="571"/>
      <c r="Q160" s="571"/>
      <c r="R160" s="571"/>
      <c r="S160" s="571"/>
      <c r="T160" s="571"/>
      <c r="U160" s="571"/>
      <c r="V160" s="571"/>
      <c r="W160" s="571"/>
      <c r="X160" s="571"/>
      <c r="Y160" s="571"/>
      <c r="Z160" s="571"/>
      <c r="AA160" s="571"/>
      <c r="AB160" s="571"/>
      <c r="AC160" s="571"/>
      <c r="AD160" s="571"/>
      <c r="AE160" s="571"/>
      <c r="AF160" s="571"/>
      <c r="AG160" s="571"/>
      <c r="AH160" s="571"/>
      <c r="AI160" s="571"/>
      <c r="AJ160" s="571"/>
      <c r="AK160" s="3"/>
      <c r="AL160" s="3"/>
    </row>
    <row r="161" spans="1:38" s="28" customFormat="1" ht="17" x14ac:dyDescent="0.45">
      <c r="A161" s="88" t="s">
        <v>1500</v>
      </c>
      <c r="B161" s="581"/>
      <c r="C161" s="571"/>
      <c r="D161" s="571"/>
      <c r="E161" s="571"/>
      <c r="F161" s="571"/>
      <c r="G161" s="571"/>
      <c r="H161" s="571"/>
      <c r="I161" s="571"/>
      <c r="J161" s="571"/>
      <c r="K161" s="571"/>
      <c r="L161" s="571"/>
      <c r="M161" s="571"/>
      <c r="N161" s="571"/>
      <c r="O161" s="571"/>
      <c r="P161" s="571"/>
      <c r="Q161" s="571"/>
      <c r="R161" s="571"/>
      <c r="S161" s="571"/>
      <c r="T161" s="571"/>
      <c r="U161" s="571"/>
      <c r="V161" s="571"/>
      <c r="W161" s="571"/>
      <c r="X161" s="571"/>
      <c r="Y161" s="571"/>
      <c r="Z161" s="571"/>
      <c r="AA161" s="571"/>
      <c r="AB161" s="571"/>
      <c r="AC161" s="571"/>
      <c r="AD161" s="571"/>
      <c r="AE161" s="571"/>
      <c r="AF161" s="571"/>
      <c r="AG161" s="571"/>
      <c r="AH161" s="571"/>
      <c r="AI161" s="571"/>
      <c r="AJ161" s="571"/>
      <c r="AK161" s="3"/>
      <c r="AL161" s="3"/>
    </row>
    <row r="162" spans="1:38" s="28" customFormat="1" ht="16" customHeight="1" x14ac:dyDescent="0.4">
      <c r="A162" s="1218" t="s">
        <v>805</v>
      </c>
      <c r="B162" s="1140" t="s">
        <v>136</v>
      </c>
      <c r="C162" s="1159" t="s">
        <v>391</v>
      </c>
      <c r="D162" s="1159" t="s">
        <v>392</v>
      </c>
      <c r="E162" s="1159" t="s">
        <v>393</v>
      </c>
      <c r="F162" s="1159" t="s">
        <v>394</v>
      </c>
      <c r="G162" s="1159" t="s">
        <v>395</v>
      </c>
      <c r="H162" s="1159" t="s">
        <v>396</v>
      </c>
      <c r="I162" s="1159" t="s">
        <v>397</v>
      </c>
      <c r="J162" s="1159" t="s">
        <v>398</v>
      </c>
      <c r="K162" s="1159" t="s">
        <v>399</v>
      </c>
      <c r="L162" s="1159" t="s">
        <v>400</v>
      </c>
      <c r="M162" s="1159" t="s">
        <v>401</v>
      </c>
      <c r="N162" s="1159" t="s">
        <v>402</v>
      </c>
      <c r="O162" s="1159" t="s">
        <v>403</v>
      </c>
      <c r="P162" s="1159" t="s">
        <v>404</v>
      </c>
      <c r="Q162" s="1159" t="s">
        <v>405</v>
      </c>
      <c r="R162" s="1159" t="s">
        <v>406</v>
      </c>
      <c r="S162" s="1159" t="s">
        <v>407</v>
      </c>
      <c r="T162" s="1159" t="s">
        <v>408</v>
      </c>
      <c r="U162" s="1159" t="s">
        <v>409</v>
      </c>
      <c r="V162" s="1159" t="s">
        <v>410</v>
      </c>
      <c r="W162" s="1159" t="s">
        <v>411</v>
      </c>
      <c r="X162" s="1159" t="s">
        <v>412</v>
      </c>
      <c r="Y162" s="1159" t="s">
        <v>413</v>
      </c>
      <c r="Z162" s="1159" t="s">
        <v>414</v>
      </c>
      <c r="AA162" s="1159" t="s">
        <v>415</v>
      </c>
      <c r="AB162" s="1159" t="s">
        <v>416</v>
      </c>
      <c r="AC162" s="1159" t="s">
        <v>417</v>
      </c>
      <c r="AD162" s="1159" t="s">
        <v>418</v>
      </c>
      <c r="AE162" s="1159" t="s">
        <v>419</v>
      </c>
      <c r="AF162" s="1159" t="s">
        <v>420</v>
      </c>
      <c r="AG162" s="1159" t="s">
        <v>421</v>
      </c>
      <c r="AH162" s="1159" t="s">
        <v>422</v>
      </c>
      <c r="AI162" s="1159" t="s">
        <v>423</v>
      </c>
      <c r="AJ162" s="1159" t="s">
        <v>424</v>
      </c>
      <c r="AK162" s="3"/>
      <c r="AL162" s="3"/>
    </row>
    <row r="163" spans="1:38" s="28" customFormat="1" x14ac:dyDescent="0.4">
      <c r="A163" s="643" t="s">
        <v>183</v>
      </c>
      <c r="B163" s="532" t="s">
        <v>1321</v>
      </c>
      <c r="C163" s="572">
        <f t="shared" ref="C163:AJ163" si="15">C127*$B$370</f>
        <v>6.0388235294117649</v>
      </c>
      <c r="D163" s="572">
        <f t="shared" si="15"/>
        <v>6.0388235294117649</v>
      </c>
      <c r="E163" s="572">
        <f t="shared" si="15"/>
        <v>6.038823529411764</v>
      </c>
      <c r="F163" s="572">
        <f t="shared" si="15"/>
        <v>6.038823529411764</v>
      </c>
      <c r="G163" s="572">
        <f t="shared" si="15"/>
        <v>6.038823529411764</v>
      </c>
      <c r="H163" s="572">
        <f t="shared" si="15"/>
        <v>6.0388235294117631</v>
      </c>
      <c r="I163" s="572">
        <f t="shared" si="15"/>
        <v>6.0388235294117649</v>
      </c>
      <c r="J163" s="572">
        <f t="shared" si="15"/>
        <v>6.038823529411764</v>
      </c>
      <c r="K163" s="572">
        <f t="shared" si="15"/>
        <v>6.038823529411764</v>
      </c>
      <c r="L163" s="572">
        <f t="shared" si="15"/>
        <v>6.038823529411764</v>
      </c>
      <c r="M163" s="572">
        <f t="shared" si="15"/>
        <v>6.0388235294117649</v>
      </c>
      <c r="N163" s="572">
        <f t="shared" si="15"/>
        <v>6.038823529411764</v>
      </c>
      <c r="O163" s="572">
        <f t="shared" si="15"/>
        <v>6.0388235294117631</v>
      </c>
      <c r="P163" s="572">
        <f t="shared" si="15"/>
        <v>6.0388235294117649</v>
      </c>
      <c r="Q163" s="572">
        <f t="shared" si="15"/>
        <v>6.0388235294117649</v>
      </c>
      <c r="R163" s="572">
        <f t="shared" si="15"/>
        <v>6.0388235294117649</v>
      </c>
      <c r="S163" s="572">
        <f t="shared" si="15"/>
        <v>6.0388235294117649</v>
      </c>
      <c r="T163" s="572">
        <f t="shared" si="15"/>
        <v>6.0388235294117649</v>
      </c>
      <c r="U163" s="572">
        <f t="shared" si="15"/>
        <v>6.0388235294117649</v>
      </c>
      <c r="V163" s="572">
        <f t="shared" si="15"/>
        <v>6.0388235294117649</v>
      </c>
      <c r="W163" s="572">
        <f t="shared" si="15"/>
        <v>6.038823529411764</v>
      </c>
      <c r="X163" s="572">
        <f t="shared" si="15"/>
        <v>6.038823529411764</v>
      </c>
      <c r="Y163" s="572">
        <f t="shared" si="15"/>
        <v>6.038823529411764</v>
      </c>
      <c r="Z163" s="572">
        <f t="shared" si="15"/>
        <v>6.038823529411764</v>
      </c>
      <c r="AA163" s="572">
        <f t="shared" si="15"/>
        <v>6.038823529411764</v>
      </c>
      <c r="AB163" s="572">
        <f t="shared" si="15"/>
        <v>6.038823529411764</v>
      </c>
      <c r="AC163" s="572">
        <f t="shared" si="15"/>
        <v>6.0388235294117649</v>
      </c>
      <c r="AD163" s="572">
        <f t="shared" si="15"/>
        <v>6.038823529411764</v>
      </c>
      <c r="AE163" s="572">
        <f t="shared" si="15"/>
        <v>5.5646666666666667</v>
      </c>
      <c r="AF163" s="572">
        <f t="shared" si="15"/>
        <v>9.0126666666666679</v>
      </c>
      <c r="AG163" s="572">
        <f t="shared" si="15"/>
        <v>16.635999999999999</v>
      </c>
      <c r="AH163" s="572">
        <f t="shared" si="15"/>
        <v>27.37</v>
      </c>
      <c r="AI163" s="572">
        <f t="shared" si="15"/>
        <v>33.417999999999999</v>
      </c>
      <c r="AJ163" s="572">
        <f t="shared" si="15"/>
        <v>31.02</v>
      </c>
      <c r="AK163" s="3"/>
      <c r="AL163" s="3"/>
    </row>
    <row r="164" spans="1:38" s="28" customFormat="1" x14ac:dyDescent="0.4">
      <c r="A164" s="645" t="s">
        <v>185</v>
      </c>
      <c r="B164" s="538" t="s">
        <v>1321</v>
      </c>
      <c r="C164" s="572">
        <f t="shared" ref="C164:AJ164" si="16">C128*$B$370</f>
        <v>83.954340000000016</v>
      </c>
      <c r="D164" s="572">
        <f t="shared" si="16"/>
        <v>83.954340000000002</v>
      </c>
      <c r="E164" s="572">
        <f t="shared" si="16"/>
        <v>83.954339999999988</v>
      </c>
      <c r="F164" s="572">
        <f t="shared" si="16"/>
        <v>83.954340000000002</v>
      </c>
      <c r="G164" s="572">
        <f t="shared" si="16"/>
        <v>83.954339999999988</v>
      </c>
      <c r="H164" s="572">
        <f t="shared" si="16"/>
        <v>83.954340000000002</v>
      </c>
      <c r="I164" s="572">
        <f t="shared" si="16"/>
        <v>83.954340000000002</v>
      </c>
      <c r="J164" s="572">
        <f t="shared" si="16"/>
        <v>83.954340000000002</v>
      </c>
      <c r="K164" s="572">
        <f t="shared" si="16"/>
        <v>83.954340000000002</v>
      </c>
      <c r="L164" s="572">
        <f t="shared" si="16"/>
        <v>83.954340000000002</v>
      </c>
      <c r="M164" s="572">
        <f t="shared" si="16"/>
        <v>83.954339999999988</v>
      </c>
      <c r="N164" s="572">
        <f t="shared" si="16"/>
        <v>83.954340000000002</v>
      </c>
      <c r="O164" s="572">
        <f t="shared" si="16"/>
        <v>83.954340000000002</v>
      </c>
      <c r="P164" s="572">
        <f t="shared" si="16"/>
        <v>83.954340000000002</v>
      </c>
      <c r="Q164" s="572">
        <f t="shared" si="16"/>
        <v>83.954340000000002</v>
      </c>
      <c r="R164" s="572">
        <f t="shared" si="16"/>
        <v>83.954340000000002</v>
      </c>
      <c r="S164" s="572">
        <f t="shared" si="16"/>
        <v>83.954340000000002</v>
      </c>
      <c r="T164" s="572">
        <f t="shared" si="16"/>
        <v>83.954340000000002</v>
      </c>
      <c r="U164" s="572">
        <f t="shared" si="16"/>
        <v>83.954340000000002</v>
      </c>
      <c r="V164" s="572">
        <f t="shared" si="16"/>
        <v>83.954340000000002</v>
      </c>
      <c r="W164" s="572">
        <f t="shared" si="16"/>
        <v>83.954340000000002</v>
      </c>
      <c r="X164" s="572">
        <f t="shared" si="16"/>
        <v>83.954340000000002</v>
      </c>
      <c r="Y164" s="572">
        <f t="shared" si="16"/>
        <v>83.954339999999988</v>
      </c>
      <c r="Z164" s="572">
        <f t="shared" si="16"/>
        <v>83.954339999999988</v>
      </c>
      <c r="AA164" s="572">
        <f t="shared" si="16"/>
        <v>83.954339999999988</v>
      </c>
      <c r="AB164" s="572">
        <f t="shared" si="16"/>
        <v>83.954339999999988</v>
      </c>
      <c r="AC164" s="572">
        <f t="shared" si="16"/>
        <v>83.954340000000002</v>
      </c>
      <c r="AD164" s="572">
        <f t="shared" si="16"/>
        <v>83.954340000000002</v>
      </c>
      <c r="AE164" s="572">
        <f t="shared" si="16"/>
        <v>83.954340000000002</v>
      </c>
      <c r="AF164" s="572">
        <f t="shared" si="16"/>
        <v>83.954339999999988</v>
      </c>
      <c r="AG164" s="572">
        <f t="shared" si="16"/>
        <v>83.954340000000002</v>
      </c>
      <c r="AH164" s="572">
        <f t="shared" si="16"/>
        <v>83.954340000000002</v>
      </c>
      <c r="AI164" s="572">
        <f t="shared" si="16"/>
        <v>83.954340000000002</v>
      </c>
      <c r="AJ164" s="572">
        <f t="shared" si="16"/>
        <v>83.954340000000016</v>
      </c>
      <c r="AK164" s="3"/>
      <c r="AL164" s="3"/>
    </row>
    <row r="165" spans="1:38" s="28" customFormat="1" x14ac:dyDescent="0.4">
      <c r="A165" s="581" t="s">
        <v>1063</v>
      </c>
      <c r="B165" s="581"/>
      <c r="C165" s="581"/>
      <c r="D165" s="581"/>
      <c r="E165" s="581"/>
      <c r="F165" s="581"/>
      <c r="G165" s="581"/>
      <c r="H165" s="581"/>
      <c r="I165" s="581"/>
      <c r="J165" s="581"/>
      <c r="K165" s="581"/>
      <c r="L165" s="581"/>
      <c r="M165" s="581"/>
      <c r="N165" s="581"/>
      <c r="O165" s="581"/>
      <c r="P165" s="581"/>
      <c r="Q165" s="581"/>
      <c r="R165" s="581"/>
      <c r="S165" s="581"/>
      <c r="T165" s="581"/>
      <c r="U165" s="581"/>
      <c r="V165" s="581"/>
      <c r="W165" s="581"/>
      <c r="X165" s="581"/>
      <c r="Y165" s="581"/>
      <c r="Z165" s="581"/>
      <c r="AA165" s="581"/>
      <c r="AB165" s="581"/>
      <c r="AC165" s="581"/>
      <c r="AD165" s="581"/>
      <c r="AE165" s="581"/>
      <c r="AF165" s="581"/>
      <c r="AG165" s="581"/>
      <c r="AH165" s="581"/>
      <c r="AI165" s="581"/>
      <c r="AJ165" s="581"/>
      <c r="AK165" s="3"/>
      <c r="AL165" s="3"/>
    </row>
    <row r="166" spans="1:38" s="28" customFormat="1" x14ac:dyDescent="0.4">
      <c r="A166" s="581"/>
      <c r="B166" s="581"/>
      <c r="C166" s="571"/>
      <c r="D166" s="571"/>
      <c r="E166" s="571"/>
      <c r="F166" s="571"/>
      <c r="G166" s="571"/>
      <c r="H166" s="571"/>
      <c r="I166" s="571"/>
      <c r="J166" s="571"/>
      <c r="K166" s="571"/>
      <c r="L166" s="571"/>
      <c r="M166" s="571"/>
      <c r="N166" s="571"/>
      <c r="O166" s="571"/>
      <c r="P166" s="571"/>
      <c r="Q166" s="571"/>
      <c r="R166" s="571"/>
      <c r="S166" s="571"/>
      <c r="T166" s="571"/>
      <c r="U166" s="571"/>
      <c r="V166" s="571"/>
      <c r="W166" s="571"/>
      <c r="X166" s="571"/>
      <c r="Y166" s="571"/>
      <c r="Z166" s="571"/>
      <c r="AA166" s="571"/>
      <c r="AB166" s="571"/>
      <c r="AC166" s="571"/>
      <c r="AD166" s="571"/>
      <c r="AE166" s="571"/>
      <c r="AF166" s="571"/>
      <c r="AG166" s="571"/>
      <c r="AH166" s="571"/>
      <c r="AI166" s="571"/>
      <c r="AJ166" s="571"/>
      <c r="AK166" s="3"/>
      <c r="AL166" s="3"/>
    </row>
    <row r="167" spans="1:38" s="28" customFormat="1" ht="17" x14ac:dyDescent="0.45">
      <c r="A167" s="88" t="s">
        <v>1501</v>
      </c>
      <c r="B167" s="581"/>
      <c r="C167" s="571"/>
      <c r="D167" s="571"/>
      <c r="E167" s="571"/>
      <c r="F167" s="571"/>
      <c r="G167" s="571"/>
      <c r="H167" s="571"/>
      <c r="I167" s="571"/>
      <c r="J167" s="571"/>
      <c r="K167" s="571"/>
      <c r="L167" s="571"/>
      <c r="M167" s="571"/>
      <c r="N167" s="571"/>
      <c r="O167" s="571"/>
      <c r="P167" s="571"/>
      <c r="Q167" s="571"/>
      <c r="R167" s="571"/>
      <c r="S167" s="571"/>
      <c r="T167" s="571"/>
      <c r="U167" s="571"/>
      <c r="V167" s="571"/>
      <c r="W167" s="571"/>
      <c r="X167" s="571"/>
      <c r="Y167" s="571"/>
      <c r="Z167" s="571"/>
      <c r="AA167" s="571"/>
      <c r="AB167" s="571"/>
      <c r="AC167" s="571"/>
      <c r="AD167" s="571"/>
      <c r="AE167" s="571"/>
      <c r="AF167" s="571"/>
      <c r="AG167" s="571"/>
      <c r="AH167" s="571"/>
      <c r="AI167" s="571"/>
      <c r="AJ167" s="571"/>
      <c r="AK167" s="3"/>
      <c r="AL167" s="3"/>
    </row>
    <row r="168" spans="1:38" s="28" customFormat="1" ht="16" customHeight="1" x14ac:dyDescent="0.4">
      <c r="A168" s="1218" t="s">
        <v>806</v>
      </c>
      <c r="B168" s="1140" t="s">
        <v>136</v>
      </c>
      <c r="C168" s="1159" t="s">
        <v>391</v>
      </c>
      <c r="D168" s="1159" t="s">
        <v>392</v>
      </c>
      <c r="E168" s="1159" t="s">
        <v>393</v>
      </c>
      <c r="F168" s="1159" t="s">
        <v>394</v>
      </c>
      <c r="G168" s="1159" t="s">
        <v>395</v>
      </c>
      <c r="H168" s="1159" t="s">
        <v>396</v>
      </c>
      <c r="I168" s="1159" t="s">
        <v>397</v>
      </c>
      <c r="J168" s="1159" t="s">
        <v>398</v>
      </c>
      <c r="K168" s="1159" t="s">
        <v>399</v>
      </c>
      <c r="L168" s="1159" t="s">
        <v>400</v>
      </c>
      <c r="M168" s="1159" t="s">
        <v>401</v>
      </c>
      <c r="N168" s="1159" t="s">
        <v>402</v>
      </c>
      <c r="O168" s="1159" t="s">
        <v>403</v>
      </c>
      <c r="P168" s="1159" t="s">
        <v>404</v>
      </c>
      <c r="Q168" s="1159" t="s">
        <v>405</v>
      </c>
      <c r="R168" s="1159" t="s">
        <v>406</v>
      </c>
      <c r="S168" s="1159" t="s">
        <v>407</v>
      </c>
      <c r="T168" s="1159" t="s">
        <v>408</v>
      </c>
      <c r="U168" s="1159" t="s">
        <v>409</v>
      </c>
      <c r="V168" s="1159" t="s">
        <v>410</v>
      </c>
      <c r="W168" s="1159" t="s">
        <v>411</v>
      </c>
      <c r="X168" s="1159" t="s">
        <v>412</v>
      </c>
      <c r="Y168" s="1159" t="s">
        <v>413</v>
      </c>
      <c r="Z168" s="1159" t="s">
        <v>414</v>
      </c>
      <c r="AA168" s="1159" t="s">
        <v>415</v>
      </c>
      <c r="AB168" s="1159" t="s">
        <v>416</v>
      </c>
      <c r="AC168" s="1159" t="s">
        <v>417</v>
      </c>
      <c r="AD168" s="1159" t="s">
        <v>418</v>
      </c>
      <c r="AE168" s="1159" t="s">
        <v>419</v>
      </c>
      <c r="AF168" s="1159" t="s">
        <v>420</v>
      </c>
      <c r="AG168" s="1159" t="s">
        <v>421</v>
      </c>
      <c r="AH168" s="1159" t="s">
        <v>422</v>
      </c>
      <c r="AI168" s="1159" t="s">
        <v>423</v>
      </c>
      <c r="AJ168" s="1159" t="s">
        <v>424</v>
      </c>
      <c r="AK168" s="3"/>
      <c r="AL168" s="3"/>
    </row>
    <row r="169" spans="1:38" s="28" customFormat="1" x14ac:dyDescent="0.4">
      <c r="A169" s="644" t="s">
        <v>187</v>
      </c>
      <c r="B169" s="533" t="s">
        <v>1322</v>
      </c>
      <c r="C169" s="572">
        <f t="shared" ref="C169:AJ169" si="17">C133*$B$370</f>
        <v>57.731333333333332</v>
      </c>
      <c r="D169" s="572">
        <f t="shared" si="17"/>
        <v>66.609230769230777</v>
      </c>
      <c r="E169" s="572">
        <f t="shared" si="17"/>
        <v>66.609230769230777</v>
      </c>
      <c r="F169" s="572">
        <f t="shared" si="17"/>
        <v>66.609230769230777</v>
      </c>
      <c r="G169" s="572">
        <f t="shared" si="17"/>
        <v>66.609230769230777</v>
      </c>
      <c r="H169" s="572">
        <f t="shared" si="17"/>
        <v>66.609230769230777</v>
      </c>
      <c r="I169" s="572">
        <f t="shared" si="17"/>
        <v>66.609230769230777</v>
      </c>
      <c r="J169" s="572">
        <f t="shared" si="17"/>
        <v>66.609230769230777</v>
      </c>
      <c r="K169" s="572">
        <f t="shared" si="17"/>
        <v>66.609230769230777</v>
      </c>
      <c r="L169" s="572">
        <f t="shared" si="17"/>
        <v>66.609230769230777</v>
      </c>
      <c r="M169" s="572">
        <f t="shared" si="17"/>
        <v>66.609230769230777</v>
      </c>
      <c r="N169" s="572">
        <f t="shared" si="17"/>
        <v>66.609230769230763</v>
      </c>
      <c r="O169" s="572">
        <f t="shared" si="17"/>
        <v>66.609230769230763</v>
      </c>
      <c r="P169" s="572">
        <f t="shared" si="17"/>
        <v>66.609230769230777</v>
      </c>
      <c r="Q169" s="572">
        <f t="shared" si="17"/>
        <v>66.609230769230777</v>
      </c>
      <c r="R169" s="572">
        <f t="shared" si="17"/>
        <v>66.609230769230777</v>
      </c>
      <c r="S169" s="572">
        <f t="shared" si="17"/>
        <v>66.609230769230777</v>
      </c>
      <c r="T169" s="572">
        <f t="shared" si="17"/>
        <v>66.609230769230777</v>
      </c>
      <c r="U169" s="572">
        <f t="shared" si="17"/>
        <v>66.609230769230777</v>
      </c>
      <c r="V169" s="572">
        <f t="shared" si="17"/>
        <v>66.609230769230777</v>
      </c>
      <c r="W169" s="572">
        <f t="shared" si="17"/>
        <v>66.609230769230777</v>
      </c>
      <c r="X169" s="572">
        <f t="shared" si="17"/>
        <v>66.609230769230777</v>
      </c>
      <c r="Y169" s="572">
        <f t="shared" si="17"/>
        <v>66.609230769230777</v>
      </c>
      <c r="Z169" s="572">
        <f t="shared" si="17"/>
        <v>66.609230769230777</v>
      </c>
      <c r="AA169" s="572">
        <f t="shared" si="17"/>
        <v>66.609230769230777</v>
      </c>
      <c r="AB169" s="572">
        <f t="shared" si="17"/>
        <v>66.609230769230763</v>
      </c>
      <c r="AC169" s="572">
        <f t="shared" si="17"/>
        <v>66.609230769230777</v>
      </c>
      <c r="AD169" s="572">
        <f t="shared" si="17"/>
        <v>66.609230769230777</v>
      </c>
      <c r="AE169" s="572">
        <f t="shared" si="17"/>
        <v>32.488333333333337</v>
      </c>
      <c r="AF169" s="572">
        <f t="shared" si="17"/>
        <v>30.825833333333328</v>
      </c>
      <c r="AG169" s="572">
        <f t="shared" si="17"/>
        <v>19.260909090909088</v>
      </c>
      <c r="AH169" s="572">
        <f t="shared" si="17"/>
        <v>11.822222222222221</v>
      </c>
      <c r="AI169" s="572">
        <f t="shared" si="17"/>
        <v>21.915714285714294</v>
      </c>
      <c r="AJ169" s="572">
        <f t="shared" si="17"/>
        <v>24.281428571428577</v>
      </c>
      <c r="AK169" s="3"/>
      <c r="AL169" s="3"/>
    </row>
    <row r="170" spans="1:38" s="28" customFormat="1" x14ac:dyDescent="0.4">
      <c r="A170" s="645" t="s">
        <v>189</v>
      </c>
      <c r="B170" s="535" t="s">
        <v>1322</v>
      </c>
      <c r="C170" s="572">
        <f t="shared" ref="C170:AJ170" si="18">C134*$B$370</f>
        <v>1229.556</v>
      </c>
      <c r="D170" s="572">
        <f t="shared" si="18"/>
        <v>1418.6699999999998</v>
      </c>
      <c r="E170" s="572">
        <f t="shared" si="18"/>
        <v>1418.6699999999998</v>
      </c>
      <c r="F170" s="572">
        <f t="shared" si="18"/>
        <v>1418.6699999999998</v>
      </c>
      <c r="G170" s="572">
        <f t="shared" si="18"/>
        <v>1418.6699999999998</v>
      </c>
      <c r="H170" s="572">
        <f t="shared" si="18"/>
        <v>1418.6699999999998</v>
      </c>
      <c r="I170" s="572">
        <f t="shared" si="18"/>
        <v>1418.6699999999998</v>
      </c>
      <c r="J170" s="572">
        <f t="shared" si="18"/>
        <v>1418.6699999999998</v>
      </c>
      <c r="K170" s="572">
        <f t="shared" si="18"/>
        <v>1418.6699999999998</v>
      </c>
      <c r="L170" s="572">
        <f t="shared" si="18"/>
        <v>1418.6699999999998</v>
      </c>
      <c r="M170" s="572">
        <f t="shared" si="18"/>
        <v>1418.6699999999998</v>
      </c>
      <c r="N170" s="572">
        <f t="shared" si="18"/>
        <v>1418.6699999999998</v>
      </c>
      <c r="O170" s="572">
        <f t="shared" si="18"/>
        <v>1418.6699999999998</v>
      </c>
      <c r="P170" s="572">
        <f t="shared" si="18"/>
        <v>1418.6699999999998</v>
      </c>
      <c r="Q170" s="572">
        <f t="shared" si="18"/>
        <v>1418.6699999999998</v>
      </c>
      <c r="R170" s="572">
        <f t="shared" si="18"/>
        <v>1418.6699999999998</v>
      </c>
      <c r="S170" s="572">
        <f t="shared" si="18"/>
        <v>1418.6699999999998</v>
      </c>
      <c r="T170" s="572">
        <f t="shared" si="18"/>
        <v>1418.6699999999998</v>
      </c>
      <c r="U170" s="572">
        <f t="shared" si="18"/>
        <v>1418.6699999999998</v>
      </c>
      <c r="V170" s="572">
        <f t="shared" si="18"/>
        <v>1418.6699999999998</v>
      </c>
      <c r="W170" s="572">
        <f t="shared" si="18"/>
        <v>1418.6699999999998</v>
      </c>
      <c r="X170" s="572">
        <f t="shared" si="18"/>
        <v>1418.67</v>
      </c>
      <c r="Y170" s="572">
        <f t="shared" si="18"/>
        <v>1418.6699999999998</v>
      </c>
      <c r="Z170" s="572">
        <f t="shared" si="18"/>
        <v>1418.6699999999998</v>
      </c>
      <c r="AA170" s="572">
        <f t="shared" si="18"/>
        <v>1418.6699999999998</v>
      </c>
      <c r="AB170" s="572">
        <f t="shared" si="18"/>
        <v>1418.6699999999998</v>
      </c>
      <c r="AC170" s="572">
        <f t="shared" si="18"/>
        <v>1418.6699999999998</v>
      </c>
      <c r="AD170" s="572">
        <f t="shared" si="18"/>
        <v>1418.6699999999998</v>
      </c>
      <c r="AE170" s="572">
        <f t="shared" si="18"/>
        <v>1533.8133333333333</v>
      </c>
      <c r="AF170" s="572">
        <f t="shared" si="18"/>
        <v>58.968333333333334</v>
      </c>
      <c r="AG170" s="572">
        <f t="shared" si="18"/>
        <v>28.554545454545451</v>
      </c>
      <c r="AH170" s="572">
        <f t="shared" si="18"/>
        <v>1.0333333333333335E-2</v>
      </c>
      <c r="AI170" s="572">
        <f t="shared" si="18"/>
        <v>1.3571428571428571E-2</v>
      </c>
      <c r="AJ170" s="572">
        <f t="shared" si="18"/>
        <v>1.2571428571428572E-2</v>
      </c>
      <c r="AK170" s="3"/>
      <c r="AL170" s="3"/>
    </row>
    <row r="171" spans="1:38" s="28" customFormat="1" x14ac:dyDescent="0.4">
      <c r="A171" s="570" t="s">
        <v>1063</v>
      </c>
      <c r="B171" s="581"/>
      <c r="C171" s="581"/>
      <c r="D171" s="581"/>
      <c r="E171" s="581"/>
      <c r="F171" s="581"/>
      <c r="G171" s="581"/>
      <c r="H171" s="581"/>
      <c r="I171" s="581"/>
      <c r="J171" s="581"/>
      <c r="K171" s="581"/>
      <c r="L171" s="581"/>
      <c r="M171" s="581"/>
      <c r="N171" s="581"/>
      <c r="O171" s="581"/>
      <c r="P171" s="581"/>
      <c r="Q171" s="581"/>
      <c r="R171" s="581"/>
      <c r="S171" s="581"/>
      <c r="T171" s="581"/>
      <c r="U171" s="581"/>
      <c r="V171" s="581"/>
      <c r="W171" s="581"/>
      <c r="X171" s="581"/>
      <c r="Y171" s="581"/>
      <c r="Z171" s="581"/>
      <c r="AA171" s="581"/>
      <c r="AB171" s="581"/>
      <c r="AC171" s="581"/>
      <c r="AD171" s="581"/>
      <c r="AE171" s="581"/>
      <c r="AF171" s="581"/>
      <c r="AG171" s="581"/>
      <c r="AH171" s="581"/>
      <c r="AI171" s="581"/>
      <c r="AJ171" s="581"/>
      <c r="AK171" s="3"/>
      <c r="AL171" s="3"/>
    </row>
    <row r="172" spans="1:38" s="28" customFormat="1" x14ac:dyDescent="0.4">
      <c r="A172" s="581"/>
      <c r="B172" s="581"/>
      <c r="C172" s="89"/>
      <c r="D172" s="89"/>
      <c r="E172" s="89"/>
      <c r="F172" s="89"/>
      <c r="G172" s="89"/>
      <c r="H172" s="89"/>
      <c r="I172" s="89"/>
      <c r="J172" s="89"/>
      <c r="K172" s="89"/>
      <c r="L172" s="89"/>
      <c r="M172" s="89"/>
      <c r="N172" s="89"/>
      <c r="O172" s="89"/>
      <c r="P172" s="89"/>
      <c r="Q172" s="89"/>
      <c r="R172" s="89"/>
      <c r="S172" s="89"/>
      <c r="T172" s="89"/>
      <c r="U172" s="89"/>
      <c r="V172" s="89"/>
      <c r="W172" s="89"/>
      <c r="X172" s="89"/>
      <c r="Y172" s="89"/>
      <c r="Z172" s="89"/>
      <c r="AA172" s="89"/>
      <c r="AB172" s="89"/>
      <c r="AC172" s="89"/>
      <c r="AD172" s="89"/>
      <c r="AE172" s="89"/>
      <c r="AF172" s="89"/>
      <c r="AG172" s="89"/>
      <c r="AH172" s="89"/>
      <c r="AI172" s="89"/>
      <c r="AJ172" s="89"/>
      <c r="AK172" s="3"/>
      <c r="AL172" s="3"/>
    </row>
    <row r="173" spans="1:38" s="1156" customFormat="1" ht="18.5" x14ac:dyDescent="0.45">
      <c r="A173" s="90" t="s">
        <v>1503</v>
      </c>
      <c r="B173" s="1154"/>
      <c r="C173" s="1155"/>
      <c r="D173" s="1155"/>
      <c r="E173" s="1155"/>
      <c r="F173" s="1155"/>
      <c r="G173" s="1155"/>
      <c r="H173" s="1155"/>
      <c r="I173" s="1155"/>
      <c r="J173" s="1155"/>
      <c r="K173" s="1155"/>
      <c r="L173" s="1155"/>
      <c r="M173" s="1155"/>
      <c r="N173" s="1155"/>
      <c r="O173" s="1155"/>
      <c r="P173" s="1155"/>
      <c r="Q173" s="1155"/>
      <c r="R173" s="1155"/>
      <c r="S173" s="1155"/>
      <c r="T173" s="1155"/>
      <c r="U173" s="1155"/>
      <c r="V173" s="1155"/>
      <c r="W173" s="1155"/>
      <c r="X173" s="1155"/>
      <c r="Y173" s="1155"/>
      <c r="Z173" s="1155"/>
      <c r="AA173" s="1155"/>
      <c r="AB173" s="1155"/>
      <c r="AC173" s="1155"/>
      <c r="AD173" s="1155"/>
      <c r="AE173" s="1155"/>
      <c r="AF173" s="1155"/>
      <c r="AG173" s="1155"/>
      <c r="AH173" s="1155"/>
      <c r="AI173" s="1155"/>
      <c r="AJ173" s="1155"/>
      <c r="AK173" s="3"/>
      <c r="AL173" s="3"/>
    </row>
    <row r="174" spans="1:38" s="1156" customFormat="1" ht="18.5" x14ac:dyDescent="0.45">
      <c r="A174" s="88" t="s">
        <v>1502</v>
      </c>
      <c r="B174" s="1154"/>
      <c r="C174" s="1155"/>
      <c r="D174" s="1155"/>
      <c r="E174" s="1155"/>
      <c r="F174" s="1155"/>
      <c r="G174" s="1155"/>
      <c r="H174" s="1155"/>
      <c r="I174" s="1155"/>
      <c r="J174" s="1155"/>
      <c r="K174" s="1155"/>
      <c r="L174" s="1155"/>
      <c r="M174" s="1155"/>
      <c r="N174" s="1155"/>
      <c r="O174" s="1155"/>
      <c r="P174" s="1155"/>
      <c r="Q174" s="1155"/>
      <c r="R174" s="1155"/>
      <c r="S174" s="1155"/>
      <c r="T174" s="1155"/>
      <c r="U174" s="1155"/>
      <c r="V174" s="1155"/>
      <c r="W174" s="1155"/>
      <c r="X174" s="1155"/>
      <c r="Y174" s="1155"/>
      <c r="Z174" s="1155"/>
      <c r="AA174" s="1155"/>
      <c r="AB174" s="1155"/>
      <c r="AC174" s="1155"/>
      <c r="AD174" s="1155"/>
      <c r="AE174" s="1155"/>
      <c r="AF174" s="1155"/>
      <c r="AG174" s="1155"/>
      <c r="AH174" s="1155"/>
      <c r="AI174" s="1155"/>
      <c r="AJ174" s="1155"/>
      <c r="AK174" s="3"/>
      <c r="AL174" s="3"/>
    </row>
    <row r="175" spans="1:38" s="28" customFormat="1" x14ac:dyDescent="0.4">
      <c r="A175" s="1218" t="s">
        <v>804</v>
      </c>
      <c r="B175" s="88" t="s">
        <v>136</v>
      </c>
      <c r="C175" s="230" t="s">
        <v>391</v>
      </c>
      <c r="D175" s="230" t="s">
        <v>392</v>
      </c>
      <c r="E175" s="230" t="s">
        <v>393</v>
      </c>
      <c r="F175" s="230" t="s">
        <v>394</v>
      </c>
      <c r="G175" s="230" t="s">
        <v>395</v>
      </c>
      <c r="H175" s="230" t="s">
        <v>396</v>
      </c>
      <c r="I175" s="230" t="s">
        <v>397</v>
      </c>
      <c r="J175" s="230" t="s">
        <v>398</v>
      </c>
      <c r="K175" s="230" t="s">
        <v>399</v>
      </c>
      <c r="L175" s="230" t="s">
        <v>400</v>
      </c>
      <c r="M175" s="230" t="s">
        <v>401</v>
      </c>
      <c r="N175" s="230" t="s">
        <v>402</v>
      </c>
      <c r="O175" s="230" t="s">
        <v>403</v>
      </c>
      <c r="P175" s="230" t="s">
        <v>404</v>
      </c>
      <c r="Q175" s="230" t="s">
        <v>405</v>
      </c>
      <c r="R175" s="230" t="s">
        <v>406</v>
      </c>
      <c r="S175" s="230" t="s">
        <v>407</v>
      </c>
      <c r="T175" s="230" t="s">
        <v>408</v>
      </c>
      <c r="U175" s="230" t="s">
        <v>409</v>
      </c>
      <c r="V175" s="230" t="s">
        <v>410</v>
      </c>
      <c r="W175" s="230" t="s">
        <v>411</v>
      </c>
      <c r="X175" s="230" t="s">
        <v>412</v>
      </c>
      <c r="Y175" s="230" t="s">
        <v>413</v>
      </c>
      <c r="Z175" s="230" t="s">
        <v>414</v>
      </c>
      <c r="AA175" s="230" t="s">
        <v>415</v>
      </c>
      <c r="AB175" s="230" t="s">
        <v>416</v>
      </c>
      <c r="AC175" s="230" t="s">
        <v>417</v>
      </c>
      <c r="AD175" s="230" t="s">
        <v>418</v>
      </c>
      <c r="AE175" s="230" t="s">
        <v>419</v>
      </c>
      <c r="AF175" s="230" t="s">
        <v>420</v>
      </c>
      <c r="AG175" s="230" t="s">
        <v>421</v>
      </c>
      <c r="AH175" s="230" t="s">
        <v>422</v>
      </c>
      <c r="AI175" s="230" t="s">
        <v>423</v>
      </c>
      <c r="AJ175" s="230" t="s">
        <v>424</v>
      </c>
      <c r="AK175" s="3"/>
      <c r="AL175" s="3"/>
    </row>
    <row r="176" spans="1:38" s="28" customFormat="1" ht="17" x14ac:dyDescent="0.4">
      <c r="A176" s="533" t="s">
        <v>169</v>
      </c>
      <c r="B176" s="1474" t="s">
        <v>1389</v>
      </c>
      <c r="C176" s="565">
        <f t="shared" ref="C176:AJ176" si="19">C54*C139</f>
        <v>10.104725790885766</v>
      </c>
      <c r="D176" s="565">
        <f t="shared" si="19"/>
        <v>10.206319250188725</v>
      </c>
      <c r="E176" s="565">
        <f t="shared" si="19"/>
        <v>10.211781264129744</v>
      </c>
      <c r="F176" s="565">
        <f t="shared" si="19"/>
        <v>10.272955820269161</v>
      </c>
      <c r="G176" s="565">
        <f t="shared" si="19"/>
        <v>10.304635501127073</v>
      </c>
      <c r="H176" s="565">
        <f t="shared" si="19"/>
        <v>10.315559529009111</v>
      </c>
      <c r="I176" s="565">
        <f t="shared" si="19"/>
        <v>10.567904573084206</v>
      </c>
      <c r="J176" s="565">
        <f t="shared" si="19"/>
        <v>10.55807294799037</v>
      </c>
      <c r="K176" s="565">
        <f t="shared" si="19"/>
        <v>10.650927184987699</v>
      </c>
      <c r="L176" s="565">
        <f t="shared" si="19"/>
        <v>10.825046540443779</v>
      </c>
      <c r="M176" s="565">
        <f t="shared" si="19"/>
        <v>10.879666679853971</v>
      </c>
      <c r="N176" s="565">
        <f t="shared" si="19"/>
        <v>11.360988997320213</v>
      </c>
      <c r="O176" s="565">
        <f t="shared" si="19"/>
        <v>11.51534551129342</v>
      </c>
      <c r="P176" s="565">
        <f t="shared" si="19"/>
        <v>11.484255727941138</v>
      </c>
      <c r="Q176" s="565">
        <f t="shared" si="19"/>
        <v>11.972734558714377</v>
      </c>
      <c r="R176" s="565">
        <f t="shared" si="19"/>
        <v>12.019270917491861</v>
      </c>
      <c r="S176" s="565">
        <f t="shared" si="19"/>
        <v>11.948046255700969</v>
      </c>
      <c r="T176" s="565">
        <f t="shared" si="19"/>
        <v>12.130805242167476</v>
      </c>
      <c r="U176" s="565">
        <f t="shared" si="19"/>
        <v>12.122830701813585</v>
      </c>
      <c r="V176" s="565">
        <f t="shared" si="19"/>
        <v>12.161392520237186</v>
      </c>
      <c r="W176" s="565">
        <f t="shared" si="19"/>
        <v>11.70509587560443</v>
      </c>
      <c r="X176" s="565">
        <f t="shared" si="19"/>
        <v>12.291279211754627</v>
      </c>
      <c r="Y176" s="565">
        <f t="shared" si="19"/>
        <v>12.291388452033443</v>
      </c>
      <c r="Z176" s="565">
        <f t="shared" si="19"/>
        <v>12.336723167743905</v>
      </c>
      <c r="AA176" s="565">
        <f t="shared" si="19"/>
        <v>12.337007192468839</v>
      </c>
      <c r="AB176" s="565">
        <f t="shared" si="19"/>
        <v>12.348411877577686</v>
      </c>
      <c r="AC176" s="565">
        <f t="shared" si="19"/>
        <v>12.399208607229165</v>
      </c>
      <c r="AD176" s="565">
        <f t="shared" si="19"/>
        <v>12.375601782976078</v>
      </c>
      <c r="AE176" s="565">
        <f t="shared" si="19"/>
        <v>12.383248602493506</v>
      </c>
      <c r="AF176" s="565">
        <f t="shared" si="19"/>
        <v>12.320326201892966</v>
      </c>
      <c r="AG176" s="565">
        <f t="shared" si="19"/>
        <v>12.347745511876882</v>
      </c>
      <c r="AH176" s="565">
        <f t="shared" si="19"/>
        <v>12.353426006375544</v>
      </c>
      <c r="AI176" s="565">
        <f t="shared" si="19"/>
        <v>12.324488256516023</v>
      </c>
      <c r="AJ176" s="565">
        <f t="shared" si="19"/>
        <v>12.311379423057614</v>
      </c>
      <c r="AK176" s="3"/>
      <c r="AL176" s="3"/>
    </row>
    <row r="177" spans="1:38" s="28" customFormat="1" ht="17" x14ac:dyDescent="0.4">
      <c r="A177" s="579" t="s">
        <v>548</v>
      </c>
      <c r="B177" s="1474" t="s">
        <v>1389</v>
      </c>
      <c r="C177" s="592">
        <f t="shared" ref="C177:AB177" si="20">C54*C140</f>
        <v>563.86057500000004</v>
      </c>
      <c r="D177" s="592">
        <f t="shared" si="20"/>
        <v>569.52965969999991</v>
      </c>
      <c r="E177" s="592">
        <f t="shared" si="20"/>
        <v>569.83444920000011</v>
      </c>
      <c r="F177" s="592">
        <f t="shared" si="20"/>
        <v>573.24809159999995</v>
      </c>
      <c r="G177" s="592">
        <f t="shared" si="20"/>
        <v>575.01587069999994</v>
      </c>
      <c r="H177" s="592">
        <f t="shared" si="20"/>
        <v>575.62544969999988</v>
      </c>
      <c r="I177" s="592">
        <f t="shared" si="20"/>
        <v>589.70672459999992</v>
      </c>
      <c r="J177" s="592">
        <f t="shared" si="20"/>
        <v>589.15810350000004</v>
      </c>
      <c r="K177" s="592">
        <f t="shared" si="20"/>
        <v>594.33952499999998</v>
      </c>
      <c r="L177" s="592">
        <f t="shared" si="20"/>
        <v>604.0556758305994</v>
      </c>
      <c r="M177" s="592">
        <f t="shared" si="20"/>
        <v>607.10357083059944</v>
      </c>
      <c r="N177" s="592">
        <f t="shared" si="20"/>
        <v>633.96215999999993</v>
      </c>
      <c r="O177" s="592">
        <f t="shared" si="20"/>
        <v>642.57551127000022</v>
      </c>
      <c r="P177" s="592">
        <f t="shared" si="20"/>
        <v>640.84064943599992</v>
      </c>
      <c r="Q177" s="592">
        <f t="shared" si="20"/>
        <v>668.09858399999996</v>
      </c>
      <c r="R177" s="592">
        <f t="shared" si="20"/>
        <v>670.69539053999995</v>
      </c>
      <c r="S177" s="592">
        <f t="shared" si="20"/>
        <v>666.72093545999985</v>
      </c>
      <c r="T177" s="592">
        <f t="shared" si="20"/>
        <v>676.91919212999983</v>
      </c>
      <c r="U177" s="592">
        <f t="shared" si="20"/>
        <v>676.4741994599998</v>
      </c>
      <c r="V177" s="592">
        <f t="shared" si="20"/>
        <v>678.62601332999998</v>
      </c>
      <c r="W177" s="592">
        <f t="shared" si="20"/>
        <v>653.16389849999996</v>
      </c>
      <c r="X177" s="592">
        <f t="shared" si="20"/>
        <v>685.87390764000008</v>
      </c>
      <c r="Y177" s="592">
        <f t="shared" si="20"/>
        <v>685.88000342999987</v>
      </c>
      <c r="Z177" s="592">
        <f t="shared" si="20"/>
        <v>688.4097562799999</v>
      </c>
      <c r="AA177" s="592">
        <f t="shared" si="20"/>
        <v>688.42560533400001</v>
      </c>
      <c r="AB177" s="592">
        <f t="shared" si="20"/>
        <v>689.06200580999985</v>
      </c>
      <c r="AC177" s="596">
        <f t="shared" ref="AC177:AJ177" si="21">(AC54-AC396)*AC140+AC398</f>
        <v>363.31148510014651</v>
      </c>
      <c r="AD177" s="596">
        <f t="shared" si="21"/>
        <v>132.93572899449819</v>
      </c>
      <c r="AE177" s="596">
        <f t="shared" si="21"/>
        <v>52.285010639321079</v>
      </c>
      <c r="AF177" s="596">
        <f t="shared" si="21"/>
        <v>199.19089016146484</v>
      </c>
      <c r="AG177" s="596">
        <f t="shared" si="21"/>
        <v>113.40716475714406</v>
      </c>
      <c r="AH177" s="596">
        <f t="shared" si="21"/>
        <v>115.62145172795398</v>
      </c>
      <c r="AI177" s="596">
        <f t="shared" si="21"/>
        <v>254.81875734746572</v>
      </c>
      <c r="AJ177" s="596">
        <f t="shared" si="21"/>
        <v>331.08060005346476</v>
      </c>
      <c r="AK177" s="3"/>
      <c r="AL177" s="3"/>
    </row>
    <row r="178" spans="1:38" s="28" customFormat="1" x14ac:dyDescent="0.4">
      <c r="A178" s="692" t="s">
        <v>1063</v>
      </c>
      <c r="B178" s="581"/>
      <c r="C178" s="581"/>
      <c r="D178" s="581"/>
      <c r="E178" s="581"/>
      <c r="F178" s="581"/>
      <c r="G178" s="581"/>
      <c r="H178" s="581"/>
      <c r="I178" s="581"/>
      <c r="J178" s="581"/>
      <c r="K178" s="581"/>
      <c r="L178" s="581"/>
      <c r="M178" s="581"/>
      <c r="N178" s="581"/>
      <c r="O178" s="581"/>
      <c r="P178" s="581"/>
      <c r="Q178" s="581"/>
      <c r="R178" s="581"/>
      <c r="S178" s="581"/>
      <c r="T178" s="581"/>
      <c r="U178" s="581"/>
      <c r="V178" s="581"/>
      <c r="W178" s="581"/>
      <c r="X178" s="581"/>
      <c r="Y178" s="581"/>
      <c r="Z178" s="581"/>
      <c r="AA178" s="581"/>
      <c r="AB178" s="581"/>
      <c r="AC178" s="581"/>
      <c r="AD178" s="581"/>
      <c r="AE178" s="581"/>
      <c r="AF178" s="581"/>
      <c r="AG178" s="581"/>
      <c r="AH178" s="581"/>
      <c r="AI178" s="581"/>
      <c r="AJ178" s="581"/>
      <c r="AK178" s="3"/>
      <c r="AL178" s="3"/>
    </row>
    <row r="179" spans="1:38" s="28" customFormat="1" x14ac:dyDescent="0.4">
      <c r="A179" s="581"/>
      <c r="B179" s="581"/>
      <c r="C179" s="581"/>
      <c r="D179" s="581"/>
      <c r="E179" s="581"/>
      <c r="F179" s="581"/>
      <c r="G179" s="581"/>
      <c r="H179" s="581"/>
      <c r="I179" s="581"/>
      <c r="J179" s="581"/>
      <c r="K179" s="581"/>
      <c r="L179" s="581"/>
      <c r="M179" s="581"/>
      <c r="N179" s="581"/>
      <c r="O179" s="581"/>
      <c r="P179" s="581"/>
      <c r="Q179" s="581"/>
      <c r="R179" s="581"/>
      <c r="S179" s="581"/>
      <c r="T179" s="581"/>
      <c r="U179" s="581"/>
      <c r="V179" s="581"/>
      <c r="W179" s="581"/>
      <c r="X179" s="581"/>
      <c r="Y179" s="581"/>
      <c r="Z179" s="581"/>
      <c r="AA179" s="581"/>
      <c r="AB179" s="581"/>
      <c r="AC179" s="581"/>
      <c r="AD179" s="581"/>
      <c r="AE179" s="581"/>
      <c r="AF179" s="581"/>
      <c r="AG179" s="581"/>
      <c r="AH179" s="581"/>
      <c r="AI179" s="581"/>
      <c r="AJ179" s="581"/>
      <c r="AK179" s="3"/>
      <c r="AL179" s="3"/>
    </row>
    <row r="180" spans="1:38" s="28" customFormat="1" x14ac:dyDescent="0.4">
      <c r="A180" s="660" t="s">
        <v>555</v>
      </c>
      <c r="B180" s="581"/>
      <c r="C180" s="89"/>
      <c r="D180" s="89"/>
      <c r="E180" s="89"/>
      <c r="F180" s="89"/>
      <c r="G180" s="89"/>
      <c r="H180" s="89"/>
      <c r="I180" s="89"/>
      <c r="J180" s="89"/>
      <c r="K180" s="89"/>
      <c r="L180" s="89"/>
      <c r="M180" s="89"/>
      <c r="N180" s="89"/>
      <c r="O180" s="89"/>
      <c r="P180" s="89"/>
      <c r="Q180" s="89"/>
      <c r="R180" s="89"/>
      <c r="S180" s="89"/>
      <c r="T180" s="89"/>
      <c r="U180" s="89"/>
      <c r="V180" s="89"/>
      <c r="W180" s="89"/>
      <c r="X180" s="89"/>
      <c r="Y180" s="89"/>
      <c r="Z180" s="89"/>
      <c r="AA180" s="89"/>
      <c r="AB180" s="89"/>
      <c r="AC180" s="89"/>
      <c r="AD180" s="89"/>
      <c r="AE180" s="89"/>
      <c r="AF180" s="89"/>
      <c r="AG180" s="89"/>
      <c r="AH180" s="89"/>
      <c r="AI180" s="89"/>
      <c r="AJ180" s="89"/>
      <c r="AK180" s="3"/>
      <c r="AL180" s="3"/>
    </row>
    <row r="181" spans="1:38" s="28" customFormat="1" x14ac:dyDescent="0.4">
      <c r="A181" s="581"/>
      <c r="B181" s="581"/>
      <c r="C181" s="89"/>
      <c r="D181" s="89"/>
      <c r="E181" s="89"/>
      <c r="F181" s="89"/>
      <c r="G181" s="89"/>
      <c r="H181" s="89"/>
      <c r="I181" s="89"/>
      <c r="J181" s="89"/>
      <c r="K181" s="89"/>
      <c r="L181" s="89"/>
      <c r="M181" s="89"/>
      <c r="N181" s="89"/>
      <c r="O181" s="89"/>
      <c r="P181" s="89"/>
      <c r="Q181" s="89"/>
      <c r="R181" s="89"/>
      <c r="S181" s="89"/>
      <c r="T181" s="89"/>
      <c r="U181" s="89"/>
      <c r="V181" s="89"/>
      <c r="W181" s="89"/>
      <c r="X181" s="89"/>
      <c r="Y181" s="89"/>
      <c r="Z181" s="89"/>
      <c r="AA181" s="89"/>
      <c r="AB181" s="89"/>
      <c r="AC181" s="89"/>
      <c r="AD181" s="89"/>
      <c r="AE181" s="89"/>
      <c r="AF181" s="89"/>
      <c r="AG181" s="89"/>
      <c r="AH181" s="89"/>
      <c r="AI181" s="89"/>
      <c r="AJ181" s="89"/>
      <c r="AK181" s="3"/>
      <c r="AL181" s="3"/>
    </row>
    <row r="182" spans="1:38" s="28" customFormat="1" ht="17" x14ac:dyDescent="0.45">
      <c r="A182" s="88" t="s">
        <v>1504</v>
      </c>
      <c r="B182" s="581"/>
      <c r="C182" s="89"/>
      <c r="D182" s="89"/>
      <c r="E182" s="89"/>
      <c r="F182" s="89"/>
      <c r="G182" s="89"/>
      <c r="H182" s="89"/>
      <c r="I182" s="89"/>
      <c r="J182" s="89"/>
      <c r="K182" s="89"/>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3"/>
      <c r="AL182" s="3"/>
    </row>
    <row r="183" spans="1:38" s="28" customFormat="1" x14ac:dyDescent="0.4">
      <c r="A183" s="1218" t="s">
        <v>808</v>
      </c>
      <c r="B183" s="88" t="s">
        <v>136</v>
      </c>
      <c r="C183" s="230" t="s">
        <v>391</v>
      </c>
      <c r="D183" s="230" t="s">
        <v>392</v>
      </c>
      <c r="E183" s="230" t="s">
        <v>393</v>
      </c>
      <c r="F183" s="230" t="s">
        <v>394</v>
      </c>
      <c r="G183" s="230" t="s">
        <v>395</v>
      </c>
      <c r="H183" s="230" t="s">
        <v>396</v>
      </c>
      <c r="I183" s="230" t="s">
        <v>397</v>
      </c>
      <c r="J183" s="230" t="s">
        <v>398</v>
      </c>
      <c r="K183" s="230" t="s">
        <v>399</v>
      </c>
      <c r="L183" s="230" t="s">
        <v>400</v>
      </c>
      <c r="M183" s="230" t="s">
        <v>401</v>
      </c>
      <c r="N183" s="230" t="s">
        <v>402</v>
      </c>
      <c r="O183" s="230" t="s">
        <v>403</v>
      </c>
      <c r="P183" s="230" t="s">
        <v>404</v>
      </c>
      <c r="Q183" s="230" t="s">
        <v>405</v>
      </c>
      <c r="R183" s="230" t="s">
        <v>406</v>
      </c>
      <c r="S183" s="230" t="s">
        <v>407</v>
      </c>
      <c r="T183" s="230" t="s">
        <v>408</v>
      </c>
      <c r="U183" s="230" t="s">
        <v>409</v>
      </c>
      <c r="V183" s="230" t="s">
        <v>410</v>
      </c>
      <c r="W183" s="230" t="s">
        <v>411</v>
      </c>
      <c r="X183" s="230" t="s">
        <v>412</v>
      </c>
      <c r="Y183" s="230" t="s">
        <v>413</v>
      </c>
      <c r="Z183" s="230" t="s">
        <v>414</v>
      </c>
      <c r="AA183" s="230" t="s">
        <v>415</v>
      </c>
      <c r="AB183" s="230" t="s">
        <v>416</v>
      </c>
      <c r="AC183" s="230" t="s">
        <v>417</v>
      </c>
      <c r="AD183" s="230" t="s">
        <v>418</v>
      </c>
      <c r="AE183" s="230" t="s">
        <v>419</v>
      </c>
      <c r="AF183" s="230" t="s">
        <v>420</v>
      </c>
      <c r="AG183" s="230" t="s">
        <v>421</v>
      </c>
      <c r="AH183" s="230" t="s">
        <v>422</v>
      </c>
      <c r="AI183" s="230" t="s">
        <v>423</v>
      </c>
      <c r="AJ183" s="230" t="s">
        <v>424</v>
      </c>
      <c r="AK183" s="3"/>
      <c r="AL183" s="3"/>
    </row>
    <row r="184" spans="1:38" s="28" customFormat="1" ht="17" x14ac:dyDescent="0.4">
      <c r="A184" s="643" t="s">
        <v>549</v>
      </c>
      <c r="B184" s="1474" t="s">
        <v>1389</v>
      </c>
      <c r="C184" s="565">
        <f t="shared" ref="C184:AA184" si="22">C59*C145</f>
        <v>2535.3215789733063</v>
      </c>
      <c r="D184" s="565">
        <f t="shared" si="22"/>
        <v>2535.3215789733072</v>
      </c>
      <c r="E184" s="565">
        <f t="shared" si="22"/>
        <v>2535.3215789733072</v>
      </c>
      <c r="F184" s="565">
        <f t="shared" si="22"/>
        <v>2469.5076612829826</v>
      </c>
      <c r="G184" s="565">
        <f t="shared" si="22"/>
        <v>2403.6937435926588</v>
      </c>
      <c r="H184" s="565">
        <f t="shared" si="22"/>
        <v>2337.8798259023347</v>
      </c>
      <c r="I184" s="565">
        <f t="shared" si="22"/>
        <v>2272.0659082120105</v>
      </c>
      <c r="J184" s="565">
        <f t="shared" si="22"/>
        <v>2206.2519905216859</v>
      </c>
      <c r="K184" s="565">
        <f t="shared" si="22"/>
        <v>2140.4380728313618</v>
      </c>
      <c r="L184" s="565">
        <f t="shared" si="22"/>
        <v>2074.6241551410371</v>
      </c>
      <c r="M184" s="565">
        <f t="shared" si="22"/>
        <v>2008.810237450713</v>
      </c>
      <c r="N184" s="565">
        <f t="shared" si="22"/>
        <v>1942.996319760389</v>
      </c>
      <c r="O184" s="565">
        <f t="shared" si="22"/>
        <v>1877.1824020700647</v>
      </c>
      <c r="P184" s="565">
        <f t="shared" si="22"/>
        <v>1811.36848437974</v>
      </c>
      <c r="Q184" s="565">
        <f t="shared" si="22"/>
        <v>1745.5545666894154</v>
      </c>
      <c r="R184" s="565">
        <f t="shared" si="22"/>
        <v>1679.7406489990913</v>
      </c>
      <c r="S184" s="565">
        <f t="shared" si="22"/>
        <v>1613.9267313087666</v>
      </c>
      <c r="T184" s="565">
        <f t="shared" si="22"/>
        <v>1548.112813618442</v>
      </c>
      <c r="U184" s="565">
        <f t="shared" si="22"/>
        <v>1482.2988959281176</v>
      </c>
      <c r="V184" s="565">
        <f t="shared" si="22"/>
        <v>1416.4849782377928</v>
      </c>
      <c r="W184" s="565">
        <f t="shared" si="22"/>
        <v>1350.6710605474684</v>
      </c>
      <c r="X184" s="574">
        <f t="shared" si="22"/>
        <v>1284.8571428571424</v>
      </c>
      <c r="Y184" s="574">
        <f t="shared" si="22"/>
        <v>1608.7687188019968</v>
      </c>
      <c r="Z184" s="574">
        <f t="shared" si="22"/>
        <v>1607.954671088999</v>
      </c>
      <c r="AA184" s="574">
        <f t="shared" si="22"/>
        <v>1588.6340782122907</v>
      </c>
      <c r="AB184" s="574">
        <f t="shared" ref="AB184:AJ184" si="23">(AB59-AB463)*AB145+(AB464+AB467+AB470+AB473)</f>
        <v>1064.1772972972972</v>
      </c>
      <c r="AC184" s="574">
        <f t="shared" si="23"/>
        <v>760.01788355942028</v>
      </c>
      <c r="AD184" s="574">
        <f t="shared" si="23"/>
        <v>685.38162344983084</v>
      </c>
      <c r="AE184" s="574">
        <f t="shared" si="23"/>
        <v>656.31843515920139</v>
      </c>
      <c r="AF184" s="574">
        <f t="shared" si="23"/>
        <v>738.3448462354188</v>
      </c>
      <c r="AG184" s="574">
        <f t="shared" si="23"/>
        <v>688.52023416711006</v>
      </c>
      <c r="AH184" s="574">
        <f t="shared" si="23"/>
        <v>1196.8525510204083</v>
      </c>
      <c r="AI184" s="574">
        <f t="shared" si="23"/>
        <v>1244.0662456315526</v>
      </c>
      <c r="AJ184" s="574">
        <f t="shared" si="23"/>
        <v>1359.3095281227224</v>
      </c>
      <c r="AK184" s="3"/>
      <c r="AL184" s="3"/>
    </row>
    <row r="185" spans="1:38" s="28" customFormat="1" ht="17" x14ac:dyDescent="0.4">
      <c r="A185" s="693" t="s">
        <v>550</v>
      </c>
      <c r="B185" s="1474" t="s">
        <v>1389</v>
      </c>
      <c r="C185" s="565" t="e">
        <f t="shared" ref="C185:AA185" si="24">C60*C146</f>
        <v>#VALUE!</v>
      </c>
      <c r="D185" s="565" t="e">
        <f t="shared" si="24"/>
        <v>#VALUE!</v>
      </c>
      <c r="E185" s="565" t="e">
        <f t="shared" si="24"/>
        <v>#VALUE!</v>
      </c>
      <c r="F185" s="565" t="e">
        <f t="shared" si="24"/>
        <v>#VALUE!</v>
      </c>
      <c r="G185" s="565" t="e">
        <f t="shared" si="24"/>
        <v>#VALUE!</v>
      </c>
      <c r="H185" s="565" t="e">
        <f t="shared" si="24"/>
        <v>#VALUE!</v>
      </c>
      <c r="I185" s="565" t="e">
        <f t="shared" si="24"/>
        <v>#VALUE!</v>
      </c>
      <c r="J185" s="565" t="e">
        <f t="shared" si="24"/>
        <v>#VALUE!</v>
      </c>
      <c r="K185" s="565" t="e">
        <f t="shared" si="24"/>
        <v>#VALUE!</v>
      </c>
      <c r="L185" s="565" t="e">
        <f t="shared" si="24"/>
        <v>#VALUE!</v>
      </c>
      <c r="M185" s="565" t="e">
        <f t="shared" si="24"/>
        <v>#VALUE!</v>
      </c>
      <c r="N185" s="565" t="e">
        <f t="shared" si="24"/>
        <v>#VALUE!</v>
      </c>
      <c r="O185" s="565" t="e">
        <f t="shared" si="24"/>
        <v>#VALUE!</v>
      </c>
      <c r="P185" s="565" t="e">
        <f t="shared" si="24"/>
        <v>#VALUE!</v>
      </c>
      <c r="Q185" s="565" t="e">
        <f t="shared" si="24"/>
        <v>#VALUE!</v>
      </c>
      <c r="R185" s="565" t="e">
        <f t="shared" si="24"/>
        <v>#VALUE!</v>
      </c>
      <c r="S185" s="565" t="e">
        <f t="shared" si="24"/>
        <v>#VALUE!</v>
      </c>
      <c r="T185" s="565" t="e">
        <f t="shared" si="24"/>
        <v>#VALUE!</v>
      </c>
      <c r="U185" s="565" t="e">
        <f t="shared" si="24"/>
        <v>#VALUE!</v>
      </c>
      <c r="V185" s="565" t="e">
        <f t="shared" si="24"/>
        <v>#VALUE!</v>
      </c>
      <c r="W185" s="565" t="e">
        <f t="shared" si="24"/>
        <v>#VALUE!</v>
      </c>
      <c r="X185" s="565">
        <f t="shared" si="24"/>
        <v>256</v>
      </c>
      <c r="Y185" s="565">
        <f t="shared" si="24"/>
        <v>320</v>
      </c>
      <c r="Z185" s="565">
        <f t="shared" si="24"/>
        <v>319.99999999999994</v>
      </c>
      <c r="AA185" s="565">
        <f t="shared" si="24"/>
        <v>319.99999999999994</v>
      </c>
      <c r="AB185" s="576">
        <f t="shared" ref="AB185:AJ185" si="25">(AB60-AB463)*AB146+AB464</f>
        <v>195.80999999999997</v>
      </c>
      <c r="AC185" s="576">
        <f t="shared" si="25"/>
        <v>145.69999999999999</v>
      </c>
      <c r="AD185" s="576">
        <f t="shared" si="25"/>
        <v>138.69999999999999</v>
      </c>
      <c r="AE185" s="576">
        <f t="shared" si="25"/>
        <v>134.08999999999997</v>
      </c>
      <c r="AF185" s="576">
        <f t="shared" si="25"/>
        <v>130.14999999999998</v>
      </c>
      <c r="AG185" s="576">
        <f t="shared" si="25"/>
        <v>131.72</v>
      </c>
      <c r="AH185" s="576">
        <f t="shared" si="25"/>
        <v>211.59999999999994</v>
      </c>
      <c r="AI185" s="576">
        <f t="shared" si="25"/>
        <v>280.42</v>
      </c>
      <c r="AJ185" s="576">
        <f t="shared" si="25"/>
        <v>379.97</v>
      </c>
      <c r="AK185" s="3"/>
      <c r="AL185" s="3"/>
    </row>
    <row r="186" spans="1:38" s="28" customFormat="1" ht="17" x14ac:dyDescent="0.4">
      <c r="A186" s="693" t="s">
        <v>551</v>
      </c>
      <c r="B186" s="1474" t="s">
        <v>1389</v>
      </c>
      <c r="C186" s="565" t="e">
        <f t="shared" ref="C186:AA186" si="26">C61*C147</f>
        <v>#VALUE!</v>
      </c>
      <c r="D186" s="565" t="e">
        <f t="shared" si="26"/>
        <v>#VALUE!</v>
      </c>
      <c r="E186" s="565" t="e">
        <f t="shared" si="26"/>
        <v>#VALUE!</v>
      </c>
      <c r="F186" s="565" t="e">
        <f t="shared" si="26"/>
        <v>#VALUE!</v>
      </c>
      <c r="G186" s="565" t="e">
        <f t="shared" si="26"/>
        <v>#VALUE!</v>
      </c>
      <c r="H186" s="565" t="e">
        <f t="shared" si="26"/>
        <v>#VALUE!</v>
      </c>
      <c r="I186" s="565" t="e">
        <f t="shared" si="26"/>
        <v>#VALUE!</v>
      </c>
      <c r="J186" s="565" t="e">
        <f t="shared" si="26"/>
        <v>#VALUE!</v>
      </c>
      <c r="K186" s="565" t="e">
        <f t="shared" si="26"/>
        <v>#VALUE!</v>
      </c>
      <c r="L186" s="565" t="e">
        <f t="shared" si="26"/>
        <v>#VALUE!</v>
      </c>
      <c r="M186" s="565" t="e">
        <f t="shared" si="26"/>
        <v>#VALUE!</v>
      </c>
      <c r="N186" s="565" t="e">
        <f t="shared" si="26"/>
        <v>#VALUE!</v>
      </c>
      <c r="O186" s="565" t="e">
        <f t="shared" si="26"/>
        <v>#VALUE!</v>
      </c>
      <c r="P186" s="565" t="e">
        <f t="shared" si="26"/>
        <v>#VALUE!</v>
      </c>
      <c r="Q186" s="565" t="e">
        <f t="shared" si="26"/>
        <v>#VALUE!</v>
      </c>
      <c r="R186" s="565" t="e">
        <f t="shared" si="26"/>
        <v>#VALUE!</v>
      </c>
      <c r="S186" s="565" t="e">
        <f t="shared" si="26"/>
        <v>#VALUE!</v>
      </c>
      <c r="T186" s="565" t="e">
        <f t="shared" si="26"/>
        <v>#VALUE!</v>
      </c>
      <c r="U186" s="565" t="e">
        <f t="shared" si="26"/>
        <v>#VALUE!</v>
      </c>
      <c r="V186" s="565" t="e">
        <f t="shared" si="26"/>
        <v>#VALUE!</v>
      </c>
      <c r="W186" s="565" t="e">
        <f t="shared" si="26"/>
        <v>#VALUE!</v>
      </c>
      <c r="X186" s="565">
        <f t="shared" si="26"/>
        <v>65</v>
      </c>
      <c r="Y186" s="565">
        <f t="shared" si="26"/>
        <v>65</v>
      </c>
      <c r="Z186" s="565">
        <f t="shared" si="26"/>
        <v>65</v>
      </c>
      <c r="AA186" s="565">
        <f t="shared" si="26"/>
        <v>64.999999999999986</v>
      </c>
      <c r="AB186" s="576">
        <f t="shared" ref="AB186:AJ186" si="27">(AB61-AB466)*AB147+AB467</f>
        <v>15.39</v>
      </c>
      <c r="AC186" s="576">
        <f t="shared" si="27"/>
        <v>20.43</v>
      </c>
      <c r="AD186" s="576">
        <f t="shared" si="27"/>
        <v>12.5</v>
      </c>
      <c r="AE186" s="576">
        <f t="shared" si="27"/>
        <v>1.17</v>
      </c>
      <c r="AF186" s="576">
        <f t="shared" si="27"/>
        <v>6.63</v>
      </c>
      <c r="AG186" s="576">
        <f t="shared" si="27"/>
        <v>8.85</v>
      </c>
      <c r="AH186" s="576">
        <f t="shared" si="27"/>
        <v>0.37</v>
      </c>
      <c r="AI186" s="576">
        <f t="shared" si="27"/>
        <v>22.8</v>
      </c>
      <c r="AJ186" s="576">
        <f t="shared" si="27"/>
        <v>1.1399999999999999</v>
      </c>
      <c r="AK186" s="3"/>
      <c r="AL186" s="3"/>
    </row>
    <row r="187" spans="1:38" s="28" customFormat="1" ht="17" x14ac:dyDescent="0.4">
      <c r="A187" s="693" t="s">
        <v>553</v>
      </c>
      <c r="B187" s="1474" t="s">
        <v>1389</v>
      </c>
      <c r="C187" s="565" t="e">
        <f t="shared" ref="C187:AA187" si="28">C62*C148</f>
        <v>#VALUE!</v>
      </c>
      <c r="D187" s="565" t="e">
        <f t="shared" si="28"/>
        <v>#VALUE!</v>
      </c>
      <c r="E187" s="565" t="e">
        <f t="shared" si="28"/>
        <v>#VALUE!</v>
      </c>
      <c r="F187" s="565" t="e">
        <f t="shared" si="28"/>
        <v>#VALUE!</v>
      </c>
      <c r="G187" s="565" t="e">
        <f t="shared" si="28"/>
        <v>#VALUE!</v>
      </c>
      <c r="H187" s="565" t="e">
        <f t="shared" si="28"/>
        <v>#VALUE!</v>
      </c>
      <c r="I187" s="565" t="e">
        <f t="shared" si="28"/>
        <v>#VALUE!</v>
      </c>
      <c r="J187" s="565" t="e">
        <f t="shared" si="28"/>
        <v>#VALUE!</v>
      </c>
      <c r="K187" s="565" t="e">
        <f t="shared" si="28"/>
        <v>#VALUE!</v>
      </c>
      <c r="L187" s="565" t="e">
        <f t="shared" si="28"/>
        <v>#VALUE!</v>
      </c>
      <c r="M187" s="565" t="e">
        <f t="shared" si="28"/>
        <v>#VALUE!</v>
      </c>
      <c r="N187" s="565" t="e">
        <f t="shared" si="28"/>
        <v>#VALUE!</v>
      </c>
      <c r="O187" s="565" t="e">
        <f t="shared" si="28"/>
        <v>#VALUE!</v>
      </c>
      <c r="P187" s="565" t="e">
        <f t="shared" si="28"/>
        <v>#VALUE!</v>
      </c>
      <c r="Q187" s="565" t="e">
        <f t="shared" si="28"/>
        <v>#VALUE!</v>
      </c>
      <c r="R187" s="565" t="e">
        <f t="shared" si="28"/>
        <v>#VALUE!</v>
      </c>
      <c r="S187" s="565" t="e">
        <f t="shared" si="28"/>
        <v>#VALUE!</v>
      </c>
      <c r="T187" s="565" t="e">
        <f t="shared" si="28"/>
        <v>#VALUE!</v>
      </c>
      <c r="U187" s="565" t="e">
        <f t="shared" si="28"/>
        <v>#VALUE!</v>
      </c>
      <c r="V187" s="565" t="e">
        <f t="shared" si="28"/>
        <v>#VALUE!</v>
      </c>
      <c r="W187" s="565" t="e">
        <f t="shared" si="28"/>
        <v>#VALUE!</v>
      </c>
      <c r="X187" s="565">
        <f t="shared" si="28"/>
        <v>612</v>
      </c>
      <c r="Y187" s="565">
        <f t="shared" si="28"/>
        <v>612</v>
      </c>
      <c r="Z187" s="565">
        <f t="shared" si="28"/>
        <v>612</v>
      </c>
      <c r="AA187" s="565">
        <f t="shared" si="28"/>
        <v>611.99999999999989</v>
      </c>
      <c r="AB187" s="576">
        <f t="shared" ref="AB187:AJ187" si="29">(AB62-AB469)*AB148+AB470</f>
        <v>534.6738537</v>
      </c>
      <c r="AC187" s="576">
        <f t="shared" si="29"/>
        <v>380.67500000000001</v>
      </c>
      <c r="AD187" s="576">
        <f t="shared" si="29"/>
        <v>359.06734640000002</v>
      </c>
      <c r="AE187" s="576">
        <f t="shared" si="29"/>
        <v>355.65800000000002</v>
      </c>
      <c r="AF187" s="576">
        <f t="shared" si="29"/>
        <v>358.31</v>
      </c>
      <c r="AG187" s="576">
        <f t="shared" si="29"/>
        <v>374.55999999999995</v>
      </c>
      <c r="AH187" s="576">
        <f t="shared" si="29"/>
        <v>475.45500000000004</v>
      </c>
      <c r="AI187" s="576">
        <f t="shared" si="29"/>
        <v>477.4799999999999</v>
      </c>
      <c r="AJ187" s="576">
        <f t="shared" si="29"/>
        <v>476.81207330000001</v>
      </c>
      <c r="AK187" s="3"/>
      <c r="AL187" s="3"/>
    </row>
    <row r="188" spans="1:38" s="28" customFormat="1" ht="17" x14ac:dyDescent="0.4">
      <c r="A188" s="693" t="s">
        <v>554</v>
      </c>
      <c r="B188" s="1474" t="s">
        <v>1389</v>
      </c>
      <c r="C188" s="565" t="e">
        <f t="shared" ref="C188:AA188" si="30">C63*C149</f>
        <v>#VALUE!</v>
      </c>
      <c r="D188" s="565" t="e">
        <f t="shared" si="30"/>
        <v>#VALUE!</v>
      </c>
      <c r="E188" s="565" t="e">
        <f t="shared" si="30"/>
        <v>#VALUE!</v>
      </c>
      <c r="F188" s="565" t="e">
        <f t="shared" si="30"/>
        <v>#VALUE!</v>
      </c>
      <c r="G188" s="565" t="e">
        <f t="shared" si="30"/>
        <v>#VALUE!</v>
      </c>
      <c r="H188" s="565" t="e">
        <f t="shared" si="30"/>
        <v>#VALUE!</v>
      </c>
      <c r="I188" s="565" t="e">
        <f t="shared" si="30"/>
        <v>#VALUE!</v>
      </c>
      <c r="J188" s="565" t="e">
        <f t="shared" si="30"/>
        <v>#VALUE!</v>
      </c>
      <c r="K188" s="565" t="e">
        <f t="shared" si="30"/>
        <v>#VALUE!</v>
      </c>
      <c r="L188" s="565" t="e">
        <f t="shared" si="30"/>
        <v>#VALUE!</v>
      </c>
      <c r="M188" s="565" t="e">
        <f t="shared" si="30"/>
        <v>#VALUE!</v>
      </c>
      <c r="N188" s="565" t="e">
        <f t="shared" si="30"/>
        <v>#VALUE!</v>
      </c>
      <c r="O188" s="565" t="e">
        <f t="shared" si="30"/>
        <v>#VALUE!</v>
      </c>
      <c r="P188" s="565" t="e">
        <f t="shared" si="30"/>
        <v>#VALUE!</v>
      </c>
      <c r="Q188" s="565" t="e">
        <f t="shared" si="30"/>
        <v>#VALUE!</v>
      </c>
      <c r="R188" s="565" t="e">
        <f t="shared" si="30"/>
        <v>#VALUE!</v>
      </c>
      <c r="S188" s="565" t="e">
        <f t="shared" si="30"/>
        <v>#VALUE!</v>
      </c>
      <c r="T188" s="565" t="e">
        <f t="shared" si="30"/>
        <v>#VALUE!</v>
      </c>
      <c r="U188" s="565" t="e">
        <f t="shared" si="30"/>
        <v>#VALUE!</v>
      </c>
      <c r="V188" s="565" t="e">
        <f t="shared" si="30"/>
        <v>#VALUE!</v>
      </c>
      <c r="W188" s="565" t="e">
        <f t="shared" si="30"/>
        <v>#VALUE!</v>
      </c>
      <c r="X188" s="565">
        <f t="shared" si="30"/>
        <v>220</v>
      </c>
      <c r="Y188" s="565">
        <f t="shared" si="30"/>
        <v>264</v>
      </c>
      <c r="Z188" s="565">
        <f t="shared" si="30"/>
        <v>264</v>
      </c>
      <c r="AA188" s="565">
        <f t="shared" si="30"/>
        <v>264</v>
      </c>
      <c r="AB188" s="576">
        <f t="shared" ref="AB188:AJ188" si="31">(AB63-AB472)*AB149+AB473</f>
        <v>116.2561463</v>
      </c>
      <c r="AC188" s="576">
        <f t="shared" si="31"/>
        <v>86.3352024</v>
      </c>
      <c r="AD188" s="576">
        <f t="shared" si="31"/>
        <v>50.232653599999999</v>
      </c>
      <c r="AE188" s="576">
        <f t="shared" si="31"/>
        <v>50.182949999999991</v>
      </c>
      <c r="AF188" s="576">
        <f t="shared" si="31"/>
        <v>134.24</v>
      </c>
      <c r="AG188" s="576">
        <f t="shared" si="31"/>
        <v>67.75</v>
      </c>
      <c r="AH188" s="576">
        <f t="shared" si="31"/>
        <v>165</v>
      </c>
      <c r="AI188" s="576">
        <f t="shared" si="31"/>
        <v>151.53</v>
      </c>
      <c r="AJ188" s="576">
        <f t="shared" si="31"/>
        <v>173.38531119999999</v>
      </c>
      <c r="AK188" s="3"/>
      <c r="AL188" s="3"/>
    </row>
    <row r="189" spans="1:38" s="28" customFormat="1" ht="17" x14ac:dyDescent="0.4">
      <c r="A189" s="1487" t="s">
        <v>547</v>
      </c>
      <c r="B189" s="1474" t="s">
        <v>1389</v>
      </c>
      <c r="C189" s="565">
        <f t="shared" ref="C189:AA189" si="32">C59*C150</f>
        <v>335.81735999999995</v>
      </c>
      <c r="D189" s="565">
        <f t="shared" si="32"/>
        <v>335.81736000000001</v>
      </c>
      <c r="E189" s="565">
        <f t="shared" si="32"/>
        <v>335.81736000000001</v>
      </c>
      <c r="F189" s="565">
        <f t="shared" si="32"/>
        <v>333.31467684483289</v>
      </c>
      <c r="G189" s="565">
        <f t="shared" si="32"/>
        <v>334.80420024469458</v>
      </c>
      <c r="H189" s="565">
        <f t="shared" si="32"/>
        <v>333.03441253626067</v>
      </c>
      <c r="I189" s="565">
        <f t="shared" si="32"/>
        <v>331.82554971619498</v>
      </c>
      <c r="J189" s="565">
        <f t="shared" si="32"/>
        <v>333.63468250659872</v>
      </c>
      <c r="K189" s="565">
        <f t="shared" si="32"/>
        <v>332.94603867651762</v>
      </c>
      <c r="L189" s="565">
        <f t="shared" si="32"/>
        <v>333.25622384220918</v>
      </c>
      <c r="M189" s="565">
        <f t="shared" si="32"/>
        <v>330.67720354559816</v>
      </c>
      <c r="N189" s="565">
        <f t="shared" si="32"/>
        <v>326.67633939186629</v>
      </c>
      <c r="O189" s="565">
        <f t="shared" si="32"/>
        <v>329.80072243548784</v>
      </c>
      <c r="P189" s="565">
        <f t="shared" si="32"/>
        <v>320.27423848818268</v>
      </c>
      <c r="Q189" s="565">
        <f t="shared" si="32"/>
        <v>323.69716319367478</v>
      </c>
      <c r="R189" s="565">
        <f t="shared" si="32"/>
        <v>330.97341765192232</v>
      </c>
      <c r="S189" s="565">
        <f t="shared" si="32"/>
        <v>313.24333354348562</v>
      </c>
      <c r="T189" s="565">
        <f t="shared" si="32"/>
        <v>331.83925348271981</v>
      </c>
      <c r="U189" s="565">
        <f t="shared" si="32"/>
        <v>321.78383696555085</v>
      </c>
      <c r="V189" s="565">
        <f t="shared" si="32"/>
        <v>328.37304758296938</v>
      </c>
      <c r="W189" s="565">
        <f t="shared" si="32"/>
        <v>328.23831725561655</v>
      </c>
      <c r="X189" s="565">
        <f t="shared" si="32"/>
        <v>330.23351460349318</v>
      </c>
      <c r="Y189" s="565">
        <f t="shared" si="32"/>
        <v>410.73780221479149</v>
      </c>
      <c r="Z189" s="565">
        <f t="shared" si="32"/>
        <v>409.94292245839847</v>
      </c>
      <c r="AA189" s="565">
        <f t="shared" si="32"/>
        <v>410.71278014639461</v>
      </c>
      <c r="AB189" s="576">
        <f t="shared" ref="AB189:AJ189" si="33">(AB59-AB463)*AB150+AB476</f>
        <v>375.50550014488704</v>
      </c>
      <c r="AC189" s="576">
        <f t="shared" si="33"/>
        <v>262.77440648739969</v>
      </c>
      <c r="AD189" s="576">
        <f t="shared" si="33"/>
        <v>226.71836407956363</v>
      </c>
      <c r="AE189" s="576">
        <f t="shared" si="33"/>
        <v>249.08342541881092</v>
      </c>
      <c r="AF189" s="576">
        <f t="shared" si="33"/>
        <v>205.99604602183314</v>
      </c>
      <c r="AG189" s="576">
        <f t="shared" si="33"/>
        <v>201.10143269674148</v>
      </c>
      <c r="AH189" s="576">
        <f t="shared" si="33"/>
        <v>289.50034575294177</v>
      </c>
      <c r="AI189" s="576">
        <f t="shared" si="33"/>
        <v>349.13549012199428</v>
      </c>
      <c r="AJ189" s="576">
        <f t="shared" si="33"/>
        <v>321.80796446085446</v>
      </c>
      <c r="AK189" s="3"/>
      <c r="AL189" s="3"/>
    </row>
    <row r="190" spans="1:38" s="28" customFormat="1" ht="17" x14ac:dyDescent="0.4">
      <c r="A190" s="578" t="s">
        <v>807</v>
      </c>
      <c r="B190" s="1474" t="s">
        <v>1389</v>
      </c>
      <c r="C190" s="552">
        <f>C184+C189</f>
        <v>2871.1389389733063</v>
      </c>
      <c r="D190" s="592">
        <f t="shared" ref="D190:W190" si="34">D184+D189</f>
        <v>2871.1389389733072</v>
      </c>
      <c r="E190" s="592">
        <f t="shared" si="34"/>
        <v>2871.1389389733072</v>
      </c>
      <c r="F190" s="592">
        <f t="shared" si="34"/>
        <v>2802.8223381278153</v>
      </c>
      <c r="G190" s="592">
        <f t="shared" si="34"/>
        <v>2738.4979438373534</v>
      </c>
      <c r="H190" s="592">
        <f t="shared" si="34"/>
        <v>2670.9142384385955</v>
      </c>
      <c r="I190" s="592">
        <f t="shared" si="34"/>
        <v>2603.8914579282055</v>
      </c>
      <c r="J190" s="592">
        <f t="shared" si="34"/>
        <v>2539.8866730282848</v>
      </c>
      <c r="K190" s="592">
        <f t="shared" si="34"/>
        <v>2473.3841115078794</v>
      </c>
      <c r="L190" s="592">
        <f t="shared" si="34"/>
        <v>2407.8803789832464</v>
      </c>
      <c r="M190" s="592">
        <f t="shared" si="34"/>
        <v>2339.4874409963113</v>
      </c>
      <c r="N190" s="592">
        <f t="shared" si="34"/>
        <v>2269.6726591522552</v>
      </c>
      <c r="O190" s="592">
        <f t="shared" si="34"/>
        <v>2206.9831245055525</v>
      </c>
      <c r="P190" s="592">
        <f t="shared" si="34"/>
        <v>2131.6427228679227</v>
      </c>
      <c r="Q190" s="592">
        <f t="shared" si="34"/>
        <v>2069.2517298830903</v>
      </c>
      <c r="R190" s="592">
        <f t="shared" si="34"/>
        <v>2010.7140666510136</v>
      </c>
      <c r="S190" s="592">
        <f t="shared" si="34"/>
        <v>1927.1700648522524</v>
      </c>
      <c r="T190" s="592">
        <f t="shared" si="34"/>
        <v>1879.9520671011619</v>
      </c>
      <c r="U190" s="592">
        <f t="shared" si="34"/>
        <v>1804.0827328936684</v>
      </c>
      <c r="V190" s="592">
        <f t="shared" si="34"/>
        <v>1744.8580258207621</v>
      </c>
      <c r="W190" s="592">
        <f t="shared" si="34"/>
        <v>1678.9093778030849</v>
      </c>
      <c r="X190" s="592">
        <f>X185+X186+X187+X188+X189</f>
        <v>1483.2335146034932</v>
      </c>
      <c r="Y190" s="592">
        <f t="shared" ref="Y190:AJ190" si="35">Y185+Y186+Y187+Y188+Y189</f>
        <v>1671.7378022147914</v>
      </c>
      <c r="Z190" s="592">
        <f t="shared" si="35"/>
        <v>1670.9429224583985</v>
      </c>
      <c r="AA190" s="592">
        <f t="shared" si="35"/>
        <v>1671.7127801463944</v>
      </c>
      <c r="AB190" s="592">
        <f t="shared" si="35"/>
        <v>1237.6355001448869</v>
      </c>
      <c r="AC190" s="592">
        <f t="shared" si="35"/>
        <v>895.91460888739971</v>
      </c>
      <c r="AD190" s="592">
        <f t="shared" si="35"/>
        <v>787.21836407956357</v>
      </c>
      <c r="AE190" s="592">
        <f t="shared" si="35"/>
        <v>790.18437541881099</v>
      </c>
      <c r="AF190" s="592">
        <f t="shared" si="35"/>
        <v>835.32604602183301</v>
      </c>
      <c r="AG190" s="592">
        <f t="shared" si="35"/>
        <v>783.98143269674142</v>
      </c>
      <c r="AH190" s="592">
        <f t="shared" si="35"/>
        <v>1141.9253457529417</v>
      </c>
      <c r="AI190" s="592">
        <f t="shared" si="35"/>
        <v>1281.3654901219943</v>
      </c>
      <c r="AJ190" s="592">
        <f t="shared" si="35"/>
        <v>1353.1153489608544</v>
      </c>
      <c r="AK190" s="3"/>
      <c r="AL190" s="3"/>
    </row>
    <row r="191" spans="1:38" s="28" customFormat="1" x14ac:dyDescent="0.4">
      <c r="A191" s="695" t="s">
        <v>1063</v>
      </c>
      <c r="B191" s="581"/>
      <c r="C191" s="581"/>
      <c r="D191" s="581"/>
      <c r="E191" s="581"/>
      <c r="F191" s="581"/>
      <c r="G191" s="581"/>
      <c r="H191" s="581"/>
      <c r="I191" s="581"/>
      <c r="J191" s="581"/>
      <c r="K191" s="581"/>
      <c r="L191" s="581"/>
      <c r="M191" s="581"/>
      <c r="N191" s="581"/>
      <c r="O191" s="581"/>
      <c r="P191" s="581"/>
      <c r="Q191" s="581"/>
      <c r="R191" s="581"/>
      <c r="S191" s="581"/>
      <c r="T191" s="581"/>
      <c r="U191" s="581"/>
      <c r="V191" s="581"/>
      <c r="W191" s="581"/>
      <c r="X191" s="581"/>
      <c r="Y191" s="581"/>
      <c r="Z191" s="581"/>
      <c r="AA191" s="581"/>
      <c r="AB191" s="581"/>
      <c r="AC191" s="581"/>
      <c r="AD191" s="581"/>
      <c r="AE191" s="581"/>
      <c r="AF191" s="581"/>
      <c r="AG191" s="581"/>
      <c r="AH191" s="581"/>
      <c r="AI191" s="581"/>
      <c r="AJ191" s="581"/>
      <c r="AK191" s="3"/>
      <c r="AL191" s="3"/>
    </row>
    <row r="192" spans="1:38" s="28" customFormat="1" x14ac:dyDescent="0.4">
      <c r="A192" s="1349"/>
      <c r="B192" s="581"/>
      <c r="C192" s="581"/>
      <c r="D192" s="581"/>
      <c r="E192" s="581"/>
      <c r="F192" s="581"/>
      <c r="G192" s="581"/>
      <c r="H192" s="581"/>
      <c r="I192" s="581"/>
      <c r="J192" s="581"/>
      <c r="K192" s="581"/>
      <c r="L192" s="581"/>
      <c r="M192" s="581"/>
      <c r="N192" s="581"/>
      <c r="O192" s="581"/>
      <c r="P192" s="581"/>
      <c r="Q192" s="581"/>
      <c r="R192" s="581"/>
      <c r="S192" s="581"/>
      <c r="T192" s="581"/>
      <c r="U192" s="581"/>
      <c r="V192" s="581"/>
      <c r="W192" s="581"/>
      <c r="X192" s="581"/>
      <c r="Y192" s="581"/>
      <c r="Z192" s="581"/>
      <c r="AA192" s="581"/>
      <c r="AB192" s="581"/>
      <c r="AC192" s="581"/>
      <c r="AD192" s="581"/>
      <c r="AE192" s="581"/>
      <c r="AF192" s="581"/>
      <c r="AG192" s="581"/>
      <c r="AH192" s="581"/>
      <c r="AI192" s="581"/>
      <c r="AJ192" s="581"/>
      <c r="AK192" s="3"/>
      <c r="AL192" s="3"/>
    </row>
    <row r="193" spans="1:38" s="28" customFormat="1" x14ac:dyDescent="0.4">
      <c r="A193" s="660" t="s">
        <v>557</v>
      </c>
      <c r="B193" s="581"/>
      <c r="C193" s="89"/>
      <c r="D193" s="89"/>
      <c r="E193" s="89"/>
      <c r="F193" s="89"/>
      <c r="G193" s="89"/>
      <c r="H193" s="89"/>
      <c r="I193" s="89"/>
      <c r="J193" s="89"/>
      <c r="K193" s="89"/>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3"/>
      <c r="AL193" s="3"/>
    </row>
    <row r="194" spans="1:38" s="28" customFormat="1" x14ac:dyDescent="0.4">
      <c r="A194" s="660" t="s">
        <v>558</v>
      </c>
      <c r="B194" s="581"/>
      <c r="C194" s="89"/>
      <c r="D194" s="89"/>
      <c r="E194" s="89"/>
      <c r="F194" s="89"/>
      <c r="G194" s="89"/>
      <c r="H194" s="89"/>
      <c r="I194" s="89"/>
      <c r="J194" s="89"/>
      <c r="K194" s="89"/>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3"/>
      <c r="AL194" s="3"/>
    </row>
    <row r="195" spans="1:38" s="28" customFormat="1" x14ac:dyDescent="0.4">
      <c r="A195" s="660" t="s">
        <v>559</v>
      </c>
      <c r="B195" s="581"/>
      <c r="C195" s="89"/>
      <c r="D195" s="89"/>
      <c r="E195" s="89"/>
      <c r="F195" s="89"/>
      <c r="G195" s="89"/>
      <c r="H195" s="89"/>
      <c r="I195" s="89"/>
      <c r="J195" s="89"/>
      <c r="K195" s="89"/>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3"/>
      <c r="AL195" s="3"/>
    </row>
    <row r="196" spans="1:38" s="28" customFormat="1" x14ac:dyDescent="0.4">
      <c r="A196" s="660" t="s">
        <v>560</v>
      </c>
      <c r="B196" s="581"/>
      <c r="C196" s="89"/>
      <c r="D196" s="89"/>
      <c r="E196" s="89"/>
      <c r="F196" s="89"/>
      <c r="G196" s="89"/>
      <c r="H196" s="89"/>
      <c r="I196" s="89"/>
      <c r="J196" s="89"/>
      <c r="K196" s="89"/>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3"/>
      <c r="AL196" s="3"/>
    </row>
    <row r="197" spans="1:38" s="28" customFormat="1" x14ac:dyDescent="0.4">
      <c r="A197" s="660" t="s">
        <v>556</v>
      </c>
      <c r="B197" s="581"/>
      <c r="C197" s="89"/>
      <c r="D197" s="89"/>
      <c r="E197" s="89"/>
      <c r="F197" s="89"/>
      <c r="G197" s="89"/>
      <c r="H197" s="89"/>
      <c r="I197" s="89"/>
      <c r="J197" s="89"/>
      <c r="K197" s="89"/>
      <c r="L197" s="89"/>
      <c r="M197" s="89"/>
      <c r="N197" s="89"/>
      <c r="O197" s="89"/>
      <c r="P197" s="89"/>
      <c r="Q197" s="89"/>
      <c r="R197" s="89"/>
      <c r="S197" s="89"/>
      <c r="T197" s="89"/>
      <c r="U197" s="89"/>
      <c r="V197" s="89"/>
      <c r="W197" s="89"/>
      <c r="X197" s="89"/>
      <c r="Y197" s="89"/>
      <c r="Z197" s="89"/>
      <c r="AA197" s="89"/>
      <c r="AB197" s="89"/>
      <c r="AC197" s="89"/>
      <c r="AD197" s="89"/>
      <c r="AE197" s="89"/>
      <c r="AF197" s="89"/>
      <c r="AG197" s="89"/>
      <c r="AH197" s="89"/>
      <c r="AI197" s="89"/>
      <c r="AJ197" s="89"/>
      <c r="AK197" s="3"/>
      <c r="AL197" s="3"/>
    </row>
    <row r="198" spans="1:38" s="28" customFormat="1" x14ac:dyDescent="0.4">
      <c r="A198" s="684"/>
      <c r="B198" s="581"/>
      <c r="C198" s="89"/>
      <c r="D198" s="89"/>
      <c r="E198" s="89"/>
      <c r="F198" s="89"/>
      <c r="G198" s="89"/>
      <c r="H198" s="89"/>
      <c r="I198" s="89"/>
      <c r="J198" s="89"/>
      <c r="K198" s="89"/>
      <c r="L198" s="89"/>
      <c r="M198" s="89"/>
      <c r="N198" s="89"/>
      <c r="O198" s="89"/>
      <c r="P198" s="89"/>
      <c r="Q198" s="89"/>
      <c r="R198" s="89"/>
      <c r="S198" s="89"/>
      <c r="T198" s="89"/>
      <c r="U198" s="89"/>
      <c r="V198" s="89"/>
      <c r="W198" s="89"/>
      <c r="X198" s="89"/>
      <c r="Y198" s="89"/>
      <c r="Z198" s="89"/>
      <c r="AA198" s="89"/>
      <c r="AB198" s="89"/>
      <c r="AC198" s="89"/>
      <c r="AD198" s="89"/>
      <c r="AE198" s="89"/>
      <c r="AF198" s="89"/>
      <c r="AG198" s="89"/>
      <c r="AH198" s="89"/>
      <c r="AI198" s="89"/>
      <c r="AJ198" s="89"/>
      <c r="AK198" s="3"/>
      <c r="AL198" s="3"/>
    </row>
    <row r="199" spans="1:38" s="28" customFormat="1" ht="17" x14ac:dyDescent="0.45">
      <c r="A199" s="88" t="s">
        <v>1505</v>
      </c>
      <c r="B199" s="581"/>
      <c r="C199" s="89"/>
      <c r="D199" s="89"/>
      <c r="E199" s="89"/>
      <c r="F199" s="89"/>
      <c r="G199" s="89"/>
      <c r="H199" s="89"/>
      <c r="I199" s="89"/>
      <c r="J199" s="89"/>
      <c r="K199" s="89"/>
      <c r="L199" s="89"/>
      <c r="M199" s="89"/>
      <c r="N199" s="89"/>
      <c r="O199" s="89"/>
      <c r="P199" s="89"/>
      <c r="Q199" s="89"/>
      <c r="R199" s="89"/>
      <c r="S199" s="89"/>
      <c r="T199" s="89"/>
      <c r="U199" s="89"/>
      <c r="V199" s="89"/>
      <c r="W199" s="89"/>
      <c r="X199" s="89"/>
      <c r="Y199" s="89"/>
      <c r="Z199" s="89"/>
      <c r="AA199" s="89"/>
      <c r="AB199" s="89"/>
      <c r="AC199" s="89"/>
      <c r="AD199" s="89"/>
      <c r="AE199" s="89"/>
      <c r="AF199" s="89"/>
      <c r="AG199" s="89"/>
      <c r="AH199" s="89"/>
      <c r="AI199" s="89"/>
      <c r="AJ199" s="89"/>
      <c r="AK199" s="3"/>
      <c r="AL199" s="3"/>
    </row>
    <row r="200" spans="1:38" s="28" customFormat="1" x14ac:dyDescent="0.4">
      <c r="A200" s="90" t="s">
        <v>809</v>
      </c>
      <c r="B200" s="88" t="s">
        <v>136</v>
      </c>
      <c r="C200" s="230" t="s">
        <v>391</v>
      </c>
      <c r="D200" s="230" t="s">
        <v>392</v>
      </c>
      <c r="E200" s="230" t="s">
        <v>393</v>
      </c>
      <c r="F200" s="230" t="s">
        <v>394</v>
      </c>
      <c r="G200" s="230" t="s">
        <v>395</v>
      </c>
      <c r="H200" s="230" t="s">
        <v>396</v>
      </c>
      <c r="I200" s="230" t="s">
        <v>397</v>
      </c>
      <c r="J200" s="230" t="s">
        <v>398</v>
      </c>
      <c r="K200" s="230" t="s">
        <v>399</v>
      </c>
      <c r="L200" s="230" t="s">
        <v>400</v>
      </c>
      <c r="M200" s="230" t="s">
        <v>401</v>
      </c>
      <c r="N200" s="230" t="s">
        <v>402</v>
      </c>
      <c r="O200" s="230" t="s">
        <v>403</v>
      </c>
      <c r="P200" s="230" t="s">
        <v>404</v>
      </c>
      <c r="Q200" s="230" t="s">
        <v>405</v>
      </c>
      <c r="R200" s="230" t="s">
        <v>406</v>
      </c>
      <c r="S200" s="230" t="s">
        <v>407</v>
      </c>
      <c r="T200" s="230" t="s">
        <v>408</v>
      </c>
      <c r="U200" s="230" t="s">
        <v>409</v>
      </c>
      <c r="V200" s="230" t="s">
        <v>410</v>
      </c>
      <c r="W200" s="230" t="s">
        <v>411</v>
      </c>
      <c r="X200" s="230" t="s">
        <v>412</v>
      </c>
      <c r="Y200" s="230" t="s">
        <v>413</v>
      </c>
      <c r="Z200" s="230" t="s">
        <v>414</v>
      </c>
      <c r="AA200" s="230" t="s">
        <v>415</v>
      </c>
      <c r="AB200" s="230" t="s">
        <v>416</v>
      </c>
      <c r="AC200" s="230" t="s">
        <v>417</v>
      </c>
      <c r="AD200" s="230" t="s">
        <v>418</v>
      </c>
      <c r="AE200" s="230" t="s">
        <v>419</v>
      </c>
      <c r="AF200" s="230" t="s">
        <v>420</v>
      </c>
      <c r="AG200" s="230" t="s">
        <v>421</v>
      </c>
      <c r="AH200" s="230" t="s">
        <v>422</v>
      </c>
      <c r="AI200" s="230" t="s">
        <v>423</v>
      </c>
      <c r="AJ200" s="230" t="s">
        <v>424</v>
      </c>
      <c r="AK200" s="3"/>
      <c r="AL200" s="3"/>
    </row>
    <row r="201" spans="1:38" s="28" customFormat="1" ht="17" x14ac:dyDescent="0.4">
      <c r="A201" s="643" t="s">
        <v>552</v>
      </c>
      <c r="B201" s="1474" t="s">
        <v>1389</v>
      </c>
      <c r="C201" s="565">
        <f t="shared" ref="C201:AJ201" si="36">C74*C155</f>
        <v>424.85233392000004</v>
      </c>
      <c r="D201" s="565">
        <f t="shared" si="36"/>
        <v>424.85233392000004</v>
      </c>
      <c r="E201" s="565">
        <f t="shared" si="36"/>
        <v>424.85233392000009</v>
      </c>
      <c r="F201" s="565">
        <f t="shared" si="36"/>
        <v>408.97378852437049</v>
      </c>
      <c r="G201" s="565">
        <f t="shared" si="36"/>
        <v>393.09524312874089</v>
      </c>
      <c r="H201" s="565">
        <f t="shared" si="36"/>
        <v>377.21669773311129</v>
      </c>
      <c r="I201" s="565">
        <f t="shared" si="36"/>
        <v>361.3381523374818</v>
      </c>
      <c r="J201" s="565">
        <f t="shared" si="36"/>
        <v>345.45960694185231</v>
      </c>
      <c r="K201" s="565">
        <f t="shared" si="36"/>
        <v>329.58106154622266</v>
      </c>
      <c r="L201" s="565">
        <f t="shared" si="36"/>
        <v>313.70251615059317</v>
      </c>
      <c r="M201" s="565">
        <f t="shared" si="36"/>
        <v>297.82397075496363</v>
      </c>
      <c r="N201" s="565">
        <f t="shared" si="36"/>
        <v>281.94542535933402</v>
      </c>
      <c r="O201" s="565">
        <f t="shared" si="36"/>
        <v>266.06687996370448</v>
      </c>
      <c r="P201" s="565">
        <f t="shared" si="36"/>
        <v>250.18833456807491</v>
      </c>
      <c r="Q201" s="565">
        <f t="shared" si="36"/>
        <v>234.30978917244536</v>
      </c>
      <c r="R201" s="565">
        <f t="shared" si="36"/>
        <v>218.43124377681582</v>
      </c>
      <c r="S201" s="565">
        <f t="shared" si="36"/>
        <v>202.55269838118625</v>
      </c>
      <c r="T201" s="565">
        <f t="shared" si="36"/>
        <v>186.67415298555667</v>
      </c>
      <c r="U201" s="565">
        <f t="shared" si="36"/>
        <v>170.79560758992713</v>
      </c>
      <c r="V201" s="565">
        <f t="shared" si="36"/>
        <v>154.91706219429756</v>
      </c>
      <c r="W201" s="565">
        <f t="shared" si="36"/>
        <v>139.03851679866801</v>
      </c>
      <c r="X201" s="574">
        <f t="shared" si="36"/>
        <v>153.04437622877555</v>
      </c>
      <c r="Y201" s="574">
        <f t="shared" si="36"/>
        <v>120.45934551674462</v>
      </c>
      <c r="Z201" s="574">
        <f t="shared" si="36"/>
        <v>114.63900318845437</v>
      </c>
      <c r="AA201" s="574">
        <f t="shared" si="36"/>
        <v>106.56447543061661</v>
      </c>
      <c r="AB201" s="574">
        <f t="shared" si="36"/>
        <v>114.83143675595224</v>
      </c>
      <c r="AC201" s="574">
        <f t="shared" si="36"/>
        <v>99.93954586877264</v>
      </c>
      <c r="AD201" s="574">
        <f t="shared" si="36"/>
        <v>95.012360164631161</v>
      </c>
      <c r="AE201" s="574">
        <f t="shared" si="36"/>
        <v>89.936915214983202</v>
      </c>
      <c r="AF201" s="574">
        <f t="shared" si="36"/>
        <v>91.084803757928086</v>
      </c>
      <c r="AG201" s="574">
        <f t="shared" si="36"/>
        <v>89.736353614889012</v>
      </c>
      <c r="AH201" s="574">
        <f t="shared" si="36"/>
        <v>88.957632394431428</v>
      </c>
      <c r="AI201" s="574">
        <f t="shared" si="36"/>
        <v>89.773562137375961</v>
      </c>
      <c r="AJ201" s="574">
        <f t="shared" si="36"/>
        <v>88.508460505491414</v>
      </c>
      <c r="AK201" s="3"/>
      <c r="AL201" s="3"/>
    </row>
    <row r="202" spans="1:38" s="28" customFormat="1" ht="17" x14ac:dyDescent="0.4">
      <c r="A202" s="685" t="s">
        <v>562</v>
      </c>
      <c r="B202" s="1474" t="s">
        <v>1389</v>
      </c>
      <c r="C202" s="565" t="e">
        <f t="shared" ref="C202:AJ202" si="37">C75*C156</f>
        <v>#VALUE!</v>
      </c>
      <c r="D202" s="565" t="e">
        <f t="shared" si="37"/>
        <v>#VALUE!</v>
      </c>
      <c r="E202" s="565" t="e">
        <f t="shared" si="37"/>
        <v>#VALUE!</v>
      </c>
      <c r="F202" s="565" t="e">
        <f t="shared" si="37"/>
        <v>#VALUE!</v>
      </c>
      <c r="G202" s="565" t="e">
        <f t="shared" si="37"/>
        <v>#VALUE!</v>
      </c>
      <c r="H202" s="565" t="e">
        <f t="shared" si="37"/>
        <v>#VALUE!</v>
      </c>
      <c r="I202" s="565" t="e">
        <f t="shared" si="37"/>
        <v>#VALUE!</v>
      </c>
      <c r="J202" s="565" t="e">
        <f t="shared" si="37"/>
        <v>#VALUE!</v>
      </c>
      <c r="K202" s="565" t="e">
        <f t="shared" si="37"/>
        <v>#VALUE!</v>
      </c>
      <c r="L202" s="565" t="e">
        <f t="shared" si="37"/>
        <v>#VALUE!</v>
      </c>
      <c r="M202" s="565" t="e">
        <f t="shared" si="37"/>
        <v>#VALUE!</v>
      </c>
      <c r="N202" s="565" t="e">
        <f t="shared" si="37"/>
        <v>#VALUE!</v>
      </c>
      <c r="O202" s="565" t="e">
        <f t="shared" si="37"/>
        <v>#VALUE!</v>
      </c>
      <c r="P202" s="565" t="e">
        <f t="shared" si="37"/>
        <v>#VALUE!</v>
      </c>
      <c r="Q202" s="565" t="e">
        <f t="shared" si="37"/>
        <v>#VALUE!</v>
      </c>
      <c r="R202" s="565" t="e">
        <f t="shared" si="37"/>
        <v>#VALUE!</v>
      </c>
      <c r="S202" s="565" t="e">
        <f t="shared" si="37"/>
        <v>#VALUE!</v>
      </c>
      <c r="T202" s="565" t="e">
        <f t="shared" si="37"/>
        <v>#VALUE!</v>
      </c>
      <c r="U202" s="565" t="e">
        <f t="shared" si="37"/>
        <v>#VALUE!</v>
      </c>
      <c r="V202" s="565" t="e">
        <f t="shared" si="37"/>
        <v>#VALUE!</v>
      </c>
      <c r="W202" s="565" t="e">
        <f t="shared" si="37"/>
        <v>#VALUE!</v>
      </c>
      <c r="X202" s="565">
        <f t="shared" si="37"/>
        <v>0</v>
      </c>
      <c r="Y202" s="565">
        <f t="shared" si="37"/>
        <v>0</v>
      </c>
      <c r="Z202" s="565">
        <f t="shared" si="37"/>
        <v>0</v>
      </c>
      <c r="AA202" s="565">
        <f t="shared" si="37"/>
        <v>0</v>
      </c>
      <c r="AB202" s="565">
        <f t="shared" si="37"/>
        <v>0</v>
      </c>
      <c r="AC202" s="565">
        <f t="shared" si="37"/>
        <v>0</v>
      </c>
      <c r="AD202" s="565">
        <f t="shared" si="37"/>
        <v>0</v>
      </c>
      <c r="AE202" s="565">
        <f t="shared" si="37"/>
        <v>0</v>
      </c>
      <c r="AF202" s="565">
        <f t="shared" si="37"/>
        <v>0</v>
      </c>
      <c r="AG202" s="565">
        <f t="shared" si="37"/>
        <v>0</v>
      </c>
      <c r="AH202" s="565">
        <f t="shared" si="37"/>
        <v>0</v>
      </c>
      <c r="AI202" s="565">
        <f t="shared" si="37"/>
        <v>0</v>
      </c>
      <c r="AJ202" s="565">
        <f t="shared" si="37"/>
        <v>0</v>
      </c>
      <c r="AK202" s="3"/>
      <c r="AL202" s="3"/>
    </row>
    <row r="203" spans="1:38" s="28" customFormat="1" ht="17" x14ac:dyDescent="0.4">
      <c r="A203" s="685" t="s">
        <v>563</v>
      </c>
      <c r="B203" s="1474" t="s">
        <v>1389</v>
      </c>
      <c r="C203" s="565" t="e">
        <f t="shared" ref="C203:AJ203" si="38">C76*C157</f>
        <v>#VALUE!</v>
      </c>
      <c r="D203" s="565" t="e">
        <f t="shared" si="38"/>
        <v>#VALUE!</v>
      </c>
      <c r="E203" s="565" t="e">
        <f t="shared" si="38"/>
        <v>#VALUE!</v>
      </c>
      <c r="F203" s="565" t="e">
        <f t="shared" si="38"/>
        <v>#VALUE!</v>
      </c>
      <c r="G203" s="565" t="e">
        <f t="shared" si="38"/>
        <v>#VALUE!</v>
      </c>
      <c r="H203" s="565" t="e">
        <f t="shared" si="38"/>
        <v>#VALUE!</v>
      </c>
      <c r="I203" s="565" t="e">
        <f t="shared" si="38"/>
        <v>#VALUE!</v>
      </c>
      <c r="J203" s="565" t="e">
        <f t="shared" si="38"/>
        <v>#VALUE!</v>
      </c>
      <c r="K203" s="565" t="e">
        <f t="shared" si="38"/>
        <v>#VALUE!</v>
      </c>
      <c r="L203" s="565" t="e">
        <f t="shared" si="38"/>
        <v>#VALUE!</v>
      </c>
      <c r="M203" s="565" t="e">
        <f t="shared" si="38"/>
        <v>#VALUE!</v>
      </c>
      <c r="N203" s="565" t="e">
        <f t="shared" si="38"/>
        <v>#VALUE!</v>
      </c>
      <c r="O203" s="565" t="e">
        <f t="shared" si="38"/>
        <v>#VALUE!</v>
      </c>
      <c r="P203" s="565" t="e">
        <f t="shared" si="38"/>
        <v>#VALUE!</v>
      </c>
      <c r="Q203" s="565" t="e">
        <f t="shared" si="38"/>
        <v>#VALUE!</v>
      </c>
      <c r="R203" s="565" t="e">
        <f t="shared" si="38"/>
        <v>#VALUE!</v>
      </c>
      <c r="S203" s="565" t="e">
        <f t="shared" si="38"/>
        <v>#VALUE!</v>
      </c>
      <c r="T203" s="565" t="e">
        <f t="shared" si="38"/>
        <v>#VALUE!</v>
      </c>
      <c r="U203" s="565" t="e">
        <f t="shared" si="38"/>
        <v>#VALUE!</v>
      </c>
      <c r="V203" s="565" t="e">
        <f t="shared" si="38"/>
        <v>#VALUE!</v>
      </c>
      <c r="W203" s="565" t="e">
        <f t="shared" si="38"/>
        <v>#VALUE!</v>
      </c>
      <c r="X203" s="565">
        <f t="shared" si="38"/>
        <v>68.167789763873913</v>
      </c>
      <c r="Y203" s="565">
        <f t="shared" si="38"/>
        <v>74.020341233267459</v>
      </c>
      <c r="Z203" s="565">
        <f t="shared" si="38"/>
        <v>72.30166818135919</v>
      </c>
      <c r="AA203" s="565">
        <f t="shared" si="38"/>
        <v>68.605325268817296</v>
      </c>
      <c r="AB203" s="565">
        <f t="shared" si="38"/>
        <v>67.605218827415399</v>
      </c>
      <c r="AC203" s="565">
        <f t="shared" si="38"/>
        <v>68.867234743875343</v>
      </c>
      <c r="AD203" s="565">
        <f t="shared" si="38"/>
        <v>66.527242652836748</v>
      </c>
      <c r="AE203" s="565">
        <f t="shared" si="38"/>
        <v>67.532759286606847</v>
      </c>
      <c r="AF203" s="565">
        <f t="shared" si="38"/>
        <v>68.147901108908755</v>
      </c>
      <c r="AG203" s="565">
        <f t="shared" si="38"/>
        <v>67.59998233215552</v>
      </c>
      <c r="AH203" s="565">
        <f t="shared" si="38"/>
        <v>67.669004998196684</v>
      </c>
      <c r="AI203" s="565">
        <f t="shared" si="38"/>
        <v>70.233286472012026</v>
      </c>
      <c r="AJ203" s="565">
        <f t="shared" si="38"/>
        <v>69.728437829294165</v>
      </c>
      <c r="AK203" s="3"/>
      <c r="AL203" s="3"/>
    </row>
    <row r="204" spans="1:38" s="28" customFormat="1" ht="17" x14ac:dyDescent="0.4">
      <c r="A204" s="685" t="s">
        <v>564</v>
      </c>
      <c r="B204" s="1474" t="s">
        <v>1389</v>
      </c>
      <c r="C204" s="565" t="e">
        <f t="shared" ref="C204:AJ204" si="39">C77*C158</f>
        <v>#VALUE!</v>
      </c>
      <c r="D204" s="565" t="e">
        <f t="shared" si="39"/>
        <v>#VALUE!</v>
      </c>
      <c r="E204" s="565" t="e">
        <f t="shared" si="39"/>
        <v>#VALUE!</v>
      </c>
      <c r="F204" s="565" t="e">
        <f t="shared" si="39"/>
        <v>#VALUE!</v>
      </c>
      <c r="G204" s="565" t="e">
        <f t="shared" si="39"/>
        <v>#VALUE!</v>
      </c>
      <c r="H204" s="565" t="e">
        <f t="shared" si="39"/>
        <v>#VALUE!</v>
      </c>
      <c r="I204" s="565" t="e">
        <f t="shared" si="39"/>
        <v>#VALUE!</v>
      </c>
      <c r="J204" s="565" t="e">
        <f t="shared" si="39"/>
        <v>#VALUE!</v>
      </c>
      <c r="K204" s="565" t="e">
        <f t="shared" si="39"/>
        <v>#VALUE!</v>
      </c>
      <c r="L204" s="565" t="e">
        <f t="shared" si="39"/>
        <v>#VALUE!</v>
      </c>
      <c r="M204" s="565" t="e">
        <f t="shared" si="39"/>
        <v>#VALUE!</v>
      </c>
      <c r="N204" s="565" t="e">
        <f t="shared" si="39"/>
        <v>#VALUE!</v>
      </c>
      <c r="O204" s="565" t="e">
        <f t="shared" si="39"/>
        <v>#VALUE!</v>
      </c>
      <c r="P204" s="565" t="e">
        <f t="shared" si="39"/>
        <v>#VALUE!</v>
      </c>
      <c r="Q204" s="565" t="e">
        <f t="shared" si="39"/>
        <v>#VALUE!</v>
      </c>
      <c r="R204" s="565" t="e">
        <f t="shared" si="39"/>
        <v>#VALUE!</v>
      </c>
      <c r="S204" s="565" t="e">
        <f t="shared" si="39"/>
        <v>#VALUE!</v>
      </c>
      <c r="T204" s="565" t="e">
        <f t="shared" si="39"/>
        <v>#VALUE!</v>
      </c>
      <c r="U204" s="565" t="e">
        <f t="shared" si="39"/>
        <v>#VALUE!</v>
      </c>
      <c r="V204" s="565" t="e">
        <f t="shared" si="39"/>
        <v>#VALUE!</v>
      </c>
      <c r="W204" s="565" t="e">
        <f t="shared" si="39"/>
        <v>#VALUE!</v>
      </c>
      <c r="X204" s="565">
        <f t="shared" si="39"/>
        <v>0</v>
      </c>
      <c r="Y204" s="565">
        <f t="shared" si="39"/>
        <v>0</v>
      </c>
      <c r="Z204" s="565">
        <f t="shared" si="39"/>
        <v>0</v>
      </c>
      <c r="AA204" s="565">
        <f t="shared" si="39"/>
        <v>0</v>
      </c>
      <c r="AB204" s="565">
        <f t="shared" si="39"/>
        <v>0</v>
      </c>
      <c r="AC204" s="565">
        <f t="shared" si="39"/>
        <v>0</v>
      </c>
      <c r="AD204" s="565">
        <f t="shared" si="39"/>
        <v>0</v>
      </c>
      <c r="AE204" s="565">
        <f t="shared" si="39"/>
        <v>0</v>
      </c>
      <c r="AF204" s="565">
        <f t="shared" si="39"/>
        <v>0</v>
      </c>
      <c r="AG204" s="565">
        <f t="shared" si="39"/>
        <v>0</v>
      </c>
      <c r="AH204" s="565">
        <f t="shared" si="39"/>
        <v>0</v>
      </c>
      <c r="AI204" s="565">
        <f t="shared" si="39"/>
        <v>0</v>
      </c>
      <c r="AJ204" s="565">
        <f t="shared" si="39"/>
        <v>0</v>
      </c>
      <c r="AK204" s="3"/>
      <c r="AL204" s="3"/>
    </row>
    <row r="205" spans="1:38" s="28" customFormat="1" ht="17" x14ac:dyDescent="0.4">
      <c r="A205" s="578" t="s">
        <v>810</v>
      </c>
      <c r="B205" s="1474" t="s">
        <v>1389</v>
      </c>
      <c r="C205" s="565">
        <f>C201</f>
        <v>424.85233392000004</v>
      </c>
      <c r="D205" s="565">
        <f t="shared" ref="D205:W205" si="40">D201</f>
        <v>424.85233392000004</v>
      </c>
      <c r="E205" s="565">
        <f t="shared" si="40"/>
        <v>424.85233392000009</v>
      </c>
      <c r="F205" s="565">
        <f t="shared" si="40"/>
        <v>408.97378852437049</v>
      </c>
      <c r="G205" s="565">
        <f t="shared" si="40"/>
        <v>393.09524312874089</v>
      </c>
      <c r="H205" s="565">
        <f t="shared" si="40"/>
        <v>377.21669773311129</v>
      </c>
      <c r="I205" s="565">
        <f t="shared" si="40"/>
        <v>361.3381523374818</v>
      </c>
      <c r="J205" s="565">
        <f t="shared" si="40"/>
        <v>345.45960694185231</v>
      </c>
      <c r="K205" s="565">
        <f t="shared" si="40"/>
        <v>329.58106154622266</v>
      </c>
      <c r="L205" s="565">
        <f t="shared" si="40"/>
        <v>313.70251615059317</v>
      </c>
      <c r="M205" s="565">
        <f t="shared" si="40"/>
        <v>297.82397075496363</v>
      </c>
      <c r="N205" s="565">
        <f t="shared" si="40"/>
        <v>281.94542535933402</v>
      </c>
      <c r="O205" s="565">
        <f t="shared" si="40"/>
        <v>266.06687996370448</v>
      </c>
      <c r="P205" s="565">
        <f t="shared" si="40"/>
        <v>250.18833456807491</v>
      </c>
      <c r="Q205" s="565">
        <f t="shared" si="40"/>
        <v>234.30978917244536</v>
      </c>
      <c r="R205" s="565">
        <f t="shared" si="40"/>
        <v>218.43124377681582</v>
      </c>
      <c r="S205" s="565">
        <f t="shared" si="40"/>
        <v>202.55269838118625</v>
      </c>
      <c r="T205" s="565">
        <f t="shared" si="40"/>
        <v>186.67415298555667</v>
      </c>
      <c r="U205" s="565">
        <f t="shared" si="40"/>
        <v>170.79560758992713</v>
      </c>
      <c r="V205" s="565">
        <f t="shared" si="40"/>
        <v>154.91706219429756</v>
      </c>
      <c r="W205" s="565">
        <f t="shared" si="40"/>
        <v>139.03851679866801</v>
      </c>
      <c r="X205" s="565">
        <f>X202+X203+X204</f>
        <v>68.167789763873913</v>
      </c>
      <c r="Y205" s="565">
        <f t="shared" ref="Y205:AH205" si="41">Y202+Y203+Y204</f>
        <v>74.020341233267459</v>
      </c>
      <c r="Z205" s="565">
        <f t="shared" si="41"/>
        <v>72.30166818135919</v>
      </c>
      <c r="AA205" s="565">
        <f t="shared" si="41"/>
        <v>68.605325268817296</v>
      </c>
      <c r="AB205" s="565">
        <f t="shared" si="41"/>
        <v>67.605218827415399</v>
      </c>
      <c r="AC205" s="565">
        <f t="shared" si="41"/>
        <v>68.867234743875343</v>
      </c>
      <c r="AD205" s="565">
        <f t="shared" si="41"/>
        <v>66.527242652836748</v>
      </c>
      <c r="AE205" s="565">
        <f t="shared" si="41"/>
        <v>67.532759286606847</v>
      </c>
      <c r="AF205" s="565">
        <f t="shared" si="41"/>
        <v>68.147901108908755</v>
      </c>
      <c r="AG205" s="565">
        <f t="shared" si="41"/>
        <v>67.59998233215552</v>
      </c>
      <c r="AH205" s="565">
        <f t="shared" si="41"/>
        <v>67.669004998196684</v>
      </c>
      <c r="AI205" s="565">
        <f t="shared" ref="AI205:AJ205" si="42">AI202+AI203+AI204</f>
        <v>70.233286472012026</v>
      </c>
      <c r="AJ205" s="565">
        <f t="shared" si="42"/>
        <v>69.728437829294165</v>
      </c>
      <c r="AK205" s="3"/>
      <c r="AL205" s="3"/>
    </row>
    <row r="206" spans="1:38" x14ac:dyDescent="0.4">
      <c r="A206" s="691" t="s">
        <v>1063</v>
      </c>
      <c r="B206" s="1157"/>
      <c r="C206" s="696"/>
      <c r="D206" s="696"/>
      <c r="E206" s="696"/>
      <c r="F206" s="696"/>
      <c r="G206" s="696"/>
      <c r="H206" s="696"/>
      <c r="I206" s="696"/>
      <c r="J206" s="696"/>
      <c r="K206" s="696"/>
      <c r="L206" s="696"/>
      <c r="M206" s="696"/>
      <c r="N206" s="696"/>
      <c r="O206" s="696"/>
      <c r="P206" s="696"/>
      <c r="Q206" s="696"/>
      <c r="R206" s="696"/>
      <c r="S206" s="696"/>
      <c r="T206" s="696"/>
      <c r="U206" s="696"/>
      <c r="V206" s="696"/>
      <c r="W206" s="696"/>
      <c r="X206" s="696"/>
      <c r="Y206" s="696"/>
      <c r="Z206" s="696"/>
      <c r="AA206" s="696"/>
      <c r="AB206" s="696"/>
      <c r="AC206" s="696"/>
      <c r="AD206" s="696"/>
      <c r="AE206" s="696"/>
      <c r="AF206" s="696"/>
      <c r="AG206" s="696"/>
      <c r="AH206" s="696"/>
      <c r="AI206" s="696"/>
      <c r="AJ206" s="696"/>
    </row>
    <row r="207" spans="1:38" x14ac:dyDescent="0.4">
      <c r="A207" s="684"/>
      <c r="B207" s="1157"/>
      <c r="C207" s="697"/>
      <c r="D207" s="697"/>
      <c r="E207" s="697"/>
      <c r="F207" s="697"/>
      <c r="G207" s="697"/>
      <c r="H207" s="697"/>
      <c r="I207" s="697"/>
      <c r="J207" s="697"/>
      <c r="K207" s="697"/>
      <c r="L207" s="697"/>
      <c r="M207" s="697"/>
      <c r="N207" s="697"/>
      <c r="O207" s="697"/>
      <c r="P207" s="697"/>
      <c r="Q207" s="697"/>
      <c r="R207" s="697"/>
      <c r="S207" s="697"/>
      <c r="T207" s="697"/>
      <c r="U207" s="697"/>
      <c r="V207" s="697"/>
      <c r="W207" s="697"/>
      <c r="X207" s="697"/>
      <c r="Y207" s="697"/>
      <c r="Z207" s="697"/>
      <c r="AA207" s="697"/>
      <c r="AB207" s="697"/>
      <c r="AC207" s="697"/>
      <c r="AD207" s="697"/>
      <c r="AE207" s="697"/>
      <c r="AF207" s="697"/>
      <c r="AG207" s="697"/>
      <c r="AH207" s="697"/>
      <c r="AI207" s="697"/>
      <c r="AJ207" s="697"/>
    </row>
    <row r="208" spans="1:38" x14ac:dyDescent="0.4">
      <c r="A208" s="3" t="s">
        <v>561</v>
      </c>
    </row>
    <row r="210" spans="1:38" ht="17" x14ac:dyDescent="0.45">
      <c r="A210" s="88" t="s">
        <v>1506</v>
      </c>
    </row>
    <row r="211" spans="1:38" s="28" customFormat="1" x14ac:dyDescent="0.4">
      <c r="A211" s="90" t="s">
        <v>811</v>
      </c>
      <c r="B211" s="88" t="s">
        <v>136</v>
      </c>
      <c r="C211" s="230" t="s">
        <v>391</v>
      </c>
      <c r="D211" s="230" t="s">
        <v>392</v>
      </c>
      <c r="E211" s="230" t="s">
        <v>393</v>
      </c>
      <c r="F211" s="230" t="s">
        <v>394</v>
      </c>
      <c r="G211" s="230" t="s">
        <v>395</v>
      </c>
      <c r="H211" s="230" t="s">
        <v>396</v>
      </c>
      <c r="I211" s="230" t="s">
        <v>397</v>
      </c>
      <c r="J211" s="230" t="s">
        <v>398</v>
      </c>
      <c r="K211" s="230" t="s">
        <v>399</v>
      </c>
      <c r="L211" s="230" t="s">
        <v>400</v>
      </c>
      <c r="M211" s="230" t="s">
        <v>401</v>
      </c>
      <c r="N211" s="230" t="s">
        <v>402</v>
      </c>
      <c r="O211" s="230" t="s">
        <v>403</v>
      </c>
      <c r="P211" s="230" t="s">
        <v>404</v>
      </c>
      <c r="Q211" s="230" t="s">
        <v>405</v>
      </c>
      <c r="R211" s="230" t="s">
        <v>406</v>
      </c>
      <c r="S211" s="230" t="s">
        <v>407</v>
      </c>
      <c r="T211" s="230" t="s">
        <v>408</v>
      </c>
      <c r="U211" s="230" t="s">
        <v>409</v>
      </c>
      <c r="V211" s="230" t="s">
        <v>410</v>
      </c>
      <c r="W211" s="230" t="s">
        <v>411</v>
      </c>
      <c r="X211" s="230" t="s">
        <v>412</v>
      </c>
      <c r="Y211" s="230" t="s">
        <v>413</v>
      </c>
      <c r="Z211" s="230" t="s">
        <v>414</v>
      </c>
      <c r="AA211" s="230" t="s">
        <v>415</v>
      </c>
      <c r="AB211" s="230" t="s">
        <v>416</v>
      </c>
      <c r="AC211" s="230" t="s">
        <v>417</v>
      </c>
      <c r="AD211" s="230" t="s">
        <v>418</v>
      </c>
      <c r="AE211" s="230" t="s">
        <v>419</v>
      </c>
      <c r="AF211" s="230" t="s">
        <v>420</v>
      </c>
      <c r="AG211" s="230" t="s">
        <v>421</v>
      </c>
      <c r="AH211" s="230" t="s">
        <v>422</v>
      </c>
      <c r="AI211" s="230" t="s">
        <v>423</v>
      </c>
      <c r="AJ211" s="230" t="s">
        <v>424</v>
      </c>
      <c r="AK211" s="3"/>
      <c r="AL211" s="3"/>
    </row>
    <row r="212" spans="1:38" s="28" customFormat="1" ht="17" x14ac:dyDescent="0.4">
      <c r="A212" s="643" t="s">
        <v>183</v>
      </c>
      <c r="B212" s="1474" t="s">
        <v>1389</v>
      </c>
      <c r="C212" s="565">
        <f t="shared" ref="C212:AJ212" si="43">C86*C163</f>
        <v>108.69882352941177</v>
      </c>
      <c r="D212" s="565">
        <f t="shared" si="43"/>
        <v>108.69882352941177</v>
      </c>
      <c r="E212" s="565">
        <f t="shared" si="43"/>
        <v>108.69882352941175</v>
      </c>
      <c r="F212" s="565">
        <f t="shared" si="43"/>
        <v>108.69882352941175</v>
      </c>
      <c r="G212" s="565">
        <f t="shared" si="43"/>
        <v>108.69882352941175</v>
      </c>
      <c r="H212" s="565">
        <f t="shared" si="43"/>
        <v>108.69882352941174</v>
      </c>
      <c r="I212" s="565">
        <f t="shared" si="43"/>
        <v>108.69882352941177</v>
      </c>
      <c r="J212" s="565">
        <f t="shared" si="43"/>
        <v>108.69882352941175</v>
      </c>
      <c r="K212" s="565">
        <f t="shared" si="43"/>
        <v>108.69882352941175</v>
      </c>
      <c r="L212" s="565">
        <f t="shared" si="43"/>
        <v>108.69882352941175</v>
      </c>
      <c r="M212" s="565">
        <f t="shared" si="43"/>
        <v>114.73764705882354</v>
      </c>
      <c r="N212" s="565">
        <f t="shared" si="43"/>
        <v>114.73764705882351</v>
      </c>
      <c r="O212" s="565">
        <f t="shared" si="43"/>
        <v>114.7376470588235</v>
      </c>
      <c r="P212" s="565">
        <f t="shared" si="43"/>
        <v>114.73764705882354</v>
      </c>
      <c r="Q212" s="565">
        <f t="shared" si="43"/>
        <v>114.73764705882354</v>
      </c>
      <c r="R212" s="565">
        <f t="shared" si="43"/>
        <v>114.73764705882354</v>
      </c>
      <c r="S212" s="565">
        <f t="shared" si="43"/>
        <v>114.73764705882354</v>
      </c>
      <c r="T212" s="565">
        <f t="shared" si="43"/>
        <v>114.73764705882354</v>
      </c>
      <c r="U212" s="565">
        <f t="shared" si="43"/>
        <v>114.73764705882354</v>
      </c>
      <c r="V212" s="565">
        <f t="shared" si="43"/>
        <v>114.73764705882354</v>
      </c>
      <c r="W212" s="565">
        <f t="shared" si="43"/>
        <v>114.73764705882351</v>
      </c>
      <c r="X212" s="565">
        <f t="shared" si="43"/>
        <v>114.73764705882351</v>
      </c>
      <c r="Y212" s="565">
        <f t="shared" si="43"/>
        <v>114.73764705882351</v>
      </c>
      <c r="Z212" s="565">
        <f t="shared" si="43"/>
        <v>114.73764705882351</v>
      </c>
      <c r="AA212" s="565">
        <f t="shared" si="43"/>
        <v>114.73764705882351</v>
      </c>
      <c r="AB212" s="565">
        <f t="shared" si="43"/>
        <v>114.73764705882351</v>
      </c>
      <c r="AC212" s="565">
        <f t="shared" si="43"/>
        <v>114.73764705882354</v>
      </c>
      <c r="AD212" s="565">
        <f t="shared" si="43"/>
        <v>114.73764705882351</v>
      </c>
      <c r="AE212" s="565">
        <f t="shared" si="43"/>
        <v>105.72866666666667</v>
      </c>
      <c r="AF212" s="565">
        <f t="shared" si="43"/>
        <v>171.2406666666667</v>
      </c>
      <c r="AG212" s="565">
        <f t="shared" si="43"/>
        <v>316.084</v>
      </c>
      <c r="AH212" s="565">
        <f t="shared" si="43"/>
        <v>520.03</v>
      </c>
      <c r="AI212" s="565">
        <f t="shared" si="43"/>
        <v>634.94200000000001</v>
      </c>
      <c r="AJ212" s="565">
        <f t="shared" si="43"/>
        <v>589.38</v>
      </c>
      <c r="AK212" s="3"/>
      <c r="AL212" s="3"/>
    </row>
    <row r="213" spans="1:38" s="28" customFormat="1" ht="17" x14ac:dyDescent="0.4">
      <c r="A213" s="644" t="s">
        <v>185</v>
      </c>
      <c r="B213" s="1474" t="s">
        <v>1389</v>
      </c>
      <c r="C213" s="592">
        <f t="shared" ref="C213:AJ213" si="44">C86*C164</f>
        <v>1511.1781200000003</v>
      </c>
      <c r="D213" s="592">
        <f t="shared" si="44"/>
        <v>1511.17812</v>
      </c>
      <c r="E213" s="592">
        <f t="shared" si="44"/>
        <v>1511.1781199999998</v>
      </c>
      <c r="F213" s="592">
        <f t="shared" si="44"/>
        <v>1511.17812</v>
      </c>
      <c r="G213" s="592">
        <f t="shared" si="44"/>
        <v>1511.1781199999998</v>
      </c>
      <c r="H213" s="592">
        <f t="shared" si="44"/>
        <v>1511.17812</v>
      </c>
      <c r="I213" s="592">
        <f t="shared" si="44"/>
        <v>1511.17812</v>
      </c>
      <c r="J213" s="592">
        <f t="shared" si="44"/>
        <v>1511.17812</v>
      </c>
      <c r="K213" s="592">
        <f t="shared" si="44"/>
        <v>1511.17812</v>
      </c>
      <c r="L213" s="592">
        <f t="shared" si="44"/>
        <v>1511.17812</v>
      </c>
      <c r="M213" s="592">
        <f t="shared" si="44"/>
        <v>1595.1324599999998</v>
      </c>
      <c r="N213" s="592">
        <f t="shared" si="44"/>
        <v>1595.13246</v>
      </c>
      <c r="O213" s="592">
        <f t="shared" si="44"/>
        <v>1595.13246</v>
      </c>
      <c r="P213" s="592">
        <f t="shared" si="44"/>
        <v>1595.13246</v>
      </c>
      <c r="Q213" s="592">
        <f t="shared" si="44"/>
        <v>1595.13246</v>
      </c>
      <c r="R213" s="592">
        <f t="shared" si="44"/>
        <v>1595.13246</v>
      </c>
      <c r="S213" s="592">
        <f t="shared" si="44"/>
        <v>1595.13246</v>
      </c>
      <c r="T213" s="592">
        <f t="shared" si="44"/>
        <v>1595.13246</v>
      </c>
      <c r="U213" s="592">
        <f t="shared" si="44"/>
        <v>1595.13246</v>
      </c>
      <c r="V213" s="592">
        <f t="shared" si="44"/>
        <v>1595.13246</v>
      </c>
      <c r="W213" s="592">
        <f t="shared" si="44"/>
        <v>1595.13246</v>
      </c>
      <c r="X213" s="592">
        <f t="shared" si="44"/>
        <v>1595.13246</v>
      </c>
      <c r="Y213" s="592">
        <f t="shared" si="44"/>
        <v>1595.1324599999998</v>
      </c>
      <c r="Z213" s="592">
        <f t="shared" si="44"/>
        <v>1595.1324599999998</v>
      </c>
      <c r="AA213" s="592">
        <f t="shared" si="44"/>
        <v>1595.1324599999998</v>
      </c>
      <c r="AB213" s="592">
        <f t="shared" si="44"/>
        <v>1595.1324599999998</v>
      </c>
      <c r="AC213" s="592">
        <f t="shared" si="44"/>
        <v>1595.13246</v>
      </c>
      <c r="AD213" s="592">
        <f t="shared" si="44"/>
        <v>1595.13246</v>
      </c>
      <c r="AE213" s="592">
        <f t="shared" si="44"/>
        <v>1595.13246</v>
      </c>
      <c r="AF213" s="592">
        <f t="shared" si="44"/>
        <v>1595.1324599999998</v>
      </c>
      <c r="AG213" s="592">
        <f t="shared" si="44"/>
        <v>1595.13246</v>
      </c>
      <c r="AH213" s="592">
        <f t="shared" si="44"/>
        <v>1595.13246</v>
      </c>
      <c r="AI213" s="592">
        <f t="shared" si="44"/>
        <v>1595.13246</v>
      </c>
      <c r="AJ213" s="592">
        <f t="shared" si="44"/>
        <v>1595.1324600000003</v>
      </c>
      <c r="AK213" s="3"/>
      <c r="AL213" s="3"/>
    </row>
    <row r="214" spans="1:38" s="28" customFormat="1" x14ac:dyDescent="0.4">
      <c r="A214" s="581" t="s">
        <v>1063</v>
      </c>
      <c r="B214" s="581"/>
      <c r="C214" s="581"/>
      <c r="D214" s="581"/>
      <c r="E214" s="581"/>
      <c r="F214" s="581"/>
      <c r="G214" s="581"/>
      <c r="H214" s="581"/>
      <c r="I214" s="581"/>
      <c r="J214" s="581"/>
      <c r="K214" s="581"/>
      <c r="L214" s="581"/>
      <c r="M214" s="581"/>
      <c r="N214" s="581"/>
      <c r="O214" s="581"/>
      <c r="P214" s="581"/>
      <c r="Q214" s="581"/>
      <c r="R214" s="581"/>
      <c r="S214" s="581"/>
      <c r="T214" s="581"/>
      <c r="U214" s="581"/>
      <c r="V214" s="581"/>
      <c r="W214" s="581"/>
      <c r="X214" s="581"/>
      <c r="Y214" s="581"/>
      <c r="Z214" s="581"/>
      <c r="AA214" s="581"/>
      <c r="AB214" s="581"/>
      <c r="AC214" s="581"/>
      <c r="AD214" s="581"/>
      <c r="AE214" s="581"/>
      <c r="AF214" s="581"/>
      <c r="AG214" s="581"/>
      <c r="AH214" s="581"/>
      <c r="AI214" s="581"/>
      <c r="AJ214" s="581"/>
      <c r="AK214" s="3"/>
      <c r="AL214" s="3"/>
    </row>
    <row r="215" spans="1:38" s="28" customFormat="1" x14ac:dyDescent="0.4">
      <c r="A215" s="538"/>
      <c r="B215" s="538"/>
      <c r="C215" s="89"/>
      <c r="D215" s="89"/>
      <c r="E215" s="89"/>
      <c r="F215" s="89"/>
      <c r="G215" s="89"/>
      <c r="H215" s="89"/>
      <c r="I215" s="89"/>
      <c r="J215" s="89"/>
      <c r="K215" s="89"/>
      <c r="L215" s="89"/>
      <c r="M215" s="89"/>
      <c r="N215" s="89"/>
      <c r="O215" s="89"/>
      <c r="P215" s="89"/>
      <c r="Q215" s="89"/>
      <c r="R215" s="89"/>
      <c r="S215" s="89"/>
      <c r="T215" s="89"/>
      <c r="U215" s="89"/>
      <c r="V215" s="89"/>
      <c r="W215" s="89"/>
      <c r="X215" s="89"/>
      <c r="Y215" s="89"/>
      <c r="Z215" s="89"/>
      <c r="AA215" s="89"/>
      <c r="AB215" s="89"/>
      <c r="AC215" s="89"/>
      <c r="AD215" s="89"/>
      <c r="AE215" s="89"/>
      <c r="AF215" s="89"/>
      <c r="AG215" s="89"/>
      <c r="AH215" s="89"/>
      <c r="AI215" s="89"/>
      <c r="AJ215" s="89"/>
      <c r="AK215" s="3"/>
      <c r="AL215" s="3"/>
    </row>
    <row r="216" spans="1:38" s="28" customFormat="1" ht="17" x14ac:dyDescent="0.45">
      <c r="A216" s="88" t="s">
        <v>1507</v>
      </c>
      <c r="B216" s="581"/>
      <c r="C216" s="89"/>
      <c r="D216" s="89"/>
      <c r="E216" s="89"/>
      <c r="F216" s="89"/>
      <c r="G216" s="89"/>
      <c r="H216" s="89"/>
      <c r="I216" s="89"/>
      <c r="J216" s="89"/>
      <c r="K216" s="89"/>
      <c r="L216" s="89"/>
      <c r="M216" s="89"/>
      <c r="N216" s="89"/>
      <c r="O216" s="89"/>
      <c r="P216" s="89"/>
      <c r="Q216" s="89"/>
      <c r="R216" s="89"/>
      <c r="S216" s="89"/>
      <c r="T216" s="89"/>
      <c r="U216" s="89"/>
      <c r="V216" s="89"/>
      <c r="W216" s="89"/>
      <c r="X216" s="89"/>
      <c r="Y216" s="89"/>
      <c r="Z216" s="89"/>
      <c r="AA216" s="89"/>
      <c r="AB216" s="89"/>
      <c r="AC216" s="89"/>
      <c r="AD216" s="89"/>
      <c r="AE216" s="89"/>
      <c r="AF216" s="89"/>
      <c r="AG216" s="89"/>
      <c r="AH216" s="89"/>
      <c r="AI216" s="89"/>
      <c r="AJ216" s="89"/>
      <c r="AK216" s="3"/>
      <c r="AL216" s="3"/>
    </row>
    <row r="217" spans="1:38" s="28" customFormat="1" x14ac:dyDescent="0.4">
      <c r="A217" s="90" t="s">
        <v>812</v>
      </c>
      <c r="B217" s="88" t="s">
        <v>136</v>
      </c>
      <c r="C217" s="230" t="s">
        <v>391</v>
      </c>
      <c r="D217" s="230" t="s">
        <v>392</v>
      </c>
      <c r="E217" s="230" t="s">
        <v>393</v>
      </c>
      <c r="F217" s="230" t="s">
        <v>394</v>
      </c>
      <c r="G217" s="230" t="s">
        <v>395</v>
      </c>
      <c r="H217" s="230" t="s">
        <v>396</v>
      </c>
      <c r="I217" s="230" t="s">
        <v>397</v>
      </c>
      <c r="J217" s="230" t="s">
        <v>398</v>
      </c>
      <c r="K217" s="230" t="s">
        <v>399</v>
      </c>
      <c r="L217" s="230" t="s">
        <v>400</v>
      </c>
      <c r="M217" s="230" t="s">
        <v>401</v>
      </c>
      <c r="N217" s="230" t="s">
        <v>402</v>
      </c>
      <c r="O217" s="230" t="s">
        <v>403</v>
      </c>
      <c r="P217" s="230" t="s">
        <v>404</v>
      </c>
      <c r="Q217" s="230" t="s">
        <v>405</v>
      </c>
      <c r="R217" s="230" t="s">
        <v>406</v>
      </c>
      <c r="S217" s="230" t="s">
        <v>407</v>
      </c>
      <c r="T217" s="230" t="s">
        <v>408</v>
      </c>
      <c r="U217" s="230" t="s">
        <v>409</v>
      </c>
      <c r="V217" s="230" t="s">
        <v>410</v>
      </c>
      <c r="W217" s="230" t="s">
        <v>411</v>
      </c>
      <c r="X217" s="230" t="s">
        <v>412</v>
      </c>
      <c r="Y217" s="230" t="s">
        <v>413</v>
      </c>
      <c r="Z217" s="230" t="s">
        <v>414</v>
      </c>
      <c r="AA217" s="230" t="s">
        <v>415</v>
      </c>
      <c r="AB217" s="230" t="s">
        <v>416</v>
      </c>
      <c r="AC217" s="230" t="s">
        <v>417</v>
      </c>
      <c r="AD217" s="230" t="s">
        <v>418</v>
      </c>
      <c r="AE217" s="230" t="s">
        <v>419</v>
      </c>
      <c r="AF217" s="230" t="s">
        <v>420</v>
      </c>
      <c r="AG217" s="230" t="s">
        <v>421</v>
      </c>
      <c r="AH217" s="230" t="s">
        <v>422</v>
      </c>
      <c r="AI217" s="230" t="s">
        <v>423</v>
      </c>
      <c r="AJ217" s="230" t="s">
        <v>424</v>
      </c>
      <c r="AK217" s="3"/>
      <c r="AL217" s="3"/>
    </row>
    <row r="218" spans="1:38" s="28" customFormat="1" ht="17" x14ac:dyDescent="0.4">
      <c r="A218" s="698" t="s">
        <v>187</v>
      </c>
      <c r="B218" s="1474" t="s">
        <v>1389</v>
      </c>
      <c r="C218" s="565">
        <f t="shared" ref="C218:Z218" si="45">C94*C169</f>
        <v>57.731333333333332</v>
      </c>
      <c r="D218" s="565">
        <f t="shared" si="45"/>
        <v>66.609230769230777</v>
      </c>
      <c r="E218" s="565">
        <f t="shared" si="45"/>
        <v>66.609230769230777</v>
      </c>
      <c r="F218" s="565">
        <f t="shared" si="45"/>
        <v>66.609230769230777</v>
      </c>
      <c r="G218" s="565">
        <f t="shared" si="45"/>
        <v>66.609230769230777</v>
      </c>
      <c r="H218" s="565">
        <f t="shared" si="45"/>
        <v>66.609230769230777</v>
      </c>
      <c r="I218" s="565">
        <f t="shared" si="45"/>
        <v>66.609230769230777</v>
      </c>
      <c r="J218" s="565">
        <f t="shared" si="45"/>
        <v>66.609230769230777</v>
      </c>
      <c r="K218" s="565">
        <f t="shared" si="45"/>
        <v>66.609230769230777</v>
      </c>
      <c r="L218" s="565">
        <f t="shared" si="45"/>
        <v>66.609230769230777</v>
      </c>
      <c r="M218" s="565">
        <f t="shared" si="45"/>
        <v>66.609230769230777</v>
      </c>
      <c r="N218" s="565">
        <f t="shared" si="45"/>
        <v>66.609230769230763</v>
      </c>
      <c r="O218" s="565">
        <f t="shared" si="45"/>
        <v>66.609230769230763</v>
      </c>
      <c r="P218" s="565">
        <f t="shared" si="45"/>
        <v>66.609230769230777</v>
      </c>
      <c r="Q218" s="565">
        <f t="shared" si="45"/>
        <v>66.609230769230777</v>
      </c>
      <c r="R218" s="565">
        <f t="shared" si="45"/>
        <v>66.609230769230777</v>
      </c>
      <c r="S218" s="565">
        <f t="shared" si="45"/>
        <v>66.609230769230777</v>
      </c>
      <c r="T218" s="565">
        <f t="shared" si="45"/>
        <v>66.609230769230777</v>
      </c>
      <c r="U218" s="565">
        <f t="shared" si="45"/>
        <v>133.21846153846155</v>
      </c>
      <c r="V218" s="565">
        <f t="shared" si="45"/>
        <v>133.21846153846155</v>
      </c>
      <c r="W218" s="565">
        <f t="shared" si="45"/>
        <v>199.82769230769233</v>
      </c>
      <c r="X218" s="565">
        <f t="shared" si="45"/>
        <v>66.609230769230777</v>
      </c>
      <c r="Y218" s="565">
        <f t="shared" si="45"/>
        <v>66.609230769230777</v>
      </c>
      <c r="Z218" s="565">
        <f t="shared" si="45"/>
        <v>66.609230769230777</v>
      </c>
      <c r="AA218" s="576">
        <f t="shared" ref="AA218:AJ218" si="46">(AA94-AA488)*AA169+(AA486+AA489)</f>
        <v>4.16</v>
      </c>
      <c r="AB218" s="576">
        <f t="shared" si="46"/>
        <v>70.02083076923077</v>
      </c>
      <c r="AC218" s="576">
        <f t="shared" si="46"/>
        <v>82.169230769230779</v>
      </c>
      <c r="AD218" s="576">
        <f t="shared" si="46"/>
        <v>8.36</v>
      </c>
      <c r="AE218" s="576">
        <f t="shared" si="46"/>
        <v>10.58</v>
      </c>
      <c r="AF218" s="576">
        <f t="shared" si="46"/>
        <v>39.605833333333329</v>
      </c>
      <c r="AG218" s="576">
        <f t="shared" si="46"/>
        <v>8.8199999999999985</v>
      </c>
      <c r="AH218" s="576">
        <f t="shared" si="46"/>
        <v>7.34</v>
      </c>
      <c r="AI218" s="576">
        <f t="shared" si="46"/>
        <v>26.646714285714296</v>
      </c>
      <c r="AJ218" s="576">
        <f t="shared" si="46"/>
        <v>4.96</v>
      </c>
      <c r="AK218" s="3"/>
      <c r="AL218" s="3"/>
    </row>
    <row r="219" spans="1:38" s="28" customFormat="1" ht="17" x14ac:dyDescent="0.4">
      <c r="A219" s="699" t="s">
        <v>189</v>
      </c>
      <c r="B219" s="1474" t="s">
        <v>1389</v>
      </c>
      <c r="C219" s="592">
        <f t="shared" ref="C219:W219" si="47">C94*C170</f>
        <v>1229.556</v>
      </c>
      <c r="D219" s="592">
        <f t="shared" si="47"/>
        <v>1418.6699999999998</v>
      </c>
      <c r="E219" s="592">
        <f t="shared" si="47"/>
        <v>1418.6699999999998</v>
      </c>
      <c r="F219" s="592">
        <f t="shared" si="47"/>
        <v>1418.6699999999998</v>
      </c>
      <c r="G219" s="592">
        <f t="shared" si="47"/>
        <v>1418.6699999999998</v>
      </c>
      <c r="H219" s="592">
        <f t="shared" si="47"/>
        <v>1418.6699999999998</v>
      </c>
      <c r="I219" s="592">
        <f t="shared" si="47"/>
        <v>1418.6699999999998</v>
      </c>
      <c r="J219" s="592">
        <f t="shared" si="47"/>
        <v>1418.6699999999998</v>
      </c>
      <c r="K219" s="592">
        <f t="shared" si="47"/>
        <v>1418.6699999999998</v>
      </c>
      <c r="L219" s="592">
        <f t="shared" si="47"/>
        <v>1418.6699999999998</v>
      </c>
      <c r="M219" s="592">
        <f t="shared" si="47"/>
        <v>1418.6699999999998</v>
      </c>
      <c r="N219" s="592">
        <f t="shared" si="47"/>
        <v>1418.6699999999998</v>
      </c>
      <c r="O219" s="592">
        <f t="shared" si="47"/>
        <v>1418.6699999999998</v>
      </c>
      <c r="P219" s="592">
        <f t="shared" si="47"/>
        <v>1418.6699999999998</v>
      </c>
      <c r="Q219" s="592">
        <f t="shared" si="47"/>
        <v>1418.6699999999998</v>
      </c>
      <c r="R219" s="592">
        <f t="shared" si="47"/>
        <v>1418.6699999999998</v>
      </c>
      <c r="S219" s="592">
        <f t="shared" si="47"/>
        <v>1418.6699999999998</v>
      </c>
      <c r="T219" s="592">
        <f t="shared" si="47"/>
        <v>1418.6699999999998</v>
      </c>
      <c r="U219" s="592">
        <f t="shared" si="47"/>
        <v>2837.3399999999997</v>
      </c>
      <c r="V219" s="592">
        <f t="shared" si="47"/>
        <v>2837.3399999999997</v>
      </c>
      <c r="W219" s="592">
        <f t="shared" si="47"/>
        <v>4256.0099999999993</v>
      </c>
      <c r="X219" s="596">
        <f t="shared" ref="X219:AJ219" si="48">(X94-X488)*X170+X483</f>
        <v>11.152000000000001</v>
      </c>
      <c r="Y219" s="596">
        <f t="shared" si="48"/>
        <v>7.3244000000000007</v>
      </c>
      <c r="Z219" s="596">
        <f t="shared" si="48"/>
        <v>10.0596</v>
      </c>
      <c r="AA219" s="596">
        <f t="shared" si="48"/>
        <v>9.2959999999999994</v>
      </c>
      <c r="AB219" s="596">
        <f t="shared" si="48"/>
        <v>1427.9499999999998</v>
      </c>
      <c r="AC219" s="596">
        <f t="shared" si="48"/>
        <v>1426.1399999999999</v>
      </c>
      <c r="AD219" s="596">
        <f t="shared" si="48"/>
        <v>6.51</v>
      </c>
      <c r="AE219" s="596">
        <f t="shared" si="48"/>
        <v>7.67</v>
      </c>
      <c r="AF219" s="596">
        <f t="shared" si="48"/>
        <v>64.788333333333327</v>
      </c>
      <c r="AG219" s="596">
        <f t="shared" si="48"/>
        <v>3.71</v>
      </c>
      <c r="AH219" s="596">
        <f t="shared" si="48"/>
        <v>8.11</v>
      </c>
      <c r="AI219" s="596">
        <f t="shared" si="48"/>
        <v>2.6635714285714287</v>
      </c>
      <c r="AJ219" s="596">
        <f t="shared" si="48"/>
        <v>1.78</v>
      </c>
      <c r="AK219" s="3"/>
      <c r="AL219" s="3"/>
    </row>
    <row r="220" spans="1:38" s="28" customFormat="1" x14ac:dyDescent="0.4">
      <c r="A220" s="700" t="s">
        <v>1063</v>
      </c>
      <c r="B220" s="581"/>
      <c r="C220" s="581"/>
      <c r="D220" s="581"/>
      <c r="E220" s="581"/>
      <c r="F220" s="581"/>
      <c r="G220" s="581"/>
      <c r="H220" s="581"/>
      <c r="I220" s="581"/>
      <c r="J220" s="581"/>
      <c r="K220" s="581"/>
      <c r="L220" s="581"/>
      <c r="M220" s="581"/>
      <c r="N220" s="581"/>
      <c r="O220" s="581"/>
      <c r="P220" s="581"/>
      <c r="Q220" s="581"/>
      <c r="R220" s="581"/>
      <c r="S220" s="581"/>
      <c r="T220" s="581"/>
      <c r="U220" s="581"/>
      <c r="V220" s="581"/>
      <c r="W220" s="581"/>
      <c r="X220" s="581"/>
      <c r="Y220" s="581"/>
      <c r="Z220" s="581"/>
      <c r="AA220" s="581"/>
      <c r="AB220" s="581"/>
      <c r="AC220" s="581"/>
      <c r="AD220" s="581"/>
      <c r="AE220" s="581"/>
      <c r="AF220" s="581"/>
      <c r="AG220" s="581"/>
      <c r="AH220" s="581"/>
      <c r="AI220" s="581"/>
      <c r="AJ220" s="581"/>
      <c r="AK220" s="3"/>
      <c r="AL220" s="3"/>
    </row>
    <row r="221" spans="1:38" s="28" customFormat="1" x14ac:dyDescent="0.4">
      <c r="A221" s="581"/>
      <c r="B221" s="581"/>
      <c r="C221" s="89"/>
      <c r="D221" s="89"/>
      <c r="E221" s="89"/>
      <c r="F221" s="89"/>
      <c r="G221" s="89"/>
      <c r="H221" s="89"/>
      <c r="I221" s="89"/>
      <c r="J221" s="89"/>
      <c r="K221" s="89"/>
      <c r="L221" s="89"/>
      <c r="M221" s="89"/>
      <c r="N221" s="89"/>
      <c r="O221" s="89"/>
      <c r="P221" s="89"/>
      <c r="Q221" s="89"/>
      <c r="R221" s="89"/>
      <c r="S221" s="89"/>
      <c r="T221" s="89"/>
      <c r="U221" s="89"/>
      <c r="V221" s="89"/>
      <c r="W221" s="89"/>
      <c r="X221" s="89"/>
      <c r="Y221" s="89"/>
      <c r="Z221" s="89"/>
      <c r="AA221" s="89"/>
      <c r="AB221" s="89"/>
      <c r="AC221" s="89"/>
      <c r="AD221" s="89"/>
      <c r="AE221" s="89"/>
      <c r="AF221" s="89"/>
      <c r="AG221" s="89"/>
      <c r="AH221" s="89"/>
      <c r="AI221" s="89"/>
      <c r="AJ221" s="89"/>
      <c r="AK221" s="3"/>
      <c r="AL221" s="3"/>
    </row>
    <row r="222" spans="1:38" s="28" customFormat="1" x14ac:dyDescent="0.4">
      <c r="A222" s="660" t="s">
        <v>567</v>
      </c>
      <c r="B222" s="581"/>
      <c r="C222" s="89"/>
      <c r="D222" s="89"/>
      <c r="E222" s="89"/>
      <c r="F222" s="89"/>
      <c r="G222" s="89"/>
      <c r="H222" s="89"/>
      <c r="I222" s="89"/>
      <c r="J222" s="89"/>
      <c r="K222" s="89"/>
      <c r="L222" s="89"/>
      <c r="M222" s="89"/>
      <c r="N222" s="89"/>
      <c r="O222" s="89"/>
      <c r="P222" s="89"/>
      <c r="Q222" s="89"/>
      <c r="R222" s="89"/>
      <c r="S222" s="89"/>
      <c r="T222" s="89"/>
      <c r="U222" s="89"/>
      <c r="V222" s="89"/>
      <c r="W222" s="89"/>
      <c r="X222" s="89"/>
      <c r="Y222" s="89"/>
      <c r="Z222" s="89"/>
      <c r="AA222" s="89"/>
      <c r="AB222" s="89"/>
      <c r="AC222" s="89"/>
      <c r="AD222" s="89"/>
      <c r="AE222" s="89"/>
      <c r="AF222" s="89"/>
      <c r="AG222" s="89"/>
      <c r="AH222" s="89"/>
      <c r="AI222" s="89"/>
      <c r="AJ222" s="89"/>
      <c r="AK222" s="3"/>
      <c r="AL222" s="3"/>
    </row>
    <row r="223" spans="1:38" s="28" customFormat="1" x14ac:dyDescent="0.4">
      <c r="A223" s="660" t="s">
        <v>566</v>
      </c>
      <c r="B223" s="581"/>
      <c r="C223" s="89"/>
      <c r="D223" s="89"/>
      <c r="E223" s="89"/>
      <c r="F223" s="89"/>
      <c r="G223" s="89"/>
      <c r="H223" s="89"/>
      <c r="I223" s="89"/>
      <c r="J223" s="89"/>
      <c r="K223" s="89"/>
      <c r="L223" s="89"/>
      <c r="M223" s="89"/>
      <c r="N223" s="89"/>
      <c r="O223" s="89"/>
      <c r="P223" s="89"/>
      <c r="Q223" s="89"/>
      <c r="R223" s="89"/>
      <c r="S223" s="89"/>
      <c r="T223" s="89"/>
      <c r="U223" s="89"/>
      <c r="V223" s="89"/>
      <c r="W223" s="89"/>
      <c r="X223" s="89"/>
      <c r="Y223" s="89"/>
      <c r="Z223" s="89"/>
      <c r="AA223" s="89"/>
      <c r="AB223" s="89"/>
      <c r="AC223" s="89"/>
      <c r="AD223" s="89"/>
      <c r="AE223" s="89"/>
      <c r="AF223" s="89"/>
      <c r="AG223" s="89"/>
      <c r="AH223" s="89"/>
      <c r="AI223" s="89"/>
      <c r="AJ223" s="89"/>
      <c r="AK223" s="3"/>
      <c r="AL223" s="3"/>
    </row>
    <row r="224" spans="1:38" s="28" customFormat="1" x14ac:dyDescent="0.4">
      <c r="A224" s="581"/>
      <c r="B224" s="581"/>
      <c r="C224" s="89"/>
      <c r="D224" s="89"/>
      <c r="E224" s="89"/>
      <c r="F224" s="89"/>
      <c r="G224" s="89"/>
      <c r="H224" s="89"/>
      <c r="I224" s="89"/>
      <c r="J224" s="89"/>
      <c r="K224" s="89"/>
      <c r="L224" s="89"/>
      <c r="M224" s="89"/>
      <c r="N224" s="89"/>
      <c r="O224" s="89"/>
      <c r="P224" s="89"/>
      <c r="Q224" s="89"/>
      <c r="R224" s="89"/>
      <c r="S224" s="89"/>
      <c r="T224" s="89"/>
      <c r="U224" s="89"/>
      <c r="V224" s="89"/>
      <c r="W224" s="89"/>
      <c r="X224" s="89"/>
      <c r="Y224" s="89"/>
      <c r="Z224" s="89"/>
      <c r="AA224" s="89"/>
      <c r="AB224" s="89"/>
      <c r="AC224" s="89"/>
      <c r="AD224" s="89"/>
      <c r="AE224" s="89"/>
      <c r="AF224" s="89"/>
      <c r="AG224" s="89"/>
      <c r="AH224" s="89"/>
      <c r="AI224" s="89"/>
      <c r="AJ224" s="89"/>
      <c r="AK224" s="3"/>
      <c r="AL224" s="3"/>
    </row>
    <row r="225" spans="1:38" s="28" customFormat="1" ht="17" x14ac:dyDescent="0.45">
      <c r="A225" s="108" t="s">
        <v>1508</v>
      </c>
      <c r="B225" s="581"/>
      <c r="C225" s="89"/>
      <c r="D225" s="89"/>
      <c r="E225" s="89"/>
      <c r="F225" s="89"/>
      <c r="G225" s="89"/>
      <c r="H225" s="89"/>
      <c r="I225" s="89"/>
      <c r="J225" s="89"/>
      <c r="K225" s="89"/>
      <c r="L225" s="89"/>
      <c r="M225" s="89"/>
      <c r="N225" s="89"/>
      <c r="O225" s="89"/>
      <c r="P225" s="89"/>
      <c r="Q225" s="89"/>
      <c r="R225" s="89"/>
      <c r="S225" s="89"/>
      <c r="T225" s="89"/>
      <c r="U225" s="89"/>
      <c r="V225" s="89"/>
      <c r="W225" s="89"/>
      <c r="X225" s="89"/>
      <c r="Y225" s="89"/>
      <c r="Z225" s="89"/>
      <c r="AA225" s="89"/>
      <c r="AB225" s="89"/>
      <c r="AC225" s="89"/>
      <c r="AD225" s="89"/>
      <c r="AE225" s="89"/>
      <c r="AF225" s="89"/>
      <c r="AG225" s="89"/>
      <c r="AH225" s="89"/>
      <c r="AI225" s="89"/>
      <c r="AJ225" s="89"/>
      <c r="AK225" s="3"/>
      <c r="AL225" s="3"/>
    </row>
    <row r="226" spans="1:38" s="28" customFormat="1" ht="17" x14ac:dyDescent="0.45">
      <c r="A226" s="1362" t="s">
        <v>1509</v>
      </c>
      <c r="B226" s="956" t="s">
        <v>136</v>
      </c>
      <c r="C226" s="1196" t="s">
        <v>391</v>
      </c>
      <c r="D226" s="1196" t="s">
        <v>392</v>
      </c>
      <c r="E226" s="1196" t="s">
        <v>393</v>
      </c>
      <c r="F226" s="1196" t="s">
        <v>394</v>
      </c>
      <c r="G226" s="1196" t="s">
        <v>395</v>
      </c>
      <c r="H226" s="1196" t="s">
        <v>396</v>
      </c>
      <c r="I226" s="1196" t="s">
        <v>397</v>
      </c>
      <c r="J226" s="1196" t="s">
        <v>398</v>
      </c>
      <c r="K226" s="1196" t="s">
        <v>399</v>
      </c>
      <c r="L226" s="1196" t="s">
        <v>400</v>
      </c>
      <c r="M226" s="1196" t="s">
        <v>401</v>
      </c>
      <c r="N226" s="1196" t="s">
        <v>402</v>
      </c>
      <c r="O226" s="1196" t="s">
        <v>403</v>
      </c>
      <c r="P226" s="1196" t="s">
        <v>404</v>
      </c>
      <c r="Q226" s="1196" t="s">
        <v>405</v>
      </c>
      <c r="R226" s="1196" t="s">
        <v>406</v>
      </c>
      <c r="S226" s="1196" t="s">
        <v>407</v>
      </c>
      <c r="T226" s="1196" t="s">
        <v>408</v>
      </c>
      <c r="U226" s="1196" t="s">
        <v>409</v>
      </c>
      <c r="V226" s="1196" t="s">
        <v>410</v>
      </c>
      <c r="W226" s="1196" t="s">
        <v>411</v>
      </c>
      <c r="X226" s="1196" t="s">
        <v>412</v>
      </c>
      <c r="Y226" s="1196" t="s">
        <v>413</v>
      </c>
      <c r="Z226" s="1196" t="s">
        <v>414</v>
      </c>
      <c r="AA226" s="1196" t="s">
        <v>415</v>
      </c>
      <c r="AB226" s="1196" t="s">
        <v>416</v>
      </c>
      <c r="AC226" s="1196" t="s">
        <v>417</v>
      </c>
      <c r="AD226" s="1196" t="s">
        <v>418</v>
      </c>
      <c r="AE226" s="1196" t="s">
        <v>419</v>
      </c>
      <c r="AF226" s="1196" t="s">
        <v>420</v>
      </c>
      <c r="AG226" s="1196" t="s">
        <v>421</v>
      </c>
      <c r="AH226" s="1196" t="s">
        <v>422</v>
      </c>
      <c r="AI226" s="1196" t="s">
        <v>423</v>
      </c>
      <c r="AJ226" s="1196" t="s">
        <v>424</v>
      </c>
      <c r="AK226" s="3"/>
      <c r="AL226" s="3"/>
    </row>
    <row r="227" spans="1:38" s="28" customFormat="1" ht="17" x14ac:dyDescent="0.4">
      <c r="A227" s="259" t="s">
        <v>565</v>
      </c>
      <c r="B227" s="1474" t="s">
        <v>1389</v>
      </c>
      <c r="C227" s="534">
        <f>C176+C190+C205+C177+C212+C213+C218+C219</f>
        <v>6777.1208505469367</v>
      </c>
      <c r="D227" s="534">
        <f t="shared" ref="D227:AJ227" si="49">D176+D190+D205+D177+D212+D213+D218+D219</f>
        <v>6980.883426142138</v>
      </c>
      <c r="E227" s="534">
        <f t="shared" si="49"/>
        <v>6981.1936776560797</v>
      </c>
      <c r="F227" s="534">
        <f t="shared" si="49"/>
        <v>6900.473348371097</v>
      </c>
      <c r="G227" s="534">
        <f t="shared" si="49"/>
        <v>6822.0698674658634</v>
      </c>
      <c r="H227" s="534">
        <f t="shared" si="49"/>
        <v>6739.2281196993581</v>
      </c>
      <c r="I227" s="534">
        <f t="shared" si="49"/>
        <v>6670.6604137374134</v>
      </c>
      <c r="J227" s="534">
        <f t="shared" si="49"/>
        <v>6590.2186307167694</v>
      </c>
      <c r="K227" s="534">
        <f t="shared" si="49"/>
        <v>6513.1117995377317</v>
      </c>
      <c r="L227" s="534">
        <f t="shared" si="49"/>
        <v>6441.619791803525</v>
      </c>
      <c r="M227" s="534">
        <f t="shared" si="49"/>
        <v>6450.4439870897822</v>
      </c>
      <c r="N227" s="534">
        <f t="shared" si="49"/>
        <v>6392.0905713369639</v>
      </c>
      <c r="O227" s="534">
        <f t="shared" si="49"/>
        <v>6322.2901990786049</v>
      </c>
      <c r="P227" s="534">
        <f t="shared" si="49"/>
        <v>6229.3053004279927</v>
      </c>
      <c r="Q227" s="534">
        <f t="shared" si="49"/>
        <v>6178.7821754423039</v>
      </c>
      <c r="R227" s="534">
        <f t="shared" si="49"/>
        <v>6107.0093097133758</v>
      </c>
      <c r="S227" s="534">
        <f t="shared" si="49"/>
        <v>6003.5410827771939</v>
      </c>
      <c r="T227" s="534">
        <f t="shared" si="49"/>
        <v>5950.8255552869396</v>
      </c>
      <c r="U227" s="534">
        <f t="shared" si="49"/>
        <v>7343.903939242693</v>
      </c>
      <c r="V227" s="534">
        <f t="shared" si="49"/>
        <v>7270.9910624625809</v>
      </c>
      <c r="W227" s="534">
        <f t="shared" si="49"/>
        <v>8648.5246883438722</v>
      </c>
      <c r="X227" s="534">
        <f t="shared" si="49"/>
        <v>4037.1978290471761</v>
      </c>
      <c r="Y227" s="534">
        <f t="shared" si="49"/>
        <v>4227.7332731581464</v>
      </c>
      <c r="Z227" s="534">
        <f t="shared" si="49"/>
        <v>4230.530007915555</v>
      </c>
      <c r="AA227" s="534">
        <f t="shared" si="49"/>
        <v>4164.4068250005039</v>
      </c>
      <c r="AB227" s="534">
        <f t="shared" si="49"/>
        <v>5214.4920744879337</v>
      </c>
      <c r="AC227" s="534">
        <f t="shared" si="49"/>
        <v>4558.6718751667049</v>
      </c>
      <c r="AD227" s="534">
        <f t="shared" si="49"/>
        <v>2723.7970445686983</v>
      </c>
      <c r="AE227" s="534">
        <f t="shared" si="49"/>
        <v>2641.4965206138991</v>
      </c>
      <c r="AF227" s="534">
        <f t="shared" si="49"/>
        <v>2985.752456827433</v>
      </c>
      <c r="AG227" s="534">
        <f t="shared" si="49"/>
        <v>2901.0827852979178</v>
      </c>
      <c r="AH227" s="534">
        <f t="shared" si="49"/>
        <v>3468.1816884854684</v>
      </c>
      <c r="AI227" s="534">
        <f t="shared" si="49"/>
        <v>3878.1267679122734</v>
      </c>
      <c r="AJ227" s="534">
        <f t="shared" si="49"/>
        <v>3957.4882262666715</v>
      </c>
      <c r="AK227" s="3"/>
      <c r="AL227" s="3"/>
    </row>
    <row r="228" spans="1:38" s="28" customFormat="1" ht="17" x14ac:dyDescent="0.4">
      <c r="A228" s="533" t="s">
        <v>565</v>
      </c>
      <c r="B228" s="1474" t="s">
        <v>1357</v>
      </c>
      <c r="C228" s="553">
        <f t="shared" ref="C228:X228" si="50">C227*25/1000000</f>
        <v>0.1694280212636734</v>
      </c>
      <c r="D228" s="553">
        <f t="shared" si="50"/>
        <v>0.17452208565355345</v>
      </c>
      <c r="E228" s="553">
        <f t="shared" si="50"/>
        <v>0.174529841941402</v>
      </c>
      <c r="F228" s="553">
        <f t="shared" si="50"/>
        <v>0.17251183370927742</v>
      </c>
      <c r="G228" s="553">
        <f t="shared" si="50"/>
        <v>0.1705517466866466</v>
      </c>
      <c r="H228" s="553">
        <f t="shared" si="50"/>
        <v>0.16848070299248394</v>
      </c>
      <c r="I228" s="553">
        <f t="shared" si="50"/>
        <v>0.16676651034343534</v>
      </c>
      <c r="J228" s="553">
        <f t="shared" si="50"/>
        <v>0.16475546576791922</v>
      </c>
      <c r="K228" s="553">
        <f t="shared" si="50"/>
        <v>0.1628277949884433</v>
      </c>
      <c r="L228" s="553">
        <f t="shared" si="50"/>
        <v>0.16104049479508814</v>
      </c>
      <c r="M228" s="553">
        <f t="shared" si="50"/>
        <v>0.16126109967724456</v>
      </c>
      <c r="N228" s="553">
        <f t="shared" si="50"/>
        <v>0.15980226428342409</v>
      </c>
      <c r="O228" s="553">
        <f t="shared" si="50"/>
        <v>0.15805725497696513</v>
      </c>
      <c r="P228" s="553">
        <f t="shared" si="50"/>
        <v>0.15573263251069983</v>
      </c>
      <c r="Q228" s="553">
        <f t="shared" si="50"/>
        <v>0.15446955438605761</v>
      </c>
      <c r="R228" s="553">
        <f t="shared" si="50"/>
        <v>0.1526752327428344</v>
      </c>
      <c r="S228" s="553">
        <f t="shared" si="50"/>
        <v>0.15008852706942985</v>
      </c>
      <c r="T228" s="553">
        <f t="shared" si="50"/>
        <v>0.14877063888217348</v>
      </c>
      <c r="U228" s="553">
        <f t="shared" si="50"/>
        <v>0.18359759848106735</v>
      </c>
      <c r="V228" s="553">
        <f t="shared" si="50"/>
        <v>0.18177477656156454</v>
      </c>
      <c r="W228" s="553">
        <f t="shared" si="50"/>
        <v>0.21621311720859682</v>
      </c>
      <c r="X228" s="553">
        <f t="shared" si="50"/>
        <v>0.1009299457261794</v>
      </c>
      <c r="Y228" s="553">
        <f t="shared" ref="Y228:AF228" si="51">Y227*25/1000000</f>
        <v>0.10569333182895366</v>
      </c>
      <c r="Z228" s="553">
        <f t="shared" si="51"/>
        <v>0.10576325019788888</v>
      </c>
      <c r="AA228" s="553">
        <f t="shared" si="51"/>
        <v>0.1041101706250126</v>
      </c>
      <c r="AB228" s="553">
        <f t="shared" si="51"/>
        <v>0.13036230186219833</v>
      </c>
      <c r="AC228" s="553">
        <f t="shared" si="51"/>
        <v>0.11396679687916762</v>
      </c>
      <c r="AD228" s="553">
        <f t="shared" si="51"/>
        <v>6.8094926114217455E-2</v>
      </c>
      <c r="AE228" s="553">
        <f t="shared" si="51"/>
        <v>6.603741301534749E-2</v>
      </c>
      <c r="AF228" s="553">
        <f t="shared" si="51"/>
        <v>7.4643811420685824E-2</v>
      </c>
      <c r="AG228" s="553">
        <f t="shared" ref="AG228:AH228" si="52">AG227*25/1000000</f>
        <v>7.2527069632447955E-2</v>
      </c>
      <c r="AH228" s="553">
        <f t="shared" si="52"/>
        <v>8.670454221213672E-2</v>
      </c>
      <c r="AI228" s="553">
        <f t="shared" ref="AI228:AJ228" si="53">AI227*25/1000000</f>
        <v>9.6953169197806846E-2</v>
      </c>
      <c r="AJ228" s="553">
        <f t="shared" si="53"/>
        <v>9.8937205656666791E-2</v>
      </c>
      <c r="AK228" s="3"/>
      <c r="AL228" s="3"/>
    </row>
    <row r="229" spans="1:38" s="28" customFormat="1" x14ac:dyDescent="0.4">
      <c r="A229" s="660" t="s">
        <v>1063</v>
      </c>
      <c r="B229" s="1363"/>
      <c r="C229" s="1363"/>
      <c r="D229" s="1363"/>
      <c r="E229" s="1363"/>
      <c r="F229" s="1363"/>
      <c r="G229" s="1363"/>
      <c r="H229" s="1363"/>
      <c r="I229" s="1363"/>
      <c r="J229" s="1363"/>
      <c r="K229" s="1363"/>
      <c r="L229" s="1363"/>
      <c r="M229" s="1363"/>
      <c r="N229" s="1363"/>
      <c r="O229" s="1363"/>
      <c r="P229" s="1363"/>
      <c r="Q229" s="1363"/>
      <c r="R229" s="1363"/>
      <c r="S229" s="1363"/>
      <c r="T229" s="1363"/>
      <c r="U229" s="1363"/>
      <c r="V229" s="1363"/>
      <c r="W229" s="1363"/>
      <c r="X229" s="1363"/>
      <c r="Y229" s="1363"/>
      <c r="Z229" s="1363"/>
      <c r="AA229" s="1363"/>
      <c r="AB229" s="1363"/>
      <c r="AC229" s="1363"/>
      <c r="AD229" s="1363"/>
      <c r="AE229" s="1363"/>
      <c r="AF229" s="1363"/>
      <c r="AG229" s="1363"/>
      <c r="AH229" s="1363"/>
      <c r="AI229" s="1363"/>
      <c r="AJ229" s="1363"/>
      <c r="AK229" s="3"/>
      <c r="AL229" s="3"/>
    </row>
    <row r="230" spans="1:38" s="28" customFormat="1" x14ac:dyDescent="0.4">
      <c r="A230" s="660"/>
      <c r="B230" s="89"/>
      <c r="C230" s="89"/>
      <c r="D230" s="89"/>
      <c r="E230" s="89"/>
      <c r="F230" s="89"/>
      <c r="G230" s="89"/>
      <c r="H230" s="89"/>
      <c r="I230" s="89"/>
      <c r="J230" s="89"/>
      <c r="K230" s="89"/>
      <c r="L230" s="89"/>
      <c r="M230" s="89"/>
      <c r="N230" s="89"/>
      <c r="O230" s="89"/>
      <c r="P230" s="89"/>
      <c r="Q230" s="89"/>
      <c r="R230" s="89"/>
      <c r="S230" s="89"/>
      <c r="T230" s="89"/>
      <c r="U230" s="89"/>
      <c r="V230" s="89"/>
      <c r="W230" s="89"/>
      <c r="X230" s="89"/>
      <c r="Y230" s="89"/>
      <c r="Z230" s="89"/>
      <c r="AA230" s="89"/>
      <c r="AB230" s="89"/>
      <c r="AC230" s="89"/>
      <c r="AD230" s="89"/>
      <c r="AE230" s="89"/>
      <c r="AF230" s="89"/>
      <c r="AG230" s="89"/>
      <c r="AH230" s="89"/>
      <c r="AI230" s="89"/>
      <c r="AJ230" s="89"/>
      <c r="AK230" s="3"/>
      <c r="AL230" s="3"/>
    </row>
    <row r="231" spans="1:38" s="28" customFormat="1" x14ac:dyDescent="0.4">
      <c r="A231" s="581" t="s">
        <v>568</v>
      </c>
      <c r="B231" s="89"/>
      <c r="C231" s="89"/>
      <c r="D231" s="89"/>
      <c r="E231" s="89"/>
      <c r="F231" s="89"/>
      <c r="G231" s="89"/>
      <c r="H231" s="89"/>
      <c r="I231" s="89"/>
      <c r="J231" s="89"/>
      <c r="K231" s="89"/>
      <c r="L231" s="89"/>
      <c r="M231" s="89"/>
      <c r="N231" s="89"/>
      <c r="O231" s="89"/>
      <c r="P231" s="89"/>
      <c r="Q231" s="89"/>
      <c r="R231" s="89"/>
      <c r="S231" s="89"/>
      <c r="T231" s="89"/>
      <c r="U231" s="89"/>
      <c r="V231" s="89"/>
      <c r="W231" s="89"/>
      <c r="X231" s="89"/>
      <c r="Y231" s="89"/>
      <c r="Z231" s="89"/>
      <c r="AA231" s="89"/>
      <c r="AB231" s="89"/>
      <c r="AC231" s="89"/>
      <c r="AD231" s="89"/>
      <c r="AE231" s="89"/>
      <c r="AF231" s="89"/>
      <c r="AG231" s="89"/>
      <c r="AH231" s="89"/>
      <c r="AI231" s="89"/>
      <c r="AJ231" s="89"/>
      <c r="AK231" s="3"/>
      <c r="AL231" s="3"/>
    </row>
    <row r="232" spans="1:38" s="28" customFormat="1" x14ac:dyDescent="0.4">
      <c r="A232" s="89"/>
      <c r="B232" s="89"/>
      <c r="C232" s="89"/>
      <c r="D232" s="89"/>
      <c r="E232" s="89"/>
      <c r="F232" s="89"/>
      <c r="G232" s="89"/>
      <c r="H232" s="89"/>
      <c r="I232" s="89"/>
      <c r="J232" s="89"/>
      <c r="K232" s="89"/>
      <c r="L232" s="89"/>
      <c r="M232" s="89"/>
      <c r="N232" s="89"/>
      <c r="O232" s="89"/>
      <c r="P232" s="89"/>
      <c r="Q232" s="89"/>
      <c r="R232" s="89"/>
      <c r="S232" s="89"/>
      <c r="T232" s="89"/>
      <c r="U232" s="89"/>
      <c r="V232" s="89"/>
      <c r="W232" s="89"/>
      <c r="X232" s="89"/>
      <c r="Y232" s="89"/>
      <c r="Z232" s="89"/>
      <c r="AA232" s="89"/>
      <c r="AB232" s="89"/>
      <c r="AC232" s="89"/>
      <c r="AD232" s="89"/>
      <c r="AE232" s="89"/>
      <c r="AF232" s="89"/>
      <c r="AG232" s="89"/>
      <c r="AH232" s="89"/>
      <c r="AI232" s="89"/>
      <c r="AJ232" s="89"/>
      <c r="AK232" s="3"/>
      <c r="AL232" s="3"/>
    </row>
    <row r="233" spans="1:38" s="28" customFormat="1" ht="20.5" x14ac:dyDescent="0.55000000000000004">
      <c r="A233" s="1153" t="s">
        <v>1510</v>
      </c>
      <c r="B233" s="499" t="s">
        <v>1513</v>
      </c>
      <c r="C233" s="500"/>
      <c r="D233" s="500"/>
      <c r="E233" s="500"/>
      <c r="F233" s="500"/>
      <c r="G233" s="500"/>
      <c r="H233" s="500"/>
      <c r="I233" s="1234"/>
      <c r="J233" s="1234"/>
      <c r="K233" s="1234"/>
      <c r="L233" s="1234"/>
      <c r="M233" s="1234"/>
      <c r="N233" s="1234"/>
      <c r="O233" s="89"/>
      <c r="P233" s="89"/>
      <c r="Q233" s="89"/>
      <c r="R233" s="89"/>
      <c r="S233" s="89"/>
      <c r="T233" s="89"/>
      <c r="U233" s="89"/>
      <c r="V233" s="89"/>
      <c r="W233" s="89"/>
      <c r="X233" s="89"/>
      <c r="Y233" s="89"/>
      <c r="Z233" s="89"/>
      <c r="AA233" s="89"/>
      <c r="AB233" s="89"/>
      <c r="AC233" s="89"/>
      <c r="AD233" s="89"/>
      <c r="AE233" s="89"/>
      <c r="AF233" s="89"/>
      <c r="AG233" s="89"/>
      <c r="AH233" s="89"/>
      <c r="AK233" s="3"/>
      <c r="AL233" s="3"/>
    </row>
    <row r="234" spans="1:38" ht="17" x14ac:dyDescent="0.45">
      <c r="A234" s="88" t="s">
        <v>1511</v>
      </c>
      <c r="H234" s="89"/>
    </row>
    <row r="235" spans="1:38" s="28" customFormat="1" x14ac:dyDescent="0.4">
      <c r="A235" s="956" t="s">
        <v>804</v>
      </c>
      <c r="B235" s="956" t="s">
        <v>136</v>
      </c>
      <c r="C235" s="1196" t="s">
        <v>391</v>
      </c>
      <c r="D235" s="1196" t="s">
        <v>392</v>
      </c>
      <c r="E235" s="1196" t="s">
        <v>393</v>
      </c>
      <c r="F235" s="1196" t="s">
        <v>394</v>
      </c>
      <c r="G235" s="1196" t="s">
        <v>395</v>
      </c>
      <c r="H235" s="1196" t="s">
        <v>396</v>
      </c>
      <c r="I235" s="1196" t="s">
        <v>397</v>
      </c>
      <c r="J235" s="1196" t="s">
        <v>398</v>
      </c>
      <c r="K235" s="1196" t="s">
        <v>399</v>
      </c>
      <c r="L235" s="1196" t="s">
        <v>400</v>
      </c>
      <c r="M235" s="1196" t="s">
        <v>401</v>
      </c>
      <c r="N235" s="1196" t="s">
        <v>402</v>
      </c>
      <c r="O235" s="1196" t="s">
        <v>403</v>
      </c>
      <c r="P235" s="1196" t="s">
        <v>404</v>
      </c>
      <c r="Q235" s="1196" t="s">
        <v>405</v>
      </c>
      <c r="R235" s="1196" t="s">
        <v>406</v>
      </c>
      <c r="S235" s="1196" t="s">
        <v>407</v>
      </c>
      <c r="T235" s="1196" t="s">
        <v>408</v>
      </c>
      <c r="U235" s="1196" t="s">
        <v>409</v>
      </c>
      <c r="V235" s="1196" t="s">
        <v>410</v>
      </c>
      <c r="W235" s="1196" t="s">
        <v>411</v>
      </c>
      <c r="X235" s="1196" t="s">
        <v>412</v>
      </c>
      <c r="Y235" s="1196" t="s">
        <v>413</v>
      </c>
      <c r="Z235" s="1196" t="s">
        <v>414</v>
      </c>
      <c r="AA235" s="1196" t="s">
        <v>415</v>
      </c>
      <c r="AB235" s="1196" t="s">
        <v>416</v>
      </c>
      <c r="AC235" s="1196" t="s">
        <v>417</v>
      </c>
      <c r="AD235" s="1196" t="s">
        <v>418</v>
      </c>
      <c r="AE235" s="1196" t="s">
        <v>419</v>
      </c>
      <c r="AF235" s="1196" t="s">
        <v>420</v>
      </c>
      <c r="AG235" s="1196" t="s">
        <v>421</v>
      </c>
      <c r="AH235" s="1196" t="s">
        <v>422</v>
      </c>
      <c r="AI235" s="1196" t="s">
        <v>423</v>
      </c>
      <c r="AJ235" s="1196" t="s">
        <v>424</v>
      </c>
      <c r="AK235" s="3"/>
      <c r="AL235" s="3"/>
    </row>
    <row r="236" spans="1:38" s="28" customFormat="1" x14ac:dyDescent="0.4">
      <c r="A236" s="533" t="s">
        <v>169</v>
      </c>
      <c r="B236" s="533" t="s">
        <v>138</v>
      </c>
      <c r="C236" s="534">
        <v>0.32163893656966086</v>
      </c>
      <c r="D236" s="534">
        <v>0.32163893656966086</v>
      </c>
      <c r="E236" s="534">
        <v>0.32163893656966092</v>
      </c>
      <c r="F236" s="534">
        <v>0.32163893656966092</v>
      </c>
      <c r="G236" s="534">
        <v>0.32163893656966092</v>
      </c>
      <c r="H236" s="534">
        <v>0.32163893656966086</v>
      </c>
      <c r="I236" s="534">
        <v>0.32163893656966092</v>
      </c>
      <c r="J236" s="534">
        <v>0.32163893656966092</v>
      </c>
      <c r="K236" s="534">
        <v>0.32163893656966092</v>
      </c>
      <c r="L236" s="534">
        <v>0.32163893656966086</v>
      </c>
      <c r="M236" s="534">
        <v>0.32163893656966092</v>
      </c>
      <c r="N236" s="534">
        <v>0.32163893656966092</v>
      </c>
      <c r="O236" s="534">
        <v>0.32163893656966086</v>
      </c>
      <c r="P236" s="534">
        <v>0.32163893656966092</v>
      </c>
      <c r="Q236" s="534">
        <v>0.32163893656966086</v>
      </c>
      <c r="R236" s="534">
        <v>0.32163893656966092</v>
      </c>
      <c r="S236" s="534">
        <v>0.32163893656966086</v>
      </c>
      <c r="T236" s="534">
        <v>0.32163893656966086</v>
      </c>
      <c r="U236" s="534">
        <v>0.32163893656966086</v>
      </c>
      <c r="V236" s="534">
        <v>0.32163893656966092</v>
      </c>
      <c r="W236" s="534">
        <v>0.32163893656966092</v>
      </c>
      <c r="X236" s="534">
        <v>0.32163893656966086</v>
      </c>
      <c r="Y236" s="534">
        <v>0.32163893656966092</v>
      </c>
      <c r="Z236" s="534">
        <v>0.32163893656966092</v>
      </c>
      <c r="AA236" s="534">
        <v>0.32163893656966086</v>
      </c>
      <c r="AB236" s="534">
        <v>0.32163893656966086</v>
      </c>
      <c r="AC236" s="534">
        <v>0.32163893656966092</v>
      </c>
      <c r="AD236" s="534">
        <v>0.32163893656966097</v>
      </c>
      <c r="AE236" s="534">
        <v>0.32163893656966092</v>
      </c>
      <c r="AF236" s="534">
        <v>0.32163893656966092</v>
      </c>
      <c r="AG236" s="534">
        <v>0.32163893656966097</v>
      </c>
      <c r="AH236" s="534">
        <v>0.32163893656966092</v>
      </c>
      <c r="AI236" s="534">
        <v>0.32163893656966086</v>
      </c>
      <c r="AJ236" s="534">
        <v>0.32163893656966092</v>
      </c>
      <c r="AK236" s="3"/>
      <c r="AL236" s="3"/>
    </row>
    <row r="237" spans="1:38" s="28" customFormat="1" x14ac:dyDescent="0.4">
      <c r="A237" s="678" t="s">
        <v>548</v>
      </c>
      <c r="B237" s="533" t="s">
        <v>138</v>
      </c>
      <c r="C237" s="534">
        <v>17.947989828693789</v>
      </c>
      <c r="D237" s="534">
        <v>17.947989828693789</v>
      </c>
      <c r="E237" s="534">
        <v>17.947989828693789</v>
      </c>
      <c r="F237" s="534">
        <v>17.947989828693792</v>
      </c>
      <c r="G237" s="534">
        <v>17.947989828693792</v>
      </c>
      <c r="H237" s="534">
        <v>17.947989828693789</v>
      </c>
      <c r="I237" s="534">
        <v>17.947989828693789</v>
      </c>
      <c r="J237" s="534">
        <v>17.947989828693792</v>
      </c>
      <c r="K237" s="534">
        <v>17.947989828693789</v>
      </c>
      <c r="L237" s="534">
        <v>17.947989828693789</v>
      </c>
      <c r="M237" s="534">
        <v>17.947989828693789</v>
      </c>
      <c r="N237" s="534">
        <v>17.947989828693792</v>
      </c>
      <c r="O237" s="534">
        <v>17.947989828693789</v>
      </c>
      <c r="P237" s="534">
        <v>17.947989828693789</v>
      </c>
      <c r="Q237" s="534">
        <v>17.947989828693789</v>
      </c>
      <c r="R237" s="534">
        <v>17.947989828693789</v>
      </c>
      <c r="S237" s="534">
        <v>17.947989828693789</v>
      </c>
      <c r="T237" s="534">
        <v>17.947989828693792</v>
      </c>
      <c r="U237" s="534">
        <v>17.947989828693789</v>
      </c>
      <c r="V237" s="534">
        <v>17.947989828693789</v>
      </c>
      <c r="W237" s="534">
        <v>17.947989828693789</v>
      </c>
      <c r="X237" s="534">
        <v>17.947989828693789</v>
      </c>
      <c r="Y237" s="534">
        <v>17.947989828693789</v>
      </c>
      <c r="Z237" s="534">
        <v>17.947989828693789</v>
      </c>
      <c r="AA237" s="534">
        <v>17.947989828693789</v>
      </c>
      <c r="AB237" s="534">
        <v>17.947989828693789</v>
      </c>
      <c r="AC237" s="534">
        <v>24.886027141147697</v>
      </c>
      <c r="AD237" s="534">
        <v>19.944433585624125</v>
      </c>
      <c r="AE237" s="534">
        <v>21.333668900366309</v>
      </c>
      <c r="AF237" s="583">
        <v>18.308342997128168</v>
      </c>
      <c r="AG237" s="583">
        <v>21.217575869263378</v>
      </c>
      <c r="AH237" s="583">
        <v>14.603696632848118</v>
      </c>
      <c r="AI237" s="583">
        <v>10.337836489390819</v>
      </c>
      <c r="AJ237" s="583">
        <v>9.3441632617334456</v>
      </c>
      <c r="AK237" s="3"/>
      <c r="AL237" s="3"/>
    </row>
    <row r="238" spans="1:38" s="28" customFormat="1" x14ac:dyDescent="0.4">
      <c r="A238" s="1212" t="s">
        <v>1063</v>
      </c>
      <c r="B238" s="1191"/>
      <c r="C238" s="1191"/>
      <c r="D238" s="1191"/>
      <c r="E238" s="1191"/>
      <c r="F238" s="1191"/>
      <c r="G238" s="1191"/>
      <c r="H238" s="1191"/>
      <c r="I238" s="1191"/>
      <c r="J238" s="1191"/>
      <c r="K238" s="1191"/>
      <c r="L238" s="1191"/>
      <c r="M238" s="1191"/>
      <c r="N238" s="1191"/>
      <c r="O238" s="1191"/>
      <c r="P238" s="1191"/>
      <c r="Q238" s="1191"/>
      <c r="R238" s="1191"/>
      <c r="S238" s="1191"/>
      <c r="T238" s="1191"/>
      <c r="U238" s="1191"/>
      <c r="V238" s="1191"/>
      <c r="W238" s="1191"/>
      <c r="X238" s="1191"/>
      <c r="Y238" s="1191"/>
      <c r="Z238" s="1191"/>
      <c r="AA238" s="1191"/>
      <c r="AB238" s="1191"/>
      <c r="AC238" s="1191"/>
      <c r="AD238" s="1191"/>
      <c r="AE238" s="1191"/>
      <c r="AF238" s="1191"/>
      <c r="AG238" s="1191"/>
      <c r="AH238" s="1191"/>
      <c r="AI238" s="1191"/>
      <c r="AJ238" s="1191"/>
      <c r="AK238" s="3"/>
      <c r="AL238" s="3"/>
    </row>
    <row r="239" spans="1:38" s="28" customFormat="1" x14ac:dyDescent="0.4">
      <c r="AK239" s="3"/>
      <c r="AL239" s="3"/>
    </row>
    <row r="240" spans="1:38" s="28" customFormat="1" ht="17" x14ac:dyDescent="0.45">
      <c r="A240" s="88" t="s">
        <v>1512</v>
      </c>
      <c r="AK240" s="3"/>
      <c r="AL240" s="3"/>
    </row>
    <row r="241" spans="1:38" s="28" customFormat="1" x14ac:dyDescent="0.4">
      <c r="A241" s="1218" t="s">
        <v>890</v>
      </c>
      <c r="B241" s="1140" t="s">
        <v>136</v>
      </c>
      <c r="C241" s="1159" t="s">
        <v>391</v>
      </c>
      <c r="D241" s="1159" t="s">
        <v>392</v>
      </c>
      <c r="E241" s="1159" t="s">
        <v>393</v>
      </c>
      <c r="F241" s="1159" t="s">
        <v>394</v>
      </c>
      <c r="G241" s="1159" t="s">
        <v>395</v>
      </c>
      <c r="H241" s="1159" t="s">
        <v>396</v>
      </c>
      <c r="I241" s="1159" t="s">
        <v>397</v>
      </c>
      <c r="J241" s="1159" t="s">
        <v>398</v>
      </c>
      <c r="K241" s="1159" t="s">
        <v>399</v>
      </c>
      <c r="L241" s="1159" t="s">
        <v>400</v>
      </c>
      <c r="M241" s="1159" t="s">
        <v>401</v>
      </c>
      <c r="N241" s="1159" t="s">
        <v>402</v>
      </c>
      <c r="O241" s="1159" t="s">
        <v>403</v>
      </c>
      <c r="P241" s="1159" t="s">
        <v>404</v>
      </c>
      <c r="Q241" s="1159" t="s">
        <v>405</v>
      </c>
      <c r="R241" s="1159" t="s">
        <v>406</v>
      </c>
      <c r="S241" s="1159" t="s">
        <v>407</v>
      </c>
      <c r="T241" s="1159" t="s">
        <v>408</v>
      </c>
      <c r="U241" s="1159" t="s">
        <v>409</v>
      </c>
      <c r="V241" s="1159" t="s">
        <v>410</v>
      </c>
      <c r="W241" s="1159" t="s">
        <v>411</v>
      </c>
      <c r="X241" s="1159" t="s">
        <v>412</v>
      </c>
      <c r="Y241" s="1159" t="s">
        <v>413</v>
      </c>
      <c r="Z241" s="1159" t="s">
        <v>414</v>
      </c>
      <c r="AA241" s="1159" t="s">
        <v>415</v>
      </c>
      <c r="AB241" s="1159" t="s">
        <v>416</v>
      </c>
      <c r="AC241" s="1159" t="s">
        <v>417</v>
      </c>
      <c r="AD241" s="1159" t="s">
        <v>418</v>
      </c>
      <c r="AE241" s="1159" t="s">
        <v>419</v>
      </c>
      <c r="AF241" s="1159" t="s">
        <v>420</v>
      </c>
      <c r="AG241" s="987" t="s">
        <v>421</v>
      </c>
      <c r="AH241" s="987" t="s">
        <v>422</v>
      </c>
      <c r="AI241" s="987" t="s">
        <v>423</v>
      </c>
      <c r="AJ241" s="987" t="s">
        <v>424</v>
      </c>
      <c r="AK241" s="3"/>
      <c r="AL241" s="3"/>
    </row>
    <row r="242" spans="1:38" s="28" customFormat="1" x14ac:dyDescent="0.4">
      <c r="A242" s="704" t="s">
        <v>549</v>
      </c>
      <c r="B242" s="532" t="s">
        <v>147</v>
      </c>
      <c r="C242" s="537">
        <v>18662.029823813158</v>
      </c>
      <c r="D242" s="537">
        <v>18662.029823813158</v>
      </c>
      <c r="E242" s="537">
        <v>18662.029823813158</v>
      </c>
      <c r="F242" s="537">
        <v>18177.585836531594</v>
      </c>
      <c r="G242" s="537">
        <v>17693.141849250027</v>
      </c>
      <c r="H242" s="537">
        <v>17208.697861968467</v>
      </c>
      <c r="I242" s="537">
        <v>16724.253874686903</v>
      </c>
      <c r="J242" s="537">
        <v>16239.809887405341</v>
      </c>
      <c r="K242" s="537">
        <v>15755.365900123777</v>
      </c>
      <c r="L242" s="537">
        <v>15270.921912842217</v>
      </c>
      <c r="M242" s="537">
        <v>14786.477925560655</v>
      </c>
      <c r="N242" s="537">
        <v>14302.03393827909</v>
      </c>
      <c r="O242" s="537">
        <v>13817.589950997532</v>
      </c>
      <c r="P242" s="537">
        <v>13333.145963715964</v>
      </c>
      <c r="Q242" s="537">
        <v>12848.7019764344</v>
      </c>
      <c r="R242" s="537">
        <v>12364.257989152837</v>
      </c>
      <c r="S242" s="537">
        <v>11879.814001871273</v>
      </c>
      <c r="T242" s="537">
        <v>11395.370014589709</v>
      </c>
      <c r="U242" s="537">
        <v>10910.926027308147</v>
      </c>
      <c r="V242" s="537">
        <v>10426.482040026582</v>
      </c>
      <c r="W242" s="537">
        <v>9942.0380527450197</v>
      </c>
      <c r="X242" s="537">
        <v>9457.5940654634433</v>
      </c>
      <c r="Y242" s="537">
        <v>9473.4774661787815</v>
      </c>
      <c r="Z242" s="537">
        <v>9468.6838233292256</v>
      </c>
      <c r="AA242" s="537">
        <v>9354.9115954685203</v>
      </c>
      <c r="AB242" s="537">
        <v>9402.6769006694049</v>
      </c>
      <c r="AC242" s="537">
        <v>9405.3191819507792</v>
      </c>
      <c r="AD242" s="537">
        <v>9375.9339640633534</v>
      </c>
      <c r="AE242" s="537">
        <v>9233.6621209197183</v>
      </c>
      <c r="AF242" s="537">
        <v>9142.3491817312715</v>
      </c>
      <c r="AG242" s="539">
        <v>9092.6694002117365</v>
      </c>
      <c r="AH242" s="539">
        <v>8797.9149368526832</v>
      </c>
      <c r="AI242" s="539">
        <v>8655.1115510887812</v>
      </c>
      <c r="AJ242" s="539">
        <v>8774.1057145676841</v>
      </c>
      <c r="AK242" s="3"/>
      <c r="AL242" s="3"/>
    </row>
    <row r="243" spans="1:38" s="28" customFormat="1" x14ac:dyDescent="0.4">
      <c r="A243" s="568" t="s">
        <v>550</v>
      </c>
      <c r="B243" s="533" t="s">
        <v>147</v>
      </c>
      <c r="C243" s="534" t="s">
        <v>167</v>
      </c>
      <c r="D243" s="534" t="s">
        <v>167</v>
      </c>
      <c r="E243" s="534" t="s">
        <v>167</v>
      </c>
      <c r="F243" s="534" t="s">
        <v>167</v>
      </c>
      <c r="G243" s="534" t="s">
        <v>167</v>
      </c>
      <c r="H243" s="534" t="s">
        <v>167</v>
      </c>
      <c r="I243" s="534" t="s">
        <v>167</v>
      </c>
      <c r="J243" s="534" t="s">
        <v>167</v>
      </c>
      <c r="K243" s="534" t="s">
        <v>167</v>
      </c>
      <c r="L243" s="534" t="s">
        <v>167</v>
      </c>
      <c r="M243" s="534" t="s">
        <v>167</v>
      </c>
      <c r="N243" s="534" t="s">
        <v>167</v>
      </c>
      <c r="O243" s="534" t="s">
        <v>167</v>
      </c>
      <c r="P243" s="534" t="s">
        <v>167</v>
      </c>
      <c r="Q243" s="534" t="s">
        <v>167</v>
      </c>
      <c r="R243" s="534" t="s">
        <v>167</v>
      </c>
      <c r="S243" s="534" t="s">
        <v>167</v>
      </c>
      <c r="T243" s="534" t="s">
        <v>167</v>
      </c>
      <c r="U243" s="534" t="s">
        <v>167</v>
      </c>
      <c r="V243" s="534" t="s">
        <v>167</v>
      </c>
      <c r="W243" s="534" t="s">
        <v>167</v>
      </c>
      <c r="X243" s="534">
        <v>1884.3683083511776</v>
      </c>
      <c r="Y243" s="534">
        <v>1884.3683083511773</v>
      </c>
      <c r="Z243" s="534">
        <v>1884.3683083511776</v>
      </c>
      <c r="AA243" s="534">
        <v>1884.3683083511773</v>
      </c>
      <c r="AB243" s="534">
        <v>1884.3683083511771</v>
      </c>
      <c r="AC243" s="534">
        <v>1884.3683083511776</v>
      </c>
      <c r="AD243" s="534">
        <v>1884.3683083511773</v>
      </c>
      <c r="AE243" s="534">
        <v>1884.3683083511773</v>
      </c>
      <c r="AF243" s="534">
        <v>1884.3683083511776</v>
      </c>
      <c r="AG243" s="552">
        <v>1884.3683083511776</v>
      </c>
      <c r="AH243" s="552">
        <v>1884.3683083511776</v>
      </c>
      <c r="AI243" s="552">
        <v>1884.3683083511776</v>
      </c>
      <c r="AJ243" s="552">
        <v>1884.3683083511776</v>
      </c>
      <c r="AK243" s="3"/>
      <c r="AL243" s="3"/>
    </row>
    <row r="244" spans="1:38" s="28" customFormat="1" x14ac:dyDescent="0.4">
      <c r="A244" s="705" t="s">
        <v>551</v>
      </c>
      <c r="B244" s="533" t="s">
        <v>190</v>
      </c>
      <c r="C244" s="534" t="s">
        <v>167</v>
      </c>
      <c r="D244" s="534" t="s">
        <v>167</v>
      </c>
      <c r="E244" s="534" t="s">
        <v>167</v>
      </c>
      <c r="F244" s="534" t="s">
        <v>167</v>
      </c>
      <c r="G244" s="534" t="s">
        <v>167</v>
      </c>
      <c r="H244" s="534" t="s">
        <v>167</v>
      </c>
      <c r="I244" s="534" t="s">
        <v>167</v>
      </c>
      <c r="J244" s="534" t="s">
        <v>167</v>
      </c>
      <c r="K244" s="534" t="s">
        <v>167</v>
      </c>
      <c r="L244" s="534" t="s">
        <v>167</v>
      </c>
      <c r="M244" s="534" t="s">
        <v>167</v>
      </c>
      <c r="N244" s="534" t="s">
        <v>167</v>
      </c>
      <c r="O244" s="534" t="s">
        <v>167</v>
      </c>
      <c r="P244" s="534" t="s">
        <v>167</v>
      </c>
      <c r="Q244" s="534" t="s">
        <v>167</v>
      </c>
      <c r="R244" s="534" t="s">
        <v>167</v>
      </c>
      <c r="S244" s="534" t="s">
        <v>167</v>
      </c>
      <c r="T244" s="534" t="s">
        <v>167</v>
      </c>
      <c r="U244" s="534" t="s">
        <v>167</v>
      </c>
      <c r="V244" s="534" t="s">
        <v>167</v>
      </c>
      <c r="W244" s="534" t="s">
        <v>167</v>
      </c>
      <c r="X244" s="534">
        <v>1913.8115631691644</v>
      </c>
      <c r="Y244" s="534">
        <v>1913.8115631691651</v>
      </c>
      <c r="Z244" s="534">
        <v>1913.8115631691649</v>
      </c>
      <c r="AA244" s="534">
        <v>1913.8115631691644</v>
      </c>
      <c r="AB244" s="534">
        <v>1913.8115631691649</v>
      </c>
      <c r="AC244" s="534">
        <v>1913.8115631691649</v>
      </c>
      <c r="AD244" s="534">
        <v>1913.8115631691649</v>
      </c>
      <c r="AE244" s="534">
        <v>1913.8115631691649</v>
      </c>
      <c r="AF244" s="534">
        <v>1913.8115631691651</v>
      </c>
      <c r="AG244" s="552">
        <v>1913.8115631691646</v>
      </c>
      <c r="AH244" s="552">
        <v>1913.8115631691649</v>
      </c>
      <c r="AI244" s="552">
        <v>1913.8115631691649</v>
      </c>
      <c r="AJ244" s="552">
        <v>1913.8115631691649</v>
      </c>
      <c r="AK244" s="3"/>
      <c r="AL244" s="3"/>
    </row>
    <row r="245" spans="1:38" s="28" customFormat="1" x14ac:dyDescent="0.4">
      <c r="A245" s="568" t="s">
        <v>553</v>
      </c>
      <c r="B245" s="533" t="s">
        <v>190</v>
      </c>
      <c r="C245" s="534" t="s">
        <v>167</v>
      </c>
      <c r="D245" s="534" t="s">
        <v>167</v>
      </c>
      <c r="E245" s="534" t="s">
        <v>167</v>
      </c>
      <c r="F245" s="534" t="s">
        <v>167</v>
      </c>
      <c r="G245" s="534" t="s">
        <v>167</v>
      </c>
      <c r="H245" s="534" t="s">
        <v>167</v>
      </c>
      <c r="I245" s="534" t="s">
        <v>167</v>
      </c>
      <c r="J245" s="534" t="s">
        <v>167</v>
      </c>
      <c r="K245" s="534" t="s">
        <v>167</v>
      </c>
      <c r="L245" s="534" t="s">
        <v>167</v>
      </c>
      <c r="M245" s="534" t="s">
        <v>167</v>
      </c>
      <c r="N245" s="534" t="s">
        <v>167</v>
      </c>
      <c r="O245" s="534" t="s">
        <v>167</v>
      </c>
      <c r="P245" s="534" t="s">
        <v>167</v>
      </c>
      <c r="Q245" s="534" t="s">
        <v>167</v>
      </c>
      <c r="R245" s="534" t="s">
        <v>167</v>
      </c>
      <c r="S245" s="534" t="s">
        <v>167</v>
      </c>
      <c r="T245" s="534" t="s">
        <v>167</v>
      </c>
      <c r="U245" s="534" t="s">
        <v>167</v>
      </c>
      <c r="V245" s="534" t="s">
        <v>167</v>
      </c>
      <c r="W245" s="534" t="s">
        <v>167</v>
      </c>
      <c r="X245" s="534">
        <v>2002.1413276231265</v>
      </c>
      <c r="Y245" s="534">
        <v>2002.1413276231262</v>
      </c>
      <c r="Z245" s="534">
        <v>2002.1413276231262</v>
      </c>
      <c r="AA245" s="534">
        <v>2002.1413276231262</v>
      </c>
      <c r="AB245" s="534">
        <v>2002.1413276231262</v>
      </c>
      <c r="AC245" s="534">
        <v>2002.141327623126</v>
      </c>
      <c r="AD245" s="534">
        <v>2002.141327623126</v>
      </c>
      <c r="AE245" s="534">
        <v>2002.141327623126</v>
      </c>
      <c r="AF245" s="534">
        <v>2002.1413276231262</v>
      </c>
      <c r="AG245" s="552">
        <v>2002.1413276231267</v>
      </c>
      <c r="AH245" s="552">
        <v>2002.141327623126</v>
      </c>
      <c r="AI245" s="552">
        <v>2002.141327623126</v>
      </c>
      <c r="AJ245" s="552">
        <v>2002.141327623126</v>
      </c>
      <c r="AK245" s="3"/>
      <c r="AL245" s="3"/>
    </row>
    <row r="246" spans="1:38" s="28" customFormat="1" x14ac:dyDescent="0.4">
      <c r="A246" s="705" t="s">
        <v>554</v>
      </c>
      <c r="B246" s="533" t="s">
        <v>190</v>
      </c>
      <c r="C246" s="534" t="s">
        <v>167</v>
      </c>
      <c r="D246" s="534" t="s">
        <v>167</v>
      </c>
      <c r="E246" s="534" t="s">
        <v>167</v>
      </c>
      <c r="F246" s="534" t="s">
        <v>167</v>
      </c>
      <c r="G246" s="534" t="s">
        <v>167</v>
      </c>
      <c r="H246" s="534" t="s">
        <v>167</v>
      </c>
      <c r="I246" s="534" t="s">
        <v>167</v>
      </c>
      <c r="J246" s="534" t="s">
        <v>167</v>
      </c>
      <c r="K246" s="534" t="s">
        <v>167</v>
      </c>
      <c r="L246" s="534" t="s">
        <v>167</v>
      </c>
      <c r="M246" s="534" t="s">
        <v>167</v>
      </c>
      <c r="N246" s="534" t="s">
        <v>167</v>
      </c>
      <c r="O246" s="534" t="s">
        <v>167</v>
      </c>
      <c r="P246" s="534" t="s">
        <v>167</v>
      </c>
      <c r="Q246" s="534" t="s">
        <v>167</v>
      </c>
      <c r="R246" s="534" t="s">
        <v>167</v>
      </c>
      <c r="S246" s="534" t="s">
        <v>167</v>
      </c>
      <c r="T246" s="534" t="s">
        <v>167</v>
      </c>
      <c r="U246" s="534" t="s">
        <v>167</v>
      </c>
      <c r="V246" s="534" t="s">
        <v>167</v>
      </c>
      <c r="W246" s="534" t="s">
        <v>167</v>
      </c>
      <c r="X246" s="534">
        <v>1295.5032119914347</v>
      </c>
      <c r="Y246" s="534">
        <v>1295.5032119914347</v>
      </c>
      <c r="Z246" s="534">
        <v>1295.5032119914349</v>
      </c>
      <c r="AA246" s="534">
        <v>1295.5032119914347</v>
      </c>
      <c r="AB246" s="534">
        <v>1295.5032119914347</v>
      </c>
      <c r="AC246" s="534">
        <v>1295.5032119914342</v>
      </c>
      <c r="AD246" s="534">
        <v>1295.5032119914347</v>
      </c>
      <c r="AE246" s="534">
        <v>1295.5032119914347</v>
      </c>
      <c r="AF246" s="534">
        <v>1295.5032119914347</v>
      </c>
      <c r="AG246" s="534">
        <v>1295.5032119914347</v>
      </c>
      <c r="AH246" s="534">
        <v>1295.5032119914347</v>
      </c>
      <c r="AI246" s="534">
        <v>1295.5032119914349</v>
      </c>
      <c r="AJ246" s="534">
        <v>1295.5032119914345</v>
      </c>
      <c r="AK246" s="3"/>
      <c r="AL246" s="3"/>
    </row>
    <row r="247" spans="1:38" s="28" customFormat="1" x14ac:dyDescent="0.4">
      <c r="A247" s="1239" t="s">
        <v>547</v>
      </c>
      <c r="B247" s="533" t="s">
        <v>147</v>
      </c>
      <c r="C247" s="534">
        <v>2471.8890256959312</v>
      </c>
      <c r="D247" s="534">
        <v>2471.8890256959321</v>
      </c>
      <c r="E247" s="534">
        <v>2471.8890256959321</v>
      </c>
      <c r="F247" s="534">
        <v>2471.8890256959317</v>
      </c>
      <c r="G247" s="534">
        <v>2471.8890256959317</v>
      </c>
      <c r="H247" s="534">
        <v>2471.8890256959321</v>
      </c>
      <c r="I247" s="534">
        <v>2471.8890256959317</v>
      </c>
      <c r="J247" s="534">
        <v>2471.8890256959317</v>
      </c>
      <c r="K247" s="534">
        <v>2471.8890256959317</v>
      </c>
      <c r="L247" s="534">
        <v>2471.8890256959321</v>
      </c>
      <c r="M247" s="534">
        <v>2471.8890256959312</v>
      </c>
      <c r="N247" s="534">
        <v>2471.8890256959321</v>
      </c>
      <c r="O247" s="534">
        <v>2471.8890256959317</v>
      </c>
      <c r="P247" s="534">
        <v>2471.8890256959317</v>
      </c>
      <c r="Q247" s="534">
        <v>2471.8890256959321</v>
      </c>
      <c r="R247" s="534">
        <v>2471.8890256959317</v>
      </c>
      <c r="S247" s="534">
        <v>2471.8890256959317</v>
      </c>
      <c r="T247" s="534">
        <v>2471.8890256959321</v>
      </c>
      <c r="U247" s="534">
        <v>2471.8890256959317</v>
      </c>
      <c r="V247" s="534">
        <v>2471.8890256959312</v>
      </c>
      <c r="W247" s="534">
        <v>2471.8890256959317</v>
      </c>
      <c r="X247" s="534">
        <v>2471.8890256959317</v>
      </c>
      <c r="Y247" s="534">
        <v>2471.8890256959312</v>
      </c>
      <c r="Z247" s="534">
        <v>2471.8890256959312</v>
      </c>
      <c r="AA247" s="534">
        <v>2471.8890256959312</v>
      </c>
      <c r="AB247" s="534">
        <v>2471.8890256959312</v>
      </c>
      <c r="AC247" s="534">
        <v>2471.8890256959317</v>
      </c>
      <c r="AD247" s="534">
        <v>2471.8890256959317</v>
      </c>
      <c r="AE247" s="534">
        <v>2471.8890256959317</v>
      </c>
      <c r="AF247" s="583">
        <v>2471.8890256959312</v>
      </c>
      <c r="AG247" s="583">
        <v>2471.8890256959321</v>
      </c>
      <c r="AH247" s="583">
        <v>2471.8890256959317</v>
      </c>
      <c r="AI247" s="583">
        <v>2471.8890256959312</v>
      </c>
      <c r="AJ247" s="583">
        <v>2471.8890256959312</v>
      </c>
      <c r="AK247" s="3"/>
      <c r="AL247" s="3"/>
    </row>
    <row r="248" spans="1:38" s="28" customFormat="1" x14ac:dyDescent="0.4">
      <c r="A248" s="1188" t="s">
        <v>1063</v>
      </c>
      <c r="B248" s="1191"/>
      <c r="C248" s="1191"/>
      <c r="D248" s="1191"/>
      <c r="E248" s="1191"/>
      <c r="F248" s="1191"/>
      <c r="G248" s="1191"/>
      <c r="H248" s="1191"/>
      <c r="I248" s="1191"/>
      <c r="J248" s="1191"/>
      <c r="K248" s="1191"/>
      <c r="L248" s="1191"/>
      <c r="M248" s="1191"/>
      <c r="N248" s="1191"/>
      <c r="O248" s="1191"/>
      <c r="P248" s="1191"/>
      <c r="Q248" s="1191"/>
      <c r="R248" s="1191"/>
      <c r="S248" s="1191"/>
      <c r="T248" s="1191"/>
      <c r="U248" s="1191"/>
      <c r="V248" s="1191"/>
      <c r="W248" s="1191"/>
      <c r="X248" s="1191"/>
      <c r="Y248" s="1191"/>
      <c r="Z248" s="1191"/>
      <c r="AA248" s="1191"/>
      <c r="AB248" s="1191"/>
      <c r="AC248" s="1191"/>
      <c r="AD248" s="1191"/>
      <c r="AE248" s="1191"/>
      <c r="AF248" s="1191"/>
      <c r="AG248" s="1191"/>
      <c r="AH248" s="1191"/>
      <c r="AI248" s="1191"/>
      <c r="AJ248" s="1191"/>
      <c r="AK248" s="3"/>
      <c r="AL248" s="3"/>
    </row>
    <row r="249" spans="1:38" s="28" customFormat="1" x14ac:dyDescent="0.4">
      <c r="A249" s="684"/>
      <c r="B249" s="581"/>
      <c r="C249" s="89"/>
      <c r="D249" s="89"/>
      <c r="E249" s="89"/>
      <c r="F249" s="89"/>
      <c r="G249" s="89"/>
      <c r="H249" s="89"/>
      <c r="I249" s="89"/>
      <c r="J249" s="89"/>
      <c r="K249" s="89"/>
      <c r="L249" s="89"/>
      <c r="M249" s="89"/>
      <c r="N249" s="89"/>
      <c r="O249" s="89"/>
      <c r="P249" s="89"/>
      <c r="Q249" s="89"/>
      <c r="R249" s="89"/>
      <c r="S249" s="89"/>
      <c r="T249" s="89"/>
      <c r="U249" s="89"/>
      <c r="V249" s="89"/>
      <c r="W249" s="89"/>
      <c r="X249" s="89"/>
      <c r="Y249" s="89"/>
      <c r="Z249" s="89"/>
      <c r="AA249" s="89"/>
      <c r="AB249" s="89"/>
      <c r="AC249" s="89"/>
      <c r="AD249" s="89"/>
      <c r="AE249" s="89"/>
      <c r="AF249" s="89"/>
      <c r="AG249" s="89"/>
      <c r="AH249" s="89"/>
      <c r="AI249" s="89"/>
      <c r="AJ249" s="89"/>
      <c r="AK249" s="3"/>
      <c r="AL249" s="3"/>
    </row>
    <row r="250" spans="1:38" s="28" customFormat="1" ht="17" x14ac:dyDescent="0.45">
      <c r="A250" s="88" t="s">
        <v>1514</v>
      </c>
      <c r="B250" s="581"/>
      <c r="C250" s="89"/>
      <c r="D250" s="89"/>
      <c r="E250" s="89"/>
      <c r="F250" s="89"/>
      <c r="G250" s="89"/>
      <c r="H250" s="89"/>
      <c r="I250" s="89"/>
      <c r="J250" s="89"/>
      <c r="K250" s="89"/>
      <c r="L250" s="89"/>
      <c r="M250" s="89"/>
      <c r="N250" s="89"/>
      <c r="O250" s="89"/>
      <c r="P250" s="89"/>
      <c r="Q250" s="89"/>
      <c r="R250" s="89"/>
      <c r="S250" s="89"/>
      <c r="T250" s="89"/>
      <c r="U250" s="89"/>
      <c r="V250" s="89"/>
      <c r="W250" s="89"/>
      <c r="X250" s="89"/>
      <c r="Y250" s="89"/>
      <c r="Z250" s="89"/>
      <c r="AA250" s="89"/>
      <c r="AB250" s="89"/>
      <c r="AC250" s="89"/>
      <c r="AD250" s="89"/>
      <c r="AE250" s="89"/>
      <c r="AF250" s="89"/>
      <c r="AG250" s="89"/>
      <c r="AH250" s="89"/>
      <c r="AI250" s="89"/>
      <c r="AJ250" s="89"/>
      <c r="AK250" s="3"/>
      <c r="AL250" s="3"/>
    </row>
    <row r="251" spans="1:38" s="28" customFormat="1" x14ac:dyDescent="0.4">
      <c r="A251" s="1218" t="s">
        <v>801</v>
      </c>
      <c r="B251" s="1140" t="s">
        <v>136</v>
      </c>
      <c r="C251" s="1159" t="s">
        <v>391</v>
      </c>
      <c r="D251" s="1159" t="s">
        <v>392</v>
      </c>
      <c r="E251" s="1159" t="s">
        <v>393</v>
      </c>
      <c r="F251" s="1159" t="s">
        <v>394</v>
      </c>
      <c r="G251" s="1159" t="s">
        <v>395</v>
      </c>
      <c r="H251" s="1159" t="s">
        <v>396</v>
      </c>
      <c r="I251" s="1159" t="s">
        <v>397</v>
      </c>
      <c r="J251" s="1159" t="s">
        <v>398</v>
      </c>
      <c r="K251" s="1159" t="s">
        <v>399</v>
      </c>
      <c r="L251" s="1159" t="s">
        <v>400</v>
      </c>
      <c r="M251" s="1159" t="s">
        <v>401</v>
      </c>
      <c r="N251" s="1159" t="s">
        <v>402</v>
      </c>
      <c r="O251" s="1159" t="s">
        <v>403</v>
      </c>
      <c r="P251" s="1159" t="s">
        <v>404</v>
      </c>
      <c r="Q251" s="1159" t="s">
        <v>405</v>
      </c>
      <c r="R251" s="1159" t="s">
        <v>406</v>
      </c>
      <c r="S251" s="1159" t="s">
        <v>407</v>
      </c>
      <c r="T251" s="1159" t="s">
        <v>408</v>
      </c>
      <c r="U251" s="1159" t="s">
        <v>409</v>
      </c>
      <c r="V251" s="1159" t="s">
        <v>410</v>
      </c>
      <c r="W251" s="1159" t="s">
        <v>411</v>
      </c>
      <c r="X251" s="1159" t="s">
        <v>412</v>
      </c>
      <c r="Y251" s="1159" t="s">
        <v>413</v>
      </c>
      <c r="Z251" s="1159" t="s">
        <v>414</v>
      </c>
      <c r="AA251" s="1159" t="s">
        <v>415</v>
      </c>
      <c r="AB251" s="1159" t="s">
        <v>416</v>
      </c>
      <c r="AC251" s="1159" t="s">
        <v>417</v>
      </c>
      <c r="AD251" s="1159" t="s">
        <v>418</v>
      </c>
      <c r="AE251" s="1159" t="s">
        <v>419</v>
      </c>
      <c r="AF251" s="1159" t="s">
        <v>420</v>
      </c>
      <c r="AG251" s="987" t="s">
        <v>421</v>
      </c>
      <c r="AH251" s="987" t="s">
        <v>422</v>
      </c>
      <c r="AI251" s="987" t="s">
        <v>423</v>
      </c>
      <c r="AJ251" s="987" t="s">
        <v>424</v>
      </c>
      <c r="AK251" s="3"/>
      <c r="AL251" s="3"/>
    </row>
    <row r="252" spans="1:38" s="28" customFormat="1" x14ac:dyDescent="0.4">
      <c r="A252" s="707" t="s">
        <v>552</v>
      </c>
      <c r="B252" s="532" t="s">
        <v>191</v>
      </c>
      <c r="C252" s="537">
        <v>91.978202408993596</v>
      </c>
      <c r="D252" s="537">
        <v>91.978202408993567</v>
      </c>
      <c r="E252" s="537">
        <v>91.978202408993567</v>
      </c>
      <c r="F252" s="537">
        <v>91.279053305674651</v>
      </c>
      <c r="G252" s="537">
        <v>90.579904202355706</v>
      </c>
      <c r="H252" s="537">
        <v>89.88075509903679</v>
      </c>
      <c r="I252" s="537">
        <v>89.18160599571786</v>
      </c>
      <c r="J252" s="537">
        <v>88.482456892398915</v>
      </c>
      <c r="K252" s="537">
        <v>87.78330778907997</v>
      </c>
      <c r="L252" s="537">
        <v>87.084158685761068</v>
      </c>
      <c r="M252" s="537">
        <v>86.385009582442109</v>
      </c>
      <c r="N252" s="537">
        <v>85.685860479123193</v>
      </c>
      <c r="O252" s="537">
        <v>84.986711375804234</v>
      </c>
      <c r="P252" s="537">
        <v>84.287562272485303</v>
      </c>
      <c r="Q252" s="537">
        <v>83.588413169166358</v>
      </c>
      <c r="R252" s="537">
        <v>82.889264065847442</v>
      </c>
      <c r="S252" s="537">
        <v>82.190114962528511</v>
      </c>
      <c r="T252" s="537">
        <v>81.490965859209567</v>
      </c>
      <c r="U252" s="537">
        <v>80.791816755890665</v>
      </c>
      <c r="V252" s="537">
        <v>80.092667652571734</v>
      </c>
      <c r="W252" s="537">
        <v>79.393518549252775</v>
      </c>
      <c r="X252" s="537">
        <v>78.694369445933845</v>
      </c>
      <c r="Y252" s="537">
        <v>76.370245948865659</v>
      </c>
      <c r="Z252" s="537">
        <v>72.058981892935009</v>
      </c>
      <c r="AA252" s="537">
        <v>18.476348385653544</v>
      </c>
      <c r="AB252" s="537">
        <v>17.127976190476154</v>
      </c>
      <c r="AC252" s="537">
        <v>15.985722964763047</v>
      </c>
      <c r="AD252" s="537">
        <v>21.624721678699146</v>
      </c>
      <c r="AE252" s="537">
        <v>14.792065250226537</v>
      </c>
      <c r="AF252" s="537">
        <v>14.55005007391865</v>
      </c>
      <c r="AG252" s="539">
        <v>14.201861130994974</v>
      </c>
      <c r="AH252" s="539">
        <v>13.079876046436322</v>
      </c>
      <c r="AI252" s="539">
        <v>13.494291596481377</v>
      </c>
      <c r="AJ252" s="539">
        <v>11.980240755839015</v>
      </c>
      <c r="AK252" s="3"/>
      <c r="AL252" s="3"/>
    </row>
    <row r="253" spans="1:38" s="28" customFormat="1" x14ac:dyDescent="0.4">
      <c r="A253" s="1394" t="s">
        <v>562</v>
      </c>
      <c r="B253" s="533" t="s">
        <v>191</v>
      </c>
      <c r="C253" s="534" t="s">
        <v>167</v>
      </c>
      <c r="D253" s="534" t="s">
        <v>167</v>
      </c>
      <c r="E253" s="534" t="s">
        <v>167</v>
      </c>
      <c r="F253" s="534" t="s">
        <v>167</v>
      </c>
      <c r="G253" s="534" t="s">
        <v>167</v>
      </c>
      <c r="H253" s="534" t="s">
        <v>167</v>
      </c>
      <c r="I253" s="534" t="s">
        <v>167</v>
      </c>
      <c r="J253" s="534" t="s">
        <v>167</v>
      </c>
      <c r="K253" s="534" t="s">
        <v>167</v>
      </c>
      <c r="L253" s="534" t="s">
        <v>167</v>
      </c>
      <c r="M253" s="534" t="s">
        <v>167</v>
      </c>
      <c r="N253" s="534" t="s">
        <v>167</v>
      </c>
      <c r="O253" s="534" t="s">
        <v>167</v>
      </c>
      <c r="P253" s="534" t="s">
        <v>167</v>
      </c>
      <c r="Q253" s="534" t="s">
        <v>167</v>
      </c>
      <c r="R253" s="534" t="s">
        <v>167</v>
      </c>
      <c r="S253" s="534" t="s">
        <v>167</v>
      </c>
      <c r="T253" s="534" t="s">
        <v>167</v>
      </c>
      <c r="U253" s="534" t="s">
        <v>167</v>
      </c>
      <c r="V253" s="534" t="s">
        <v>167</v>
      </c>
      <c r="W253" s="534" t="s">
        <v>167</v>
      </c>
      <c r="X253" s="534">
        <v>92.295538039037709</v>
      </c>
      <c r="Y253" s="534">
        <v>95.097988509874369</v>
      </c>
      <c r="Z253" s="534">
        <v>91.492153626943121</v>
      </c>
      <c r="AA253" s="534">
        <v>90.905412787723833</v>
      </c>
      <c r="AB253" s="534">
        <v>80.305039787798378</v>
      </c>
      <c r="AC253" s="534">
        <v>85.1</v>
      </c>
      <c r="AD253" s="534">
        <v>89.62360122075286</v>
      </c>
      <c r="AE253" s="534">
        <v>85.028248587570673</v>
      </c>
      <c r="AF253" s="534">
        <v>81.913959613696179</v>
      </c>
      <c r="AG253" s="552">
        <v>81.290322580645196</v>
      </c>
      <c r="AH253" s="552">
        <v>70.934579439252303</v>
      </c>
      <c r="AI253" s="552">
        <v>75.206611570247944</v>
      </c>
      <c r="AJ253" s="552">
        <v>71.09375</v>
      </c>
      <c r="AK253" s="3"/>
      <c r="AL253" s="3"/>
    </row>
    <row r="254" spans="1:38" s="28" customFormat="1" x14ac:dyDescent="0.4">
      <c r="A254" s="1470" t="s">
        <v>563</v>
      </c>
      <c r="B254" s="533" t="s">
        <v>191</v>
      </c>
      <c r="C254" s="534" t="s">
        <v>167</v>
      </c>
      <c r="D254" s="534" t="s">
        <v>167</v>
      </c>
      <c r="E254" s="534" t="s">
        <v>167</v>
      </c>
      <c r="F254" s="534" t="s">
        <v>167</v>
      </c>
      <c r="G254" s="534" t="s">
        <v>167</v>
      </c>
      <c r="H254" s="534" t="s">
        <v>167</v>
      </c>
      <c r="I254" s="534" t="s">
        <v>167</v>
      </c>
      <c r="J254" s="534" t="s">
        <v>167</v>
      </c>
      <c r="K254" s="534" t="s">
        <v>167</v>
      </c>
      <c r="L254" s="534" t="s">
        <v>167</v>
      </c>
      <c r="M254" s="534" t="s">
        <v>167</v>
      </c>
      <c r="N254" s="534" t="s">
        <v>167</v>
      </c>
      <c r="O254" s="534" t="s">
        <v>167</v>
      </c>
      <c r="P254" s="534" t="s">
        <v>167</v>
      </c>
      <c r="Q254" s="534" t="s">
        <v>167</v>
      </c>
      <c r="R254" s="534" t="s">
        <v>167</v>
      </c>
      <c r="S254" s="534" t="s">
        <v>167</v>
      </c>
      <c r="T254" s="534" t="s">
        <v>167</v>
      </c>
      <c r="U254" s="534" t="s">
        <v>167</v>
      </c>
      <c r="V254" s="534" t="s">
        <v>167</v>
      </c>
      <c r="W254" s="534" t="s">
        <v>167</v>
      </c>
      <c r="X254" s="534">
        <v>80.626120640057536</v>
      </c>
      <c r="Y254" s="534">
        <v>80.777700559578662</v>
      </c>
      <c r="Z254" s="534">
        <v>75.393287428052105</v>
      </c>
      <c r="AA254" s="534">
        <v>12.048322992831539</v>
      </c>
      <c r="AB254" s="534">
        <v>9.6155610606477619</v>
      </c>
      <c r="AC254" s="534">
        <v>10.770601336302891</v>
      </c>
      <c r="AD254" s="534">
        <v>17.774634606317779</v>
      </c>
      <c r="AE254" s="534">
        <v>11.143928206293308</v>
      </c>
      <c r="AF254" s="534">
        <v>10.97658970375528</v>
      </c>
      <c r="AG254" s="552">
        <v>10.841631866366827</v>
      </c>
      <c r="AH254" s="552">
        <v>10.36739320863604</v>
      </c>
      <c r="AI254" s="552">
        <v>10.83474947216642</v>
      </c>
      <c r="AJ254" s="552">
        <v>9.5521601685985082</v>
      </c>
      <c r="AK254" s="3"/>
      <c r="AL254" s="3"/>
    </row>
    <row r="255" spans="1:38" s="28" customFormat="1" x14ac:dyDescent="0.4">
      <c r="A255" s="1394" t="s">
        <v>564</v>
      </c>
      <c r="B255" s="535" t="s">
        <v>191</v>
      </c>
      <c r="C255" s="536" t="s">
        <v>167</v>
      </c>
      <c r="D255" s="536" t="s">
        <v>167</v>
      </c>
      <c r="E255" s="536" t="s">
        <v>167</v>
      </c>
      <c r="F255" s="536" t="s">
        <v>167</v>
      </c>
      <c r="G255" s="536" t="s">
        <v>167</v>
      </c>
      <c r="H255" s="536" t="s">
        <v>167</v>
      </c>
      <c r="I255" s="536" t="s">
        <v>167</v>
      </c>
      <c r="J255" s="536" t="s">
        <v>167</v>
      </c>
      <c r="K255" s="536" t="s">
        <v>167</v>
      </c>
      <c r="L255" s="536" t="s">
        <v>167</v>
      </c>
      <c r="M255" s="536" t="s">
        <v>167</v>
      </c>
      <c r="N255" s="536" t="s">
        <v>167</v>
      </c>
      <c r="O255" s="536" t="s">
        <v>167</v>
      </c>
      <c r="P255" s="536" t="s">
        <v>167</v>
      </c>
      <c r="Q255" s="536" t="s">
        <v>167</v>
      </c>
      <c r="R255" s="536" t="s">
        <v>167</v>
      </c>
      <c r="S255" s="536" t="s">
        <v>167</v>
      </c>
      <c r="T255" s="536" t="s">
        <v>167</v>
      </c>
      <c r="U255" s="536" t="s">
        <v>167</v>
      </c>
      <c r="V255" s="536" t="s">
        <v>167</v>
      </c>
      <c r="W255" s="536" t="s">
        <v>167</v>
      </c>
      <c r="X255" s="536">
        <v>7.1416138198757793</v>
      </c>
      <c r="Y255" s="536">
        <v>7.0154203409090847</v>
      </c>
      <c r="Z255" s="536">
        <v>7.2710698949824897</v>
      </c>
      <c r="AA255" s="536">
        <v>6.2105513914656703</v>
      </c>
      <c r="AB255" s="536">
        <v>4.1626331074540195</v>
      </c>
      <c r="AC255" s="536">
        <v>4.7720042417815485</v>
      </c>
      <c r="AD255" s="536">
        <v>5.5755395683453193</v>
      </c>
      <c r="AE255" s="536">
        <v>6.1139028475711843</v>
      </c>
      <c r="AF255" s="536">
        <v>5.9329320722269943</v>
      </c>
      <c r="AG255" s="555">
        <v>5.7885906040268438</v>
      </c>
      <c r="AH255" s="555">
        <v>4.9825174825174807</v>
      </c>
      <c r="AI255" s="555">
        <v>5.2791878172588795</v>
      </c>
      <c r="AJ255" s="555">
        <v>4.9230769230769216</v>
      </c>
      <c r="AK255" s="3"/>
      <c r="AL255" s="3"/>
    </row>
    <row r="256" spans="1:38" s="28" customFormat="1" x14ac:dyDescent="0.4">
      <c r="A256" s="1188" t="s">
        <v>1063</v>
      </c>
      <c r="B256" s="1191"/>
      <c r="C256" s="1191"/>
      <c r="D256" s="1191"/>
      <c r="E256" s="1191"/>
      <c r="F256" s="1191"/>
      <c r="G256" s="1191"/>
      <c r="H256" s="1191"/>
      <c r="I256" s="1191"/>
      <c r="J256" s="1191"/>
      <c r="K256" s="1191"/>
      <c r="L256" s="1191"/>
      <c r="M256" s="1191"/>
      <c r="N256" s="1191"/>
      <c r="O256" s="1191"/>
      <c r="P256" s="1191"/>
      <c r="Q256" s="1191"/>
      <c r="R256" s="1191"/>
      <c r="S256" s="1191"/>
      <c r="T256" s="1191"/>
      <c r="U256" s="1191"/>
      <c r="V256" s="1191"/>
      <c r="W256" s="1191"/>
      <c r="X256" s="1191"/>
      <c r="Y256" s="1191"/>
      <c r="Z256" s="1191"/>
      <c r="AA256" s="1191"/>
      <c r="AB256" s="1191"/>
      <c r="AC256" s="1191"/>
      <c r="AD256" s="1191"/>
      <c r="AE256" s="1191"/>
      <c r="AF256" s="1191"/>
      <c r="AG256" s="1191"/>
      <c r="AH256" s="1191"/>
      <c r="AI256" s="1191"/>
      <c r="AJ256" s="1191"/>
      <c r="AK256" s="3"/>
      <c r="AL256" s="3"/>
    </row>
    <row r="257" spans="1:38" s="28" customFormat="1" x14ac:dyDescent="0.4">
      <c r="A257" s="684"/>
      <c r="B257" s="581"/>
      <c r="C257" s="89"/>
      <c r="D257" s="89"/>
      <c r="E257" s="89"/>
      <c r="F257" s="89"/>
      <c r="G257" s="89"/>
      <c r="H257" s="89"/>
      <c r="I257" s="89"/>
      <c r="J257" s="89"/>
      <c r="K257" s="89"/>
      <c r="L257" s="89"/>
      <c r="M257" s="89"/>
      <c r="N257" s="89"/>
      <c r="O257" s="89"/>
      <c r="P257" s="89"/>
      <c r="Q257" s="89"/>
      <c r="R257" s="89"/>
      <c r="S257" s="89"/>
      <c r="T257" s="89"/>
      <c r="U257" s="89"/>
      <c r="V257" s="89"/>
      <c r="W257" s="89"/>
      <c r="X257" s="89"/>
      <c r="Y257" s="89"/>
      <c r="Z257" s="89"/>
      <c r="AA257" s="89"/>
      <c r="AB257" s="89"/>
      <c r="AC257" s="89"/>
      <c r="AD257" s="89"/>
      <c r="AE257" s="89"/>
      <c r="AF257" s="89"/>
      <c r="AG257" s="89"/>
      <c r="AH257" s="89"/>
      <c r="AI257" s="89"/>
      <c r="AJ257" s="89"/>
      <c r="AK257" s="3"/>
      <c r="AL257" s="3"/>
    </row>
    <row r="258" spans="1:38" s="28" customFormat="1" ht="17" x14ac:dyDescent="0.45">
      <c r="A258" s="88" t="s">
        <v>1515</v>
      </c>
      <c r="B258" s="581"/>
      <c r="C258" s="89"/>
      <c r="D258" s="89"/>
      <c r="E258" s="89"/>
      <c r="F258" s="89"/>
      <c r="G258" s="89"/>
      <c r="H258" s="89"/>
      <c r="I258" s="89"/>
      <c r="J258" s="89"/>
      <c r="K258" s="89"/>
      <c r="L258" s="89"/>
      <c r="M258" s="89"/>
      <c r="N258" s="89"/>
      <c r="O258" s="89"/>
      <c r="P258" s="89"/>
      <c r="Q258" s="89"/>
      <c r="R258" s="89"/>
      <c r="S258" s="89"/>
      <c r="T258" s="89"/>
      <c r="U258" s="89"/>
      <c r="V258" s="89"/>
      <c r="W258" s="89"/>
      <c r="X258" s="89"/>
      <c r="Y258" s="89"/>
      <c r="Z258" s="89"/>
      <c r="AA258" s="89"/>
      <c r="AB258" s="89"/>
      <c r="AC258" s="89"/>
      <c r="AD258" s="89"/>
      <c r="AE258" s="89"/>
      <c r="AF258" s="89"/>
      <c r="AG258" s="89"/>
      <c r="AH258" s="89"/>
      <c r="AI258" s="89"/>
      <c r="AJ258" s="89"/>
      <c r="AK258" s="3"/>
      <c r="AL258" s="3"/>
    </row>
    <row r="259" spans="1:38" s="28" customFormat="1" x14ac:dyDescent="0.4">
      <c r="A259" s="1218" t="s">
        <v>805</v>
      </c>
      <c r="B259" s="1140" t="s">
        <v>136</v>
      </c>
      <c r="C259" s="1159" t="s">
        <v>391</v>
      </c>
      <c r="D259" s="1159" t="s">
        <v>392</v>
      </c>
      <c r="E259" s="1159" t="s">
        <v>393</v>
      </c>
      <c r="F259" s="1159" t="s">
        <v>394</v>
      </c>
      <c r="G259" s="1159" t="s">
        <v>395</v>
      </c>
      <c r="H259" s="1159" t="s">
        <v>396</v>
      </c>
      <c r="I259" s="1159" t="s">
        <v>397</v>
      </c>
      <c r="J259" s="1159" t="s">
        <v>398</v>
      </c>
      <c r="K259" s="1159" t="s">
        <v>399</v>
      </c>
      <c r="L259" s="1159" t="s">
        <v>400</v>
      </c>
      <c r="M259" s="1159" t="s">
        <v>401</v>
      </c>
      <c r="N259" s="1159" t="s">
        <v>402</v>
      </c>
      <c r="O259" s="1159" t="s">
        <v>403</v>
      </c>
      <c r="P259" s="1159" t="s">
        <v>404</v>
      </c>
      <c r="Q259" s="1159" t="s">
        <v>405</v>
      </c>
      <c r="R259" s="1159" t="s">
        <v>406</v>
      </c>
      <c r="S259" s="1159" t="s">
        <v>407</v>
      </c>
      <c r="T259" s="1159" t="s">
        <v>408</v>
      </c>
      <c r="U259" s="1159" t="s">
        <v>409</v>
      </c>
      <c r="V259" s="1159" t="s">
        <v>410</v>
      </c>
      <c r="W259" s="1159" t="s">
        <v>411</v>
      </c>
      <c r="X259" s="1159" t="s">
        <v>412</v>
      </c>
      <c r="Y259" s="1159" t="s">
        <v>413</v>
      </c>
      <c r="Z259" s="1159" t="s">
        <v>414</v>
      </c>
      <c r="AA259" s="1159" t="s">
        <v>415</v>
      </c>
      <c r="AB259" s="1159" t="s">
        <v>416</v>
      </c>
      <c r="AC259" s="1159" t="s">
        <v>417</v>
      </c>
      <c r="AD259" s="1159" t="s">
        <v>418</v>
      </c>
      <c r="AE259" s="1159" t="s">
        <v>419</v>
      </c>
      <c r="AF259" s="1159" t="s">
        <v>420</v>
      </c>
      <c r="AG259" s="987" t="s">
        <v>421</v>
      </c>
      <c r="AH259" s="987" t="s">
        <v>422</v>
      </c>
      <c r="AI259" s="987" t="s">
        <v>423</v>
      </c>
      <c r="AJ259" s="987" t="s">
        <v>424</v>
      </c>
      <c r="AK259" s="3"/>
      <c r="AL259" s="3"/>
    </row>
    <row r="260" spans="1:38" s="28" customFormat="1" x14ac:dyDescent="0.4">
      <c r="A260" s="643" t="s">
        <v>183</v>
      </c>
      <c r="B260" s="532" t="s">
        <v>192</v>
      </c>
      <c r="C260" s="537">
        <v>15352.941176470591</v>
      </c>
      <c r="D260" s="537">
        <v>15352.941176470591</v>
      </c>
      <c r="E260" s="537">
        <v>15352.9411764706</v>
      </c>
      <c r="F260" s="537">
        <v>15352.941176470589</v>
      </c>
      <c r="G260" s="537">
        <v>15352.941176470593</v>
      </c>
      <c r="H260" s="537">
        <v>15352.941176470589</v>
      </c>
      <c r="I260" s="537">
        <v>15352.941176470589</v>
      </c>
      <c r="J260" s="537">
        <v>15352.941176470589</v>
      </c>
      <c r="K260" s="537">
        <v>15352.941176470589</v>
      </c>
      <c r="L260" s="537">
        <v>15352.941176470591</v>
      </c>
      <c r="M260" s="537">
        <v>15352.941176470587</v>
      </c>
      <c r="N260" s="537">
        <v>15352.941176470591</v>
      </c>
      <c r="O260" s="537">
        <v>15352.941176470589</v>
      </c>
      <c r="P260" s="537">
        <v>15352.941176470589</v>
      </c>
      <c r="Q260" s="537">
        <v>15352.941176470589</v>
      </c>
      <c r="R260" s="537">
        <v>15352.941176470589</v>
      </c>
      <c r="S260" s="537">
        <v>15352.941176470589</v>
      </c>
      <c r="T260" s="537">
        <v>15352.941176470589</v>
      </c>
      <c r="U260" s="537">
        <v>15352.941176470589</v>
      </c>
      <c r="V260" s="537">
        <v>15352.941176470589</v>
      </c>
      <c r="W260" s="537">
        <v>15352.941176470587</v>
      </c>
      <c r="X260" s="537">
        <v>15352.941176470587</v>
      </c>
      <c r="Y260" s="537">
        <v>15352.941176470589</v>
      </c>
      <c r="Z260" s="537">
        <v>15352.941176470589</v>
      </c>
      <c r="AA260" s="537">
        <v>15352.941176470589</v>
      </c>
      <c r="AB260" s="537">
        <v>15352.941176470589</v>
      </c>
      <c r="AC260" s="537">
        <v>15352.941176470587</v>
      </c>
      <c r="AD260" s="537">
        <v>15352.941176470587</v>
      </c>
      <c r="AE260" s="537">
        <v>86.666666666666686</v>
      </c>
      <c r="AF260" s="583">
        <v>106.66666666666667</v>
      </c>
      <c r="AG260" s="582">
        <v>43406.666666666672</v>
      </c>
      <c r="AH260" s="582">
        <v>72586.666666666657</v>
      </c>
      <c r="AI260" s="582">
        <v>101819.99999999999</v>
      </c>
      <c r="AJ260" s="582">
        <v>1048881.25</v>
      </c>
      <c r="AK260" s="3"/>
      <c r="AL260" s="3"/>
    </row>
    <row r="261" spans="1:38" s="28" customFormat="1" x14ac:dyDescent="0.4">
      <c r="A261" s="645" t="s">
        <v>185</v>
      </c>
      <c r="B261" s="538" t="s">
        <v>192</v>
      </c>
      <c r="C261" s="569">
        <v>2870.8805236510161</v>
      </c>
      <c r="D261" s="569">
        <v>2870.8805236510161</v>
      </c>
      <c r="E261" s="569">
        <v>2870.8805236510166</v>
      </c>
      <c r="F261" s="569">
        <v>2870.8805236510166</v>
      </c>
      <c r="G261" s="569">
        <v>2870.8805236510166</v>
      </c>
      <c r="H261" s="569">
        <v>2870.8805236510166</v>
      </c>
      <c r="I261" s="569">
        <v>2870.8805236510166</v>
      </c>
      <c r="J261" s="569">
        <v>2870.880523651017</v>
      </c>
      <c r="K261" s="569">
        <v>2870.8805236510166</v>
      </c>
      <c r="L261" s="569">
        <v>2870.8805236510166</v>
      </c>
      <c r="M261" s="569">
        <v>2870.8805236510161</v>
      </c>
      <c r="N261" s="569">
        <v>2870.880523651017</v>
      </c>
      <c r="O261" s="569">
        <v>2870.8805236510157</v>
      </c>
      <c r="P261" s="569">
        <v>2870.8805236510166</v>
      </c>
      <c r="Q261" s="569">
        <v>2870.8805236510166</v>
      </c>
      <c r="R261" s="569">
        <v>2870.8805236510166</v>
      </c>
      <c r="S261" s="569">
        <v>2870.8805236510166</v>
      </c>
      <c r="T261" s="569">
        <v>2870.8805236510166</v>
      </c>
      <c r="U261" s="569">
        <v>2870.8805236510166</v>
      </c>
      <c r="V261" s="569">
        <v>2870.8805236510166</v>
      </c>
      <c r="W261" s="569">
        <v>2870.8805236510166</v>
      </c>
      <c r="X261" s="569">
        <v>2870.8805236510166</v>
      </c>
      <c r="Y261" s="569">
        <v>2870.880523651017</v>
      </c>
      <c r="Z261" s="569">
        <v>2870.880523651017</v>
      </c>
      <c r="AA261" s="569">
        <v>2870.880523651017</v>
      </c>
      <c r="AB261" s="569">
        <v>2870.880523651017</v>
      </c>
      <c r="AC261" s="569">
        <v>2870.8805236510166</v>
      </c>
      <c r="AD261" s="569">
        <v>2870.8805236510161</v>
      </c>
      <c r="AE261" s="569">
        <v>2870.8805236510166</v>
      </c>
      <c r="AF261" s="701">
        <v>2870.880523651017</v>
      </c>
      <c r="AG261" s="702">
        <v>2870.880523651017</v>
      </c>
      <c r="AH261" s="702">
        <v>2870.8805236510166</v>
      </c>
      <c r="AI261" s="702">
        <v>2870.8805236510161</v>
      </c>
      <c r="AJ261" s="702">
        <v>2870.8805236510166</v>
      </c>
      <c r="AK261" s="3"/>
      <c r="AL261" s="3"/>
    </row>
    <row r="262" spans="1:38" s="28" customFormat="1" x14ac:dyDescent="0.4">
      <c r="A262" s="1188" t="s">
        <v>1063</v>
      </c>
      <c r="B262" s="1191"/>
      <c r="C262" s="1191"/>
      <c r="D262" s="1191"/>
      <c r="E262" s="1191"/>
      <c r="F262" s="1191"/>
      <c r="G262" s="1191"/>
      <c r="H262" s="1191"/>
      <c r="I262" s="1191"/>
      <c r="J262" s="1191"/>
      <c r="K262" s="1191"/>
      <c r="L262" s="1191"/>
      <c r="M262" s="1191"/>
      <c r="N262" s="1191"/>
      <c r="O262" s="1191"/>
      <c r="P262" s="1191"/>
      <c r="Q262" s="1191"/>
      <c r="R262" s="1191"/>
      <c r="S262" s="1191"/>
      <c r="T262" s="1191"/>
      <c r="U262" s="1191"/>
      <c r="V262" s="1191"/>
      <c r="W262" s="1191"/>
      <c r="X262" s="1191"/>
      <c r="Y262" s="1191"/>
      <c r="Z262" s="1191"/>
      <c r="AA262" s="1191"/>
      <c r="AB262" s="1191"/>
      <c r="AC262" s="1191"/>
      <c r="AD262" s="1191"/>
      <c r="AE262" s="1191"/>
      <c r="AF262" s="1191"/>
      <c r="AG262" s="1191"/>
      <c r="AH262" s="1191"/>
      <c r="AI262" s="1191"/>
      <c r="AJ262" s="1191"/>
      <c r="AK262" s="3"/>
      <c r="AL262" s="3"/>
    </row>
    <row r="263" spans="1:38" s="28" customFormat="1" x14ac:dyDescent="0.4">
      <c r="A263" s="581"/>
      <c r="B263" s="581"/>
      <c r="C263" s="89"/>
      <c r="D263" s="89"/>
      <c r="E263" s="89"/>
      <c r="F263" s="89"/>
      <c r="G263" s="89"/>
      <c r="H263" s="89"/>
      <c r="I263" s="89"/>
      <c r="J263" s="89"/>
      <c r="K263" s="89"/>
      <c r="L263" s="89"/>
      <c r="M263" s="89"/>
      <c r="N263" s="89"/>
      <c r="O263" s="89"/>
      <c r="P263" s="89"/>
      <c r="Q263" s="89"/>
      <c r="R263" s="89"/>
      <c r="S263" s="89"/>
      <c r="T263" s="89"/>
      <c r="U263" s="89"/>
      <c r="V263" s="89"/>
      <c r="W263" s="89"/>
      <c r="X263" s="89"/>
      <c r="Y263" s="89"/>
      <c r="Z263" s="89"/>
      <c r="AA263" s="89"/>
      <c r="AB263" s="89"/>
      <c r="AC263" s="89"/>
      <c r="AD263" s="89"/>
      <c r="AE263" s="89"/>
      <c r="AF263" s="706"/>
      <c r="AG263" s="706"/>
      <c r="AH263" s="706"/>
      <c r="AI263" s="706"/>
      <c r="AJ263" s="706"/>
      <c r="AK263" s="3"/>
      <c r="AL263" s="3"/>
    </row>
    <row r="264" spans="1:38" s="28" customFormat="1" ht="17" x14ac:dyDescent="0.45">
      <c r="A264" s="88" t="s">
        <v>1516</v>
      </c>
      <c r="B264" s="581"/>
      <c r="C264" s="89"/>
      <c r="D264" s="89"/>
      <c r="E264" s="89"/>
      <c r="F264" s="89"/>
      <c r="G264" s="89"/>
      <c r="H264" s="89"/>
      <c r="I264" s="89"/>
      <c r="J264" s="89"/>
      <c r="K264" s="89"/>
      <c r="L264" s="89"/>
      <c r="M264" s="89"/>
      <c r="N264" s="89"/>
      <c r="O264" s="89"/>
      <c r="P264" s="89"/>
      <c r="Q264" s="89"/>
      <c r="R264" s="89"/>
      <c r="S264" s="89"/>
      <c r="T264" s="89"/>
      <c r="U264" s="89"/>
      <c r="V264" s="89"/>
      <c r="W264" s="89"/>
      <c r="X264" s="89"/>
      <c r="Y264" s="89"/>
      <c r="Z264" s="89"/>
      <c r="AA264" s="89"/>
      <c r="AB264" s="89"/>
      <c r="AC264" s="89"/>
      <c r="AD264" s="89"/>
      <c r="AE264" s="89"/>
      <c r="AF264" s="706"/>
      <c r="AG264" s="706"/>
      <c r="AH264" s="706"/>
      <c r="AI264" s="706"/>
      <c r="AJ264" s="706"/>
      <c r="AK264" s="3"/>
      <c r="AL264" s="3"/>
    </row>
    <row r="265" spans="1:38" s="28" customFormat="1" x14ac:dyDescent="0.4">
      <c r="A265" s="1218" t="s">
        <v>806</v>
      </c>
      <c r="B265" s="1140" t="s">
        <v>136</v>
      </c>
      <c r="C265" s="1159" t="s">
        <v>391</v>
      </c>
      <c r="D265" s="1159" t="s">
        <v>392</v>
      </c>
      <c r="E265" s="1159" t="s">
        <v>393</v>
      </c>
      <c r="F265" s="1159" t="s">
        <v>394</v>
      </c>
      <c r="G265" s="1159" t="s">
        <v>395</v>
      </c>
      <c r="H265" s="1159" t="s">
        <v>396</v>
      </c>
      <c r="I265" s="1159" t="s">
        <v>397</v>
      </c>
      <c r="J265" s="1159" t="s">
        <v>398</v>
      </c>
      <c r="K265" s="1159" t="s">
        <v>399</v>
      </c>
      <c r="L265" s="1159" t="s">
        <v>400</v>
      </c>
      <c r="M265" s="1159" t="s">
        <v>401</v>
      </c>
      <c r="N265" s="1159" t="s">
        <v>402</v>
      </c>
      <c r="O265" s="1159" t="s">
        <v>403</v>
      </c>
      <c r="P265" s="1159" t="s">
        <v>404</v>
      </c>
      <c r="Q265" s="1159" t="s">
        <v>405</v>
      </c>
      <c r="R265" s="1159" t="s">
        <v>406</v>
      </c>
      <c r="S265" s="1159" t="s">
        <v>407</v>
      </c>
      <c r="T265" s="1159" t="s">
        <v>408</v>
      </c>
      <c r="U265" s="1159" t="s">
        <v>409</v>
      </c>
      <c r="V265" s="1159" t="s">
        <v>410</v>
      </c>
      <c r="W265" s="1159" t="s">
        <v>411</v>
      </c>
      <c r="X265" s="1159" t="s">
        <v>412</v>
      </c>
      <c r="Y265" s="1159" t="s">
        <v>413</v>
      </c>
      <c r="Z265" s="1159" t="s">
        <v>414</v>
      </c>
      <c r="AA265" s="1159" t="s">
        <v>415</v>
      </c>
      <c r="AB265" s="1159" t="s">
        <v>416</v>
      </c>
      <c r="AC265" s="1159" t="s">
        <v>417</v>
      </c>
      <c r="AD265" s="1159" t="s">
        <v>418</v>
      </c>
      <c r="AE265" s="1159" t="s">
        <v>419</v>
      </c>
      <c r="AF265" s="1159" t="s">
        <v>420</v>
      </c>
      <c r="AG265" s="987" t="s">
        <v>421</v>
      </c>
      <c r="AH265" s="987" t="s">
        <v>422</v>
      </c>
      <c r="AI265" s="987" t="s">
        <v>423</v>
      </c>
      <c r="AJ265" s="987" t="s">
        <v>424</v>
      </c>
      <c r="AK265" s="3"/>
      <c r="AL265" s="3"/>
    </row>
    <row r="266" spans="1:38" s="28" customFormat="1" x14ac:dyDescent="0.4">
      <c r="A266" s="644" t="s">
        <v>187</v>
      </c>
      <c r="B266" s="533" t="s">
        <v>193</v>
      </c>
      <c r="C266" s="584">
        <v>7391013.333333333</v>
      </c>
      <c r="D266" s="584">
        <v>8528092.307692308</v>
      </c>
      <c r="E266" s="584">
        <v>8528092.307692308</v>
      </c>
      <c r="F266" s="584">
        <v>8528092.307692308</v>
      </c>
      <c r="G266" s="584">
        <v>8528092.307692308</v>
      </c>
      <c r="H266" s="584">
        <v>8528092.307692308</v>
      </c>
      <c r="I266" s="584">
        <v>8528092.307692308</v>
      </c>
      <c r="J266" s="584">
        <v>8528092.307692308</v>
      </c>
      <c r="K266" s="584">
        <v>8528092.307692308</v>
      </c>
      <c r="L266" s="584">
        <v>8528092.307692308</v>
      </c>
      <c r="M266" s="584">
        <v>8528092.307692308</v>
      </c>
      <c r="N266" s="584">
        <v>8528092.3076923098</v>
      </c>
      <c r="O266" s="584">
        <v>8528092.3076923098</v>
      </c>
      <c r="P266" s="584">
        <v>8528092.307692308</v>
      </c>
      <c r="Q266" s="584">
        <v>8528092.307692308</v>
      </c>
      <c r="R266" s="584">
        <v>8528092.307692308</v>
      </c>
      <c r="S266" s="584">
        <v>8528092.307692308</v>
      </c>
      <c r="T266" s="584">
        <v>8528092.307692308</v>
      </c>
      <c r="U266" s="584">
        <v>8528092.307692308</v>
      </c>
      <c r="V266" s="584">
        <v>8528092.307692308</v>
      </c>
      <c r="W266" s="584">
        <v>8528092.307692308</v>
      </c>
      <c r="X266" s="584">
        <v>8528092.307692308</v>
      </c>
      <c r="Y266" s="584">
        <v>8528092.307692308</v>
      </c>
      <c r="Z266" s="584">
        <v>8528092.307692308</v>
      </c>
      <c r="AA266" s="584">
        <v>8528092.307692308</v>
      </c>
      <c r="AB266" s="584">
        <v>8528092.3076923098</v>
      </c>
      <c r="AC266" s="584">
        <v>8528092.307692308</v>
      </c>
      <c r="AD266" s="584">
        <v>8528092.307692308</v>
      </c>
      <c r="AE266" s="584">
        <v>2795516.6666666665</v>
      </c>
      <c r="AF266" s="584">
        <v>3108233.3333333335</v>
      </c>
      <c r="AG266" s="585">
        <v>591699.99999999988</v>
      </c>
      <c r="AH266" s="585">
        <v>787233.33333333337</v>
      </c>
      <c r="AI266" s="585">
        <v>969985.71428571409</v>
      </c>
      <c r="AJ266" s="585">
        <v>1406500</v>
      </c>
      <c r="AK266" s="3"/>
      <c r="AL266" s="3"/>
    </row>
    <row r="267" spans="1:38" s="28" customFormat="1" x14ac:dyDescent="0.4">
      <c r="A267" s="644" t="s">
        <v>189</v>
      </c>
      <c r="B267" s="533" t="s">
        <v>193</v>
      </c>
      <c r="C267" s="584">
        <v>54340.000000000007</v>
      </c>
      <c r="D267" s="584">
        <v>62700.000000000007</v>
      </c>
      <c r="E267" s="584">
        <v>62700.000000000007</v>
      </c>
      <c r="F267" s="584">
        <v>62700.000000000007</v>
      </c>
      <c r="G267" s="584">
        <v>62700.000000000007</v>
      </c>
      <c r="H267" s="584">
        <v>62700.000000000007</v>
      </c>
      <c r="I267" s="584">
        <v>62700.000000000007</v>
      </c>
      <c r="J267" s="584">
        <v>62700.000000000007</v>
      </c>
      <c r="K267" s="584">
        <v>62700.000000000007</v>
      </c>
      <c r="L267" s="584">
        <v>62700.000000000007</v>
      </c>
      <c r="M267" s="584">
        <v>62700.000000000007</v>
      </c>
      <c r="N267" s="584">
        <v>62700.000000000007</v>
      </c>
      <c r="O267" s="584">
        <v>62700.000000000007</v>
      </c>
      <c r="P267" s="584">
        <v>62700.000000000007</v>
      </c>
      <c r="Q267" s="584">
        <v>62700.000000000007</v>
      </c>
      <c r="R267" s="584">
        <v>62700</v>
      </c>
      <c r="S267" s="584">
        <v>62700</v>
      </c>
      <c r="T267" s="584">
        <v>62700</v>
      </c>
      <c r="U267" s="584">
        <v>62700</v>
      </c>
      <c r="V267" s="584">
        <v>62700.000000000007</v>
      </c>
      <c r="W267" s="584">
        <v>62700</v>
      </c>
      <c r="X267" s="584">
        <v>62700</v>
      </c>
      <c r="Y267" s="584">
        <v>62700</v>
      </c>
      <c r="Z267" s="584">
        <v>62700</v>
      </c>
      <c r="AA267" s="584">
        <v>62700</v>
      </c>
      <c r="AB267" s="584">
        <v>62700.000000000007</v>
      </c>
      <c r="AC267" s="584">
        <v>62700</v>
      </c>
      <c r="AD267" s="584">
        <v>62700.000000000007</v>
      </c>
      <c r="AE267" s="584">
        <v>67858.333333333328</v>
      </c>
      <c r="AF267" s="584">
        <v>1108.3333333333335</v>
      </c>
      <c r="AG267" s="585">
        <v>790.90909090909099</v>
      </c>
      <c r="AH267" s="585">
        <v>922.22222222222229</v>
      </c>
      <c r="AI267" s="585">
        <v>0</v>
      </c>
      <c r="AJ267" s="585">
        <v>0</v>
      </c>
      <c r="AK267" s="3"/>
      <c r="AL267" s="3"/>
    </row>
    <row r="268" spans="1:38" s="28" customFormat="1" x14ac:dyDescent="0.4">
      <c r="A268" s="1188" t="s">
        <v>1063</v>
      </c>
      <c r="B268" s="1191"/>
      <c r="C268" s="1191"/>
      <c r="D268" s="1191"/>
      <c r="E268" s="1191"/>
      <c r="F268" s="1191"/>
      <c r="G268" s="1191"/>
      <c r="H268" s="1191"/>
      <c r="I268" s="1191"/>
      <c r="J268" s="1191"/>
      <c r="K268" s="1191"/>
      <c r="L268" s="1191"/>
      <c r="M268" s="1191"/>
      <c r="N268" s="1191"/>
      <c r="O268" s="1191"/>
      <c r="P268" s="1191"/>
      <c r="Q268" s="1191"/>
      <c r="R268" s="1191"/>
      <c r="S268" s="1191"/>
      <c r="T268" s="1191"/>
      <c r="U268" s="1191"/>
      <c r="V268" s="1191"/>
      <c r="W268" s="1191"/>
      <c r="X268" s="1191"/>
      <c r="Y268" s="1191"/>
      <c r="Z268" s="1191"/>
      <c r="AA268" s="1191"/>
      <c r="AB268" s="1191"/>
      <c r="AC268" s="1191"/>
      <c r="AD268" s="1191"/>
      <c r="AE268" s="1191"/>
      <c r="AF268" s="1191"/>
      <c r="AG268" s="1191"/>
      <c r="AH268" s="1191"/>
      <c r="AI268" s="1191"/>
      <c r="AJ268" s="1191"/>
      <c r="AK268" s="3"/>
      <c r="AL268" s="3"/>
    </row>
    <row r="269" spans="1:38" s="28" customFormat="1" x14ac:dyDescent="0.4">
      <c r="A269" s="581"/>
      <c r="B269" s="567"/>
      <c r="C269" s="567"/>
      <c r="D269" s="567"/>
      <c r="E269" s="567"/>
      <c r="F269" s="567"/>
      <c r="G269" s="567"/>
      <c r="H269" s="567"/>
      <c r="I269" s="567"/>
      <c r="J269" s="567"/>
      <c r="K269" s="567"/>
      <c r="L269" s="567"/>
      <c r="M269" s="567"/>
      <c r="N269" s="567"/>
      <c r="O269" s="567"/>
      <c r="P269" s="567"/>
      <c r="Q269" s="567"/>
      <c r="R269" s="567"/>
      <c r="S269" s="567"/>
      <c r="T269" s="567"/>
      <c r="U269" s="567"/>
      <c r="V269" s="567"/>
      <c r="W269" s="567"/>
      <c r="X269" s="567"/>
      <c r="Y269" s="567"/>
      <c r="Z269" s="567"/>
      <c r="AA269" s="567"/>
      <c r="AB269" s="567"/>
      <c r="AC269" s="567"/>
      <c r="AD269" s="567"/>
      <c r="AE269" s="567"/>
      <c r="AF269" s="567"/>
      <c r="AG269" s="567"/>
      <c r="AH269" s="567"/>
      <c r="AI269" s="567"/>
      <c r="AJ269" s="567"/>
      <c r="AK269" s="3"/>
      <c r="AL269" s="3"/>
    </row>
    <row r="270" spans="1:38" ht="17" x14ac:dyDescent="0.45">
      <c r="A270" s="88" t="s">
        <v>1517</v>
      </c>
      <c r="B270" s="653" t="s">
        <v>1583</v>
      </c>
      <c r="C270" s="653"/>
      <c r="D270" s="653"/>
      <c r="E270" s="653"/>
      <c r="F270" s="653"/>
      <c r="AF270" s="477"/>
      <c r="AG270" s="477"/>
      <c r="AH270" s="477"/>
      <c r="AJ270" s="28"/>
    </row>
    <row r="271" spans="1:38" s="28" customFormat="1" x14ac:dyDescent="0.4">
      <c r="A271" s="1218" t="s">
        <v>804</v>
      </c>
      <c r="B271" s="1140" t="s">
        <v>136</v>
      </c>
      <c r="C271" s="1159" t="s">
        <v>391</v>
      </c>
      <c r="D271" s="1159" t="s">
        <v>392</v>
      </c>
      <c r="E271" s="1159" t="s">
        <v>393</v>
      </c>
      <c r="F271" s="1159" t="s">
        <v>394</v>
      </c>
      <c r="G271" s="1159" t="s">
        <v>395</v>
      </c>
      <c r="H271" s="1159" t="s">
        <v>396</v>
      </c>
      <c r="I271" s="1159" t="s">
        <v>397</v>
      </c>
      <c r="J271" s="1159" t="s">
        <v>398</v>
      </c>
      <c r="K271" s="1159" t="s">
        <v>399</v>
      </c>
      <c r="L271" s="1159" t="s">
        <v>400</v>
      </c>
      <c r="M271" s="1159" t="s">
        <v>401</v>
      </c>
      <c r="N271" s="1159" t="s">
        <v>402</v>
      </c>
      <c r="O271" s="1159" t="s">
        <v>403</v>
      </c>
      <c r="P271" s="1159" t="s">
        <v>404</v>
      </c>
      <c r="Q271" s="1159" t="s">
        <v>405</v>
      </c>
      <c r="R271" s="1159" t="s">
        <v>406</v>
      </c>
      <c r="S271" s="1159" t="s">
        <v>407</v>
      </c>
      <c r="T271" s="1159" t="s">
        <v>408</v>
      </c>
      <c r="U271" s="1159" t="s">
        <v>409</v>
      </c>
      <c r="V271" s="1159" t="s">
        <v>410</v>
      </c>
      <c r="W271" s="1159" t="s">
        <v>411</v>
      </c>
      <c r="X271" s="1159" t="s">
        <v>412</v>
      </c>
      <c r="Y271" s="1159" t="s">
        <v>413</v>
      </c>
      <c r="Z271" s="1159" t="s">
        <v>414</v>
      </c>
      <c r="AA271" s="1159" t="s">
        <v>415</v>
      </c>
      <c r="AB271" s="1159" t="s">
        <v>416</v>
      </c>
      <c r="AC271" s="1159" t="s">
        <v>417</v>
      </c>
      <c r="AD271" s="1159" t="s">
        <v>418</v>
      </c>
      <c r="AE271" s="1159" t="s">
        <v>419</v>
      </c>
      <c r="AF271" s="1159" t="s">
        <v>420</v>
      </c>
      <c r="AG271" s="987" t="s">
        <v>421</v>
      </c>
      <c r="AH271" s="987" t="s">
        <v>422</v>
      </c>
      <c r="AI271" s="987" t="s">
        <v>423</v>
      </c>
      <c r="AJ271" s="987" t="s">
        <v>424</v>
      </c>
      <c r="AK271" s="3"/>
      <c r="AL271" s="3"/>
    </row>
    <row r="272" spans="1:38" s="28" customFormat="1" x14ac:dyDescent="0.4">
      <c r="A272" s="644" t="s">
        <v>169</v>
      </c>
      <c r="B272" s="533" t="s">
        <v>1279</v>
      </c>
      <c r="C272" s="586">
        <f t="shared" ref="C272:AJ272" si="54">C236*$B$370</f>
        <v>3.2163893656966087E-4</v>
      </c>
      <c r="D272" s="586">
        <f t="shared" si="54"/>
        <v>3.2163893656966087E-4</v>
      </c>
      <c r="E272" s="586">
        <f t="shared" si="54"/>
        <v>3.2163893656966092E-4</v>
      </c>
      <c r="F272" s="586">
        <f t="shared" si="54"/>
        <v>3.2163893656966092E-4</v>
      </c>
      <c r="G272" s="586">
        <f t="shared" si="54"/>
        <v>3.2163893656966092E-4</v>
      </c>
      <c r="H272" s="586">
        <f t="shared" si="54"/>
        <v>3.2163893656966087E-4</v>
      </c>
      <c r="I272" s="586">
        <f t="shared" si="54"/>
        <v>3.2163893656966092E-4</v>
      </c>
      <c r="J272" s="586">
        <f t="shared" si="54"/>
        <v>3.2163893656966092E-4</v>
      </c>
      <c r="K272" s="586">
        <f t="shared" si="54"/>
        <v>3.2163893656966092E-4</v>
      </c>
      <c r="L272" s="586">
        <f t="shared" si="54"/>
        <v>3.2163893656966087E-4</v>
      </c>
      <c r="M272" s="586">
        <f t="shared" si="54"/>
        <v>3.2163893656966092E-4</v>
      </c>
      <c r="N272" s="586">
        <f t="shared" si="54"/>
        <v>3.2163893656966092E-4</v>
      </c>
      <c r="O272" s="586">
        <f t="shared" si="54"/>
        <v>3.2163893656966087E-4</v>
      </c>
      <c r="P272" s="586">
        <f t="shared" si="54"/>
        <v>3.2163893656966092E-4</v>
      </c>
      <c r="Q272" s="586">
        <f t="shared" si="54"/>
        <v>3.2163893656966087E-4</v>
      </c>
      <c r="R272" s="586">
        <f t="shared" si="54"/>
        <v>3.2163893656966092E-4</v>
      </c>
      <c r="S272" s="586">
        <f t="shared" si="54"/>
        <v>3.2163893656966087E-4</v>
      </c>
      <c r="T272" s="586">
        <f t="shared" si="54"/>
        <v>3.2163893656966087E-4</v>
      </c>
      <c r="U272" s="586">
        <f t="shared" si="54"/>
        <v>3.2163893656966087E-4</v>
      </c>
      <c r="V272" s="586">
        <f t="shared" si="54"/>
        <v>3.2163893656966092E-4</v>
      </c>
      <c r="W272" s="586">
        <f t="shared" si="54"/>
        <v>3.2163893656966092E-4</v>
      </c>
      <c r="X272" s="586">
        <f t="shared" si="54"/>
        <v>3.2163893656966087E-4</v>
      </c>
      <c r="Y272" s="586">
        <f t="shared" si="54"/>
        <v>3.2163893656966092E-4</v>
      </c>
      <c r="Z272" s="586">
        <f t="shared" si="54"/>
        <v>3.2163893656966092E-4</v>
      </c>
      <c r="AA272" s="586">
        <f t="shared" si="54"/>
        <v>3.2163893656966087E-4</v>
      </c>
      <c r="AB272" s="586">
        <f t="shared" si="54"/>
        <v>3.2163893656966087E-4</v>
      </c>
      <c r="AC272" s="586">
        <f t="shared" si="54"/>
        <v>3.2163893656966092E-4</v>
      </c>
      <c r="AD272" s="586">
        <f t="shared" si="54"/>
        <v>3.2163893656966098E-4</v>
      </c>
      <c r="AE272" s="586">
        <f t="shared" si="54"/>
        <v>3.2163893656966092E-4</v>
      </c>
      <c r="AF272" s="586">
        <f t="shared" si="54"/>
        <v>3.2163893656966092E-4</v>
      </c>
      <c r="AG272" s="586">
        <f t="shared" si="54"/>
        <v>3.2163893656966098E-4</v>
      </c>
      <c r="AH272" s="586">
        <f t="shared" si="54"/>
        <v>3.2163893656966092E-4</v>
      </c>
      <c r="AI272" s="586">
        <f t="shared" si="54"/>
        <v>3.2163893656966087E-4</v>
      </c>
      <c r="AJ272" s="586">
        <f t="shared" si="54"/>
        <v>3.2163893656966092E-4</v>
      </c>
      <c r="AK272" s="3"/>
      <c r="AL272" s="3"/>
    </row>
    <row r="273" spans="1:38" s="28" customFormat="1" x14ac:dyDescent="0.4">
      <c r="A273" s="703" t="s">
        <v>548</v>
      </c>
      <c r="B273" s="535" t="s">
        <v>1279</v>
      </c>
      <c r="C273" s="588">
        <f t="shared" ref="C273:AJ273" si="55">C237*$B$370</f>
        <v>1.7947989828693788E-2</v>
      </c>
      <c r="D273" s="588">
        <f t="shared" si="55"/>
        <v>1.7947989828693788E-2</v>
      </c>
      <c r="E273" s="588">
        <f t="shared" si="55"/>
        <v>1.7947989828693788E-2</v>
      </c>
      <c r="F273" s="588">
        <f t="shared" si="55"/>
        <v>1.7947989828693792E-2</v>
      </c>
      <c r="G273" s="588">
        <f t="shared" si="55"/>
        <v>1.7947989828693792E-2</v>
      </c>
      <c r="H273" s="588">
        <f t="shared" si="55"/>
        <v>1.7947989828693788E-2</v>
      </c>
      <c r="I273" s="588">
        <f t="shared" si="55"/>
        <v>1.7947989828693788E-2</v>
      </c>
      <c r="J273" s="588">
        <f t="shared" si="55"/>
        <v>1.7947989828693792E-2</v>
      </c>
      <c r="K273" s="588">
        <f t="shared" si="55"/>
        <v>1.7947989828693788E-2</v>
      </c>
      <c r="L273" s="588">
        <f t="shared" si="55"/>
        <v>1.7947989828693788E-2</v>
      </c>
      <c r="M273" s="588">
        <f t="shared" si="55"/>
        <v>1.7947989828693788E-2</v>
      </c>
      <c r="N273" s="588">
        <f t="shared" si="55"/>
        <v>1.7947989828693792E-2</v>
      </c>
      <c r="O273" s="588">
        <f t="shared" si="55"/>
        <v>1.7947989828693788E-2</v>
      </c>
      <c r="P273" s="588">
        <f t="shared" si="55"/>
        <v>1.7947989828693788E-2</v>
      </c>
      <c r="Q273" s="588">
        <f t="shared" si="55"/>
        <v>1.7947989828693788E-2</v>
      </c>
      <c r="R273" s="588">
        <f t="shared" si="55"/>
        <v>1.7947989828693788E-2</v>
      </c>
      <c r="S273" s="588">
        <f t="shared" si="55"/>
        <v>1.7947989828693788E-2</v>
      </c>
      <c r="T273" s="588">
        <f t="shared" si="55"/>
        <v>1.7947989828693792E-2</v>
      </c>
      <c r="U273" s="588">
        <f t="shared" si="55"/>
        <v>1.7947989828693788E-2</v>
      </c>
      <c r="V273" s="588">
        <f t="shared" si="55"/>
        <v>1.7947989828693788E-2</v>
      </c>
      <c r="W273" s="588">
        <f t="shared" si="55"/>
        <v>1.7947989828693788E-2</v>
      </c>
      <c r="X273" s="588">
        <f t="shared" si="55"/>
        <v>1.7947989828693788E-2</v>
      </c>
      <c r="Y273" s="588">
        <f t="shared" si="55"/>
        <v>1.7947989828693788E-2</v>
      </c>
      <c r="Z273" s="588">
        <f t="shared" si="55"/>
        <v>1.7947989828693788E-2</v>
      </c>
      <c r="AA273" s="588">
        <f t="shared" si="55"/>
        <v>1.7947989828693788E-2</v>
      </c>
      <c r="AB273" s="588">
        <f t="shared" si="55"/>
        <v>1.7947989828693788E-2</v>
      </c>
      <c r="AC273" s="588">
        <f t="shared" si="55"/>
        <v>2.4886027141147696E-2</v>
      </c>
      <c r="AD273" s="588">
        <f t="shared" si="55"/>
        <v>1.9944433585624127E-2</v>
      </c>
      <c r="AE273" s="588">
        <f t="shared" si="55"/>
        <v>2.1333668900366309E-2</v>
      </c>
      <c r="AF273" s="588">
        <f t="shared" si="55"/>
        <v>1.830834299712817E-2</v>
      </c>
      <c r="AG273" s="588">
        <f t="shared" si="55"/>
        <v>2.1217575869263379E-2</v>
      </c>
      <c r="AH273" s="588">
        <f t="shared" si="55"/>
        <v>1.4603696632848119E-2</v>
      </c>
      <c r="AI273" s="588">
        <f t="shared" si="55"/>
        <v>1.0337836489390819E-2</v>
      </c>
      <c r="AJ273" s="588">
        <f t="shared" si="55"/>
        <v>9.3441632617334465E-3</v>
      </c>
      <c r="AK273" s="3"/>
      <c r="AL273" s="3"/>
    </row>
    <row r="274" spans="1:38" s="28" customFormat="1" x14ac:dyDescent="0.4">
      <c r="A274" s="570" t="s">
        <v>1063</v>
      </c>
      <c r="B274" s="581"/>
      <c r="C274" s="581"/>
      <c r="D274" s="581"/>
      <c r="E274" s="581"/>
      <c r="F274" s="581"/>
      <c r="G274" s="581"/>
      <c r="H274" s="581"/>
      <c r="I274" s="581"/>
      <c r="J274" s="581"/>
      <c r="K274" s="581"/>
      <c r="L274" s="581"/>
      <c r="M274" s="581"/>
      <c r="N274" s="581"/>
      <c r="O274" s="581"/>
      <c r="P274" s="581"/>
      <c r="Q274" s="581"/>
      <c r="R274" s="581"/>
      <c r="S274" s="581"/>
      <c r="T274" s="581"/>
      <c r="U274" s="581"/>
      <c r="V274" s="581"/>
      <c r="W274" s="581"/>
      <c r="X274" s="581"/>
      <c r="Y274" s="581"/>
      <c r="Z274" s="581"/>
      <c r="AA274" s="581"/>
      <c r="AB274" s="581"/>
      <c r="AC274" s="581"/>
      <c r="AD274" s="581"/>
      <c r="AE274" s="581"/>
      <c r="AF274" s="581"/>
      <c r="AG274" s="581"/>
      <c r="AH274" s="581"/>
      <c r="AI274" s="581"/>
      <c r="AJ274" s="581"/>
      <c r="AK274" s="3"/>
      <c r="AL274" s="3"/>
    </row>
    <row r="275" spans="1:38" s="28" customFormat="1" x14ac:dyDescent="0.4">
      <c r="D275" s="589"/>
      <c r="E275" s="589"/>
      <c r="F275" s="589"/>
      <c r="G275" s="589"/>
      <c r="H275" s="589"/>
      <c r="I275" s="589"/>
      <c r="J275" s="589"/>
      <c r="K275" s="589"/>
      <c r="L275" s="589"/>
      <c r="M275" s="589"/>
      <c r="N275" s="589"/>
      <c r="O275" s="589"/>
      <c r="P275" s="589"/>
      <c r="Q275" s="589"/>
      <c r="R275" s="589"/>
      <c r="S275" s="589"/>
      <c r="T275" s="589"/>
      <c r="U275" s="589"/>
      <c r="V275" s="589"/>
      <c r="W275" s="589"/>
      <c r="X275" s="589"/>
      <c r="Y275" s="589"/>
      <c r="Z275" s="589"/>
      <c r="AA275" s="589"/>
      <c r="AB275" s="589"/>
      <c r="AC275" s="589"/>
      <c r="AD275" s="589"/>
      <c r="AE275" s="589"/>
      <c r="AF275" s="589"/>
      <c r="AG275" s="589"/>
      <c r="AH275" s="589"/>
      <c r="AI275" s="589"/>
      <c r="AJ275" s="589"/>
      <c r="AK275" s="3"/>
      <c r="AL275" s="3"/>
    </row>
    <row r="276" spans="1:38" s="28" customFormat="1" ht="17" x14ac:dyDescent="0.45">
      <c r="A276" s="88" t="s">
        <v>1518</v>
      </c>
      <c r="D276" s="589"/>
      <c r="E276" s="589"/>
      <c r="F276" s="589"/>
      <c r="G276" s="589"/>
      <c r="H276" s="589"/>
      <c r="I276" s="589"/>
      <c r="J276" s="589"/>
      <c r="K276" s="589"/>
      <c r="L276" s="589"/>
      <c r="M276" s="589"/>
      <c r="N276" s="589"/>
      <c r="O276" s="589"/>
      <c r="P276" s="589"/>
      <c r="Q276" s="589"/>
      <c r="R276" s="589"/>
      <c r="S276" s="589"/>
      <c r="T276" s="589"/>
      <c r="U276" s="589"/>
      <c r="V276" s="589"/>
      <c r="W276" s="589"/>
      <c r="X276" s="589"/>
      <c r="Y276" s="589"/>
      <c r="Z276" s="589"/>
      <c r="AA276" s="589"/>
      <c r="AB276" s="589"/>
      <c r="AC276" s="589"/>
      <c r="AD276" s="589"/>
      <c r="AE276" s="589"/>
      <c r="AF276" s="589"/>
      <c r="AG276" s="589"/>
      <c r="AH276" s="589"/>
      <c r="AI276" s="589"/>
      <c r="AJ276" s="589"/>
      <c r="AK276" s="3"/>
      <c r="AL276" s="3"/>
    </row>
    <row r="277" spans="1:38" s="28" customFormat="1" x14ac:dyDescent="0.4">
      <c r="A277" s="1218" t="s">
        <v>890</v>
      </c>
      <c r="B277" s="1140" t="s">
        <v>136</v>
      </c>
      <c r="C277" s="1159" t="s">
        <v>391</v>
      </c>
      <c r="D277" s="1159" t="s">
        <v>392</v>
      </c>
      <c r="E277" s="1159" t="s">
        <v>393</v>
      </c>
      <c r="F277" s="1159" t="s">
        <v>394</v>
      </c>
      <c r="G277" s="1159" t="s">
        <v>395</v>
      </c>
      <c r="H277" s="1159" t="s">
        <v>396</v>
      </c>
      <c r="I277" s="1159" t="s">
        <v>397</v>
      </c>
      <c r="J277" s="1159" t="s">
        <v>398</v>
      </c>
      <c r="K277" s="1159" t="s">
        <v>399</v>
      </c>
      <c r="L277" s="1159" t="s">
        <v>400</v>
      </c>
      <c r="M277" s="1159" t="s">
        <v>401</v>
      </c>
      <c r="N277" s="1159" t="s">
        <v>402</v>
      </c>
      <c r="O277" s="1159" t="s">
        <v>403</v>
      </c>
      <c r="P277" s="1159" t="s">
        <v>404</v>
      </c>
      <c r="Q277" s="1159" t="s">
        <v>405</v>
      </c>
      <c r="R277" s="1159" t="s">
        <v>406</v>
      </c>
      <c r="S277" s="1159" t="s">
        <v>407</v>
      </c>
      <c r="T277" s="1159" t="s">
        <v>408</v>
      </c>
      <c r="U277" s="1159" t="s">
        <v>409</v>
      </c>
      <c r="V277" s="1159" t="s">
        <v>410</v>
      </c>
      <c r="W277" s="1159" t="s">
        <v>411</v>
      </c>
      <c r="X277" s="1159" t="s">
        <v>412</v>
      </c>
      <c r="Y277" s="1159" t="s">
        <v>413</v>
      </c>
      <c r="Z277" s="1159" t="s">
        <v>414</v>
      </c>
      <c r="AA277" s="1159" t="s">
        <v>415</v>
      </c>
      <c r="AB277" s="1159" t="s">
        <v>416</v>
      </c>
      <c r="AC277" s="1159" t="s">
        <v>417</v>
      </c>
      <c r="AD277" s="1159" t="s">
        <v>418</v>
      </c>
      <c r="AE277" s="1159" t="s">
        <v>419</v>
      </c>
      <c r="AF277" s="1159" t="s">
        <v>420</v>
      </c>
      <c r="AG277" s="987" t="s">
        <v>421</v>
      </c>
      <c r="AH277" s="987" t="s">
        <v>422</v>
      </c>
      <c r="AI277" s="987" t="s">
        <v>423</v>
      </c>
      <c r="AJ277" s="987" t="s">
        <v>424</v>
      </c>
      <c r="AK277" s="3"/>
      <c r="AL277" s="3"/>
    </row>
    <row r="278" spans="1:38" s="28" customFormat="1" x14ac:dyDescent="0.4">
      <c r="A278" s="689" t="s">
        <v>549</v>
      </c>
      <c r="B278" s="532" t="s">
        <v>1281</v>
      </c>
      <c r="C278" s="565">
        <f t="shared" ref="C278:AJ278" si="56">C242*$B$370</f>
        <v>18.662029823813157</v>
      </c>
      <c r="D278" s="565">
        <f t="shared" si="56"/>
        <v>18.662029823813157</v>
      </c>
      <c r="E278" s="565">
        <f t="shared" si="56"/>
        <v>18.662029823813157</v>
      </c>
      <c r="F278" s="565">
        <f t="shared" si="56"/>
        <v>18.177585836531595</v>
      </c>
      <c r="G278" s="565">
        <f t="shared" si="56"/>
        <v>17.693141849250026</v>
      </c>
      <c r="H278" s="565">
        <f t="shared" si="56"/>
        <v>17.208697861968467</v>
      </c>
      <c r="I278" s="565">
        <f t="shared" si="56"/>
        <v>16.724253874686905</v>
      </c>
      <c r="J278" s="565">
        <f t="shared" si="56"/>
        <v>16.239809887405343</v>
      </c>
      <c r="K278" s="565">
        <f t="shared" si="56"/>
        <v>15.755365900123778</v>
      </c>
      <c r="L278" s="565">
        <f t="shared" si="56"/>
        <v>15.270921912842217</v>
      </c>
      <c r="M278" s="565">
        <f t="shared" si="56"/>
        <v>14.786477925560655</v>
      </c>
      <c r="N278" s="565">
        <f t="shared" si="56"/>
        <v>14.30203393827909</v>
      </c>
      <c r="O278" s="565">
        <f t="shared" si="56"/>
        <v>13.817589950997531</v>
      </c>
      <c r="P278" s="565">
        <f t="shared" si="56"/>
        <v>13.333145963715964</v>
      </c>
      <c r="Q278" s="565">
        <f t="shared" si="56"/>
        <v>12.8487019764344</v>
      </c>
      <c r="R278" s="565">
        <f t="shared" si="56"/>
        <v>12.364257989152836</v>
      </c>
      <c r="S278" s="565">
        <f t="shared" si="56"/>
        <v>11.879814001871273</v>
      </c>
      <c r="T278" s="565">
        <f t="shared" si="56"/>
        <v>11.395370014589709</v>
      </c>
      <c r="U278" s="565">
        <f t="shared" si="56"/>
        <v>10.910926027308147</v>
      </c>
      <c r="V278" s="565">
        <f t="shared" si="56"/>
        <v>10.426482040026581</v>
      </c>
      <c r="W278" s="565">
        <f t="shared" si="56"/>
        <v>9.9420380527450192</v>
      </c>
      <c r="X278" s="565">
        <f t="shared" si="56"/>
        <v>9.4575940654634429</v>
      </c>
      <c r="Y278" s="565">
        <f t="shared" si="56"/>
        <v>9.4734774661787817</v>
      </c>
      <c r="Z278" s="565">
        <f t="shared" si="56"/>
        <v>9.4686838233292256</v>
      </c>
      <c r="AA278" s="565">
        <f t="shared" si="56"/>
        <v>9.3549115954685202</v>
      </c>
      <c r="AB278" s="565">
        <f t="shared" si="56"/>
        <v>9.4026769006694053</v>
      </c>
      <c r="AC278" s="565">
        <f t="shared" si="56"/>
        <v>9.4053191819507802</v>
      </c>
      <c r="AD278" s="565">
        <f t="shared" si="56"/>
        <v>9.3759339640633534</v>
      </c>
      <c r="AE278" s="565">
        <f t="shared" si="56"/>
        <v>9.2336621209197176</v>
      </c>
      <c r="AF278" s="565">
        <f t="shared" si="56"/>
        <v>9.1423491817312712</v>
      </c>
      <c r="AG278" s="565">
        <f t="shared" si="56"/>
        <v>9.0926694002117365</v>
      </c>
      <c r="AH278" s="565">
        <f t="shared" si="56"/>
        <v>8.797914936852683</v>
      </c>
      <c r="AI278" s="565">
        <f t="shared" si="56"/>
        <v>8.6551115510887815</v>
      </c>
      <c r="AJ278" s="565">
        <f t="shared" si="56"/>
        <v>8.7741057145676837</v>
      </c>
      <c r="AK278" s="3"/>
      <c r="AL278" s="3"/>
    </row>
    <row r="279" spans="1:38" s="28" customFormat="1" x14ac:dyDescent="0.4">
      <c r="A279" s="685" t="s">
        <v>550</v>
      </c>
      <c r="B279" s="533" t="s">
        <v>1281</v>
      </c>
      <c r="C279" s="565" t="e">
        <f t="shared" ref="C279:AJ279" si="57">C243*$B$370</f>
        <v>#VALUE!</v>
      </c>
      <c r="D279" s="565" t="e">
        <f t="shared" si="57"/>
        <v>#VALUE!</v>
      </c>
      <c r="E279" s="565" t="e">
        <f t="shared" si="57"/>
        <v>#VALUE!</v>
      </c>
      <c r="F279" s="565" t="e">
        <f t="shared" si="57"/>
        <v>#VALUE!</v>
      </c>
      <c r="G279" s="565" t="e">
        <f t="shared" si="57"/>
        <v>#VALUE!</v>
      </c>
      <c r="H279" s="565" t="e">
        <f t="shared" si="57"/>
        <v>#VALUE!</v>
      </c>
      <c r="I279" s="565" t="e">
        <f t="shared" si="57"/>
        <v>#VALUE!</v>
      </c>
      <c r="J279" s="565" t="e">
        <f t="shared" si="57"/>
        <v>#VALUE!</v>
      </c>
      <c r="K279" s="565" t="e">
        <f t="shared" si="57"/>
        <v>#VALUE!</v>
      </c>
      <c r="L279" s="565" t="e">
        <f t="shared" si="57"/>
        <v>#VALUE!</v>
      </c>
      <c r="M279" s="565" t="e">
        <f t="shared" si="57"/>
        <v>#VALUE!</v>
      </c>
      <c r="N279" s="565" t="e">
        <f t="shared" si="57"/>
        <v>#VALUE!</v>
      </c>
      <c r="O279" s="565" t="e">
        <f t="shared" si="57"/>
        <v>#VALUE!</v>
      </c>
      <c r="P279" s="565" t="e">
        <f t="shared" si="57"/>
        <v>#VALUE!</v>
      </c>
      <c r="Q279" s="565" t="e">
        <f t="shared" si="57"/>
        <v>#VALUE!</v>
      </c>
      <c r="R279" s="565" t="e">
        <f t="shared" si="57"/>
        <v>#VALUE!</v>
      </c>
      <c r="S279" s="565" t="e">
        <f t="shared" si="57"/>
        <v>#VALUE!</v>
      </c>
      <c r="T279" s="565" t="e">
        <f t="shared" si="57"/>
        <v>#VALUE!</v>
      </c>
      <c r="U279" s="565" t="e">
        <f t="shared" si="57"/>
        <v>#VALUE!</v>
      </c>
      <c r="V279" s="565" t="e">
        <f t="shared" si="57"/>
        <v>#VALUE!</v>
      </c>
      <c r="W279" s="565" t="e">
        <f t="shared" si="57"/>
        <v>#VALUE!</v>
      </c>
      <c r="X279" s="565">
        <f t="shared" si="57"/>
        <v>1.8843683083511775</v>
      </c>
      <c r="Y279" s="565">
        <f t="shared" si="57"/>
        <v>1.8843683083511773</v>
      </c>
      <c r="Z279" s="565">
        <f t="shared" si="57"/>
        <v>1.8843683083511775</v>
      </c>
      <c r="AA279" s="565">
        <f t="shared" si="57"/>
        <v>1.8843683083511773</v>
      </c>
      <c r="AB279" s="565">
        <f t="shared" si="57"/>
        <v>1.8843683083511771</v>
      </c>
      <c r="AC279" s="565">
        <f t="shared" si="57"/>
        <v>1.8843683083511775</v>
      </c>
      <c r="AD279" s="565">
        <f t="shared" si="57"/>
        <v>1.8843683083511773</v>
      </c>
      <c r="AE279" s="565">
        <f t="shared" si="57"/>
        <v>1.8843683083511773</v>
      </c>
      <c r="AF279" s="565">
        <f t="shared" si="57"/>
        <v>1.8843683083511775</v>
      </c>
      <c r="AG279" s="565">
        <f t="shared" si="57"/>
        <v>1.8843683083511775</v>
      </c>
      <c r="AH279" s="565">
        <f t="shared" si="57"/>
        <v>1.8843683083511775</v>
      </c>
      <c r="AI279" s="565">
        <f t="shared" si="57"/>
        <v>1.8843683083511775</v>
      </c>
      <c r="AJ279" s="565">
        <f t="shared" si="57"/>
        <v>1.8843683083511775</v>
      </c>
      <c r="AK279" s="3"/>
      <c r="AL279" s="3"/>
    </row>
    <row r="280" spans="1:38" s="28" customFormat="1" x14ac:dyDescent="0.4">
      <c r="A280" s="690" t="s">
        <v>551</v>
      </c>
      <c r="B280" s="533" t="s">
        <v>1319</v>
      </c>
      <c r="C280" s="565" t="e">
        <f t="shared" ref="C280:AJ280" si="58">C244*$B$370</f>
        <v>#VALUE!</v>
      </c>
      <c r="D280" s="565" t="e">
        <f t="shared" si="58"/>
        <v>#VALUE!</v>
      </c>
      <c r="E280" s="565" t="e">
        <f t="shared" si="58"/>
        <v>#VALUE!</v>
      </c>
      <c r="F280" s="565" t="e">
        <f t="shared" si="58"/>
        <v>#VALUE!</v>
      </c>
      <c r="G280" s="565" t="e">
        <f t="shared" si="58"/>
        <v>#VALUE!</v>
      </c>
      <c r="H280" s="565" t="e">
        <f t="shared" si="58"/>
        <v>#VALUE!</v>
      </c>
      <c r="I280" s="565" t="e">
        <f t="shared" si="58"/>
        <v>#VALUE!</v>
      </c>
      <c r="J280" s="565" t="e">
        <f t="shared" si="58"/>
        <v>#VALUE!</v>
      </c>
      <c r="K280" s="565" t="e">
        <f t="shared" si="58"/>
        <v>#VALUE!</v>
      </c>
      <c r="L280" s="565" t="e">
        <f t="shared" si="58"/>
        <v>#VALUE!</v>
      </c>
      <c r="M280" s="565" t="e">
        <f t="shared" si="58"/>
        <v>#VALUE!</v>
      </c>
      <c r="N280" s="565" t="e">
        <f t="shared" si="58"/>
        <v>#VALUE!</v>
      </c>
      <c r="O280" s="565" t="e">
        <f t="shared" si="58"/>
        <v>#VALUE!</v>
      </c>
      <c r="P280" s="565" t="e">
        <f t="shared" si="58"/>
        <v>#VALUE!</v>
      </c>
      <c r="Q280" s="565" t="e">
        <f t="shared" si="58"/>
        <v>#VALUE!</v>
      </c>
      <c r="R280" s="565" t="e">
        <f t="shared" si="58"/>
        <v>#VALUE!</v>
      </c>
      <c r="S280" s="565" t="e">
        <f t="shared" si="58"/>
        <v>#VALUE!</v>
      </c>
      <c r="T280" s="565" t="e">
        <f t="shared" si="58"/>
        <v>#VALUE!</v>
      </c>
      <c r="U280" s="565" t="e">
        <f t="shared" si="58"/>
        <v>#VALUE!</v>
      </c>
      <c r="V280" s="565" t="e">
        <f t="shared" si="58"/>
        <v>#VALUE!</v>
      </c>
      <c r="W280" s="565" t="e">
        <f t="shared" si="58"/>
        <v>#VALUE!</v>
      </c>
      <c r="X280" s="565">
        <f t="shared" si="58"/>
        <v>1.9138115631691643</v>
      </c>
      <c r="Y280" s="565">
        <f t="shared" si="58"/>
        <v>1.9138115631691652</v>
      </c>
      <c r="Z280" s="565">
        <f t="shared" si="58"/>
        <v>1.9138115631691648</v>
      </c>
      <c r="AA280" s="565">
        <f t="shared" si="58"/>
        <v>1.9138115631691643</v>
      </c>
      <c r="AB280" s="565">
        <f t="shared" si="58"/>
        <v>1.9138115631691648</v>
      </c>
      <c r="AC280" s="565">
        <f t="shared" si="58"/>
        <v>1.9138115631691648</v>
      </c>
      <c r="AD280" s="565">
        <f t="shared" si="58"/>
        <v>1.9138115631691648</v>
      </c>
      <c r="AE280" s="565">
        <f t="shared" si="58"/>
        <v>1.9138115631691648</v>
      </c>
      <c r="AF280" s="565">
        <f t="shared" si="58"/>
        <v>1.9138115631691652</v>
      </c>
      <c r="AG280" s="565">
        <f t="shared" si="58"/>
        <v>1.9138115631691646</v>
      </c>
      <c r="AH280" s="565">
        <f t="shared" si="58"/>
        <v>1.9138115631691648</v>
      </c>
      <c r="AI280" s="565">
        <f t="shared" si="58"/>
        <v>1.9138115631691648</v>
      </c>
      <c r="AJ280" s="565">
        <f t="shared" si="58"/>
        <v>1.9138115631691648</v>
      </c>
      <c r="AK280" s="3"/>
      <c r="AL280" s="3"/>
    </row>
    <row r="281" spans="1:38" s="28" customFormat="1" x14ac:dyDescent="0.4">
      <c r="A281" s="685" t="s">
        <v>553</v>
      </c>
      <c r="B281" s="533" t="s">
        <v>1319</v>
      </c>
      <c r="C281" s="565" t="e">
        <f t="shared" ref="C281:AJ281" si="59">C245*$B$370</f>
        <v>#VALUE!</v>
      </c>
      <c r="D281" s="565" t="e">
        <f t="shared" si="59"/>
        <v>#VALUE!</v>
      </c>
      <c r="E281" s="565" t="e">
        <f t="shared" si="59"/>
        <v>#VALUE!</v>
      </c>
      <c r="F281" s="565" t="e">
        <f t="shared" si="59"/>
        <v>#VALUE!</v>
      </c>
      <c r="G281" s="565" t="e">
        <f t="shared" si="59"/>
        <v>#VALUE!</v>
      </c>
      <c r="H281" s="565" t="e">
        <f t="shared" si="59"/>
        <v>#VALUE!</v>
      </c>
      <c r="I281" s="565" t="e">
        <f t="shared" si="59"/>
        <v>#VALUE!</v>
      </c>
      <c r="J281" s="565" t="e">
        <f t="shared" si="59"/>
        <v>#VALUE!</v>
      </c>
      <c r="K281" s="565" t="e">
        <f t="shared" si="59"/>
        <v>#VALUE!</v>
      </c>
      <c r="L281" s="565" t="e">
        <f t="shared" si="59"/>
        <v>#VALUE!</v>
      </c>
      <c r="M281" s="565" t="e">
        <f t="shared" si="59"/>
        <v>#VALUE!</v>
      </c>
      <c r="N281" s="565" t="e">
        <f t="shared" si="59"/>
        <v>#VALUE!</v>
      </c>
      <c r="O281" s="565" t="e">
        <f t="shared" si="59"/>
        <v>#VALUE!</v>
      </c>
      <c r="P281" s="565" t="e">
        <f t="shared" si="59"/>
        <v>#VALUE!</v>
      </c>
      <c r="Q281" s="565" t="e">
        <f t="shared" si="59"/>
        <v>#VALUE!</v>
      </c>
      <c r="R281" s="565" t="e">
        <f t="shared" si="59"/>
        <v>#VALUE!</v>
      </c>
      <c r="S281" s="565" t="e">
        <f t="shared" si="59"/>
        <v>#VALUE!</v>
      </c>
      <c r="T281" s="565" t="e">
        <f t="shared" si="59"/>
        <v>#VALUE!</v>
      </c>
      <c r="U281" s="565" t="e">
        <f t="shared" si="59"/>
        <v>#VALUE!</v>
      </c>
      <c r="V281" s="565" t="e">
        <f t="shared" si="59"/>
        <v>#VALUE!</v>
      </c>
      <c r="W281" s="565" t="e">
        <f t="shared" si="59"/>
        <v>#VALUE!</v>
      </c>
      <c r="X281" s="565">
        <f t="shared" si="59"/>
        <v>2.0021413276231264</v>
      </c>
      <c r="Y281" s="565">
        <f t="shared" si="59"/>
        <v>2.0021413276231264</v>
      </c>
      <c r="Z281" s="565">
        <f t="shared" si="59"/>
        <v>2.0021413276231264</v>
      </c>
      <c r="AA281" s="565">
        <f t="shared" si="59"/>
        <v>2.0021413276231264</v>
      </c>
      <c r="AB281" s="565">
        <f t="shared" si="59"/>
        <v>2.0021413276231264</v>
      </c>
      <c r="AC281" s="565">
        <f t="shared" si="59"/>
        <v>2.0021413276231259</v>
      </c>
      <c r="AD281" s="565">
        <f t="shared" si="59"/>
        <v>2.0021413276231259</v>
      </c>
      <c r="AE281" s="565">
        <f t="shared" si="59"/>
        <v>2.0021413276231259</v>
      </c>
      <c r="AF281" s="565">
        <f t="shared" si="59"/>
        <v>2.0021413276231264</v>
      </c>
      <c r="AG281" s="565">
        <f t="shared" si="59"/>
        <v>2.0021413276231268</v>
      </c>
      <c r="AH281" s="565">
        <f t="shared" si="59"/>
        <v>2.0021413276231259</v>
      </c>
      <c r="AI281" s="565">
        <f t="shared" si="59"/>
        <v>2.0021413276231259</v>
      </c>
      <c r="AJ281" s="565">
        <f t="shared" si="59"/>
        <v>2.0021413276231259</v>
      </c>
      <c r="AK281" s="3"/>
      <c r="AL281" s="3"/>
    </row>
    <row r="282" spans="1:38" s="28" customFormat="1" x14ac:dyDescent="0.4">
      <c r="A282" s="690" t="s">
        <v>554</v>
      </c>
      <c r="B282" s="535" t="s">
        <v>1319</v>
      </c>
      <c r="C282" s="565" t="e">
        <f t="shared" ref="C282:AJ282" si="60">C246*$B$370</f>
        <v>#VALUE!</v>
      </c>
      <c r="D282" s="565" t="e">
        <f t="shared" si="60"/>
        <v>#VALUE!</v>
      </c>
      <c r="E282" s="565" t="e">
        <f t="shared" si="60"/>
        <v>#VALUE!</v>
      </c>
      <c r="F282" s="565" t="e">
        <f t="shared" si="60"/>
        <v>#VALUE!</v>
      </c>
      <c r="G282" s="565" t="e">
        <f t="shared" si="60"/>
        <v>#VALUE!</v>
      </c>
      <c r="H282" s="565" t="e">
        <f t="shared" si="60"/>
        <v>#VALUE!</v>
      </c>
      <c r="I282" s="565" t="e">
        <f t="shared" si="60"/>
        <v>#VALUE!</v>
      </c>
      <c r="J282" s="565" t="e">
        <f t="shared" si="60"/>
        <v>#VALUE!</v>
      </c>
      <c r="K282" s="565" t="e">
        <f t="shared" si="60"/>
        <v>#VALUE!</v>
      </c>
      <c r="L282" s="565" t="e">
        <f t="shared" si="60"/>
        <v>#VALUE!</v>
      </c>
      <c r="M282" s="565" t="e">
        <f t="shared" si="60"/>
        <v>#VALUE!</v>
      </c>
      <c r="N282" s="565" t="e">
        <f t="shared" si="60"/>
        <v>#VALUE!</v>
      </c>
      <c r="O282" s="565" t="e">
        <f t="shared" si="60"/>
        <v>#VALUE!</v>
      </c>
      <c r="P282" s="565" t="e">
        <f t="shared" si="60"/>
        <v>#VALUE!</v>
      </c>
      <c r="Q282" s="565" t="e">
        <f t="shared" si="60"/>
        <v>#VALUE!</v>
      </c>
      <c r="R282" s="565" t="e">
        <f t="shared" si="60"/>
        <v>#VALUE!</v>
      </c>
      <c r="S282" s="565" t="e">
        <f t="shared" si="60"/>
        <v>#VALUE!</v>
      </c>
      <c r="T282" s="565" t="e">
        <f t="shared" si="60"/>
        <v>#VALUE!</v>
      </c>
      <c r="U282" s="565" t="e">
        <f t="shared" si="60"/>
        <v>#VALUE!</v>
      </c>
      <c r="V282" s="565" t="e">
        <f t="shared" si="60"/>
        <v>#VALUE!</v>
      </c>
      <c r="W282" s="565" t="e">
        <f t="shared" si="60"/>
        <v>#VALUE!</v>
      </c>
      <c r="X282" s="565">
        <f t="shared" si="60"/>
        <v>1.2955032119914347</v>
      </c>
      <c r="Y282" s="565">
        <f t="shared" si="60"/>
        <v>1.2955032119914347</v>
      </c>
      <c r="Z282" s="565">
        <f t="shared" si="60"/>
        <v>1.2955032119914349</v>
      </c>
      <c r="AA282" s="565">
        <f t="shared" si="60"/>
        <v>1.2955032119914347</v>
      </c>
      <c r="AB282" s="565">
        <f t="shared" si="60"/>
        <v>1.2955032119914347</v>
      </c>
      <c r="AC282" s="565">
        <f t="shared" si="60"/>
        <v>1.2955032119914343</v>
      </c>
      <c r="AD282" s="565">
        <f t="shared" si="60"/>
        <v>1.2955032119914347</v>
      </c>
      <c r="AE282" s="565">
        <f t="shared" si="60"/>
        <v>1.2955032119914347</v>
      </c>
      <c r="AF282" s="565">
        <f t="shared" si="60"/>
        <v>1.2955032119914347</v>
      </c>
      <c r="AG282" s="565">
        <f t="shared" si="60"/>
        <v>1.2955032119914347</v>
      </c>
      <c r="AH282" s="565">
        <f t="shared" si="60"/>
        <v>1.2955032119914347</v>
      </c>
      <c r="AI282" s="565">
        <f t="shared" si="60"/>
        <v>1.2955032119914349</v>
      </c>
      <c r="AJ282" s="565">
        <f t="shared" si="60"/>
        <v>1.2955032119914345</v>
      </c>
      <c r="AK282" s="3"/>
      <c r="AL282" s="3"/>
    </row>
    <row r="283" spans="1:38" s="28" customFormat="1" x14ac:dyDescent="0.4">
      <c r="A283" s="708" t="s">
        <v>547</v>
      </c>
      <c r="B283" s="538" t="s">
        <v>1281</v>
      </c>
      <c r="C283" s="565">
        <f t="shared" ref="C283:AJ283" si="61">C247*$B$370</f>
        <v>2.4718890256959312</v>
      </c>
      <c r="D283" s="565">
        <f t="shared" si="61"/>
        <v>2.4718890256959321</v>
      </c>
      <c r="E283" s="565">
        <f t="shared" si="61"/>
        <v>2.4718890256959321</v>
      </c>
      <c r="F283" s="565">
        <f t="shared" si="61"/>
        <v>2.4718890256959316</v>
      </c>
      <c r="G283" s="565">
        <f t="shared" si="61"/>
        <v>2.4718890256959316</v>
      </c>
      <c r="H283" s="565">
        <f t="shared" si="61"/>
        <v>2.4718890256959321</v>
      </c>
      <c r="I283" s="565">
        <f t="shared" si="61"/>
        <v>2.4718890256959316</v>
      </c>
      <c r="J283" s="565">
        <f t="shared" si="61"/>
        <v>2.4718890256959316</v>
      </c>
      <c r="K283" s="565">
        <f t="shared" si="61"/>
        <v>2.4718890256959316</v>
      </c>
      <c r="L283" s="565">
        <f t="shared" si="61"/>
        <v>2.4718890256959321</v>
      </c>
      <c r="M283" s="565">
        <f t="shared" si="61"/>
        <v>2.4718890256959312</v>
      </c>
      <c r="N283" s="565">
        <f t="shared" si="61"/>
        <v>2.4718890256959321</v>
      </c>
      <c r="O283" s="565">
        <f t="shared" si="61"/>
        <v>2.4718890256959316</v>
      </c>
      <c r="P283" s="565">
        <f t="shared" si="61"/>
        <v>2.4718890256959316</v>
      </c>
      <c r="Q283" s="565">
        <f t="shared" si="61"/>
        <v>2.4718890256959321</v>
      </c>
      <c r="R283" s="565">
        <f t="shared" si="61"/>
        <v>2.4718890256959316</v>
      </c>
      <c r="S283" s="565">
        <f t="shared" si="61"/>
        <v>2.4718890256959316</v>
      </c>
      <c r="T283" s="565">
        <f t="shared" si="61"/>
        <v>2.4718890256959321</v>
      </c>
      <c r="U283" s="565">
        <f t="shared" si="61"/>
        <v>2.4718890256959316</v>
      </c>
      <c r="V283" s="565">
        <f t="shared" si="61"/>
        <v>2.4718890256959312</v>
      </c>
      <c r="W283" s="565">
        <f t="shared" si="61"/>
        <v>2.4718890256959316</v>
      </c>
      <c r="X283" s="565">
        <f t="shared" si="61"/>
        <v>2.4718890256959316</v>
      </c>
      <c r="Y283" s="565">
        <f t="shared" si="61"/>
        <v>2.4718890256959312</v>
      </c>
      <c r="Z283" s="565">
        <f t="shared" si="61"/>
        <v>2.4718890256959312</v>
      </c>
      <c r="AA283" s="565">
        <f t="shared" si="61"/>
        <v>2.4718890256959312</v>
      </c>
      <c r="AB283" s="565">
        <f t="shared" si="61"/>
        <v>2.4718890256959312</v>
      </c>
      <c r="AC283" s="565">
        <f t="shared" si="61"/>
        <v>2.4718890256959316</v>
      </c>
      <c r="AD283" s="565">
        <f t="shared" si="61"/>
        <v>2.4718890256959316</v>
      </c>
      <c r="AE283" s="565">
        <f t="shared" si="61"/>
        <v>2.4718890256959316</v>
      </c>
      <c r="AF283" s="565">
        <f t="shared" si="61"/>
        <v>2.4718890256959312</v>
      </c>
      <c r="AG283" s="565">
        <f t="shared" si="61"/>
        <v>2.4718890256959321</v>
      </c>
      <c r="AH283" s="565">
        <f t="shared" si="61"/>
        <v>2.4718890256959316</v>
      </c>
      <c r="AI283" s="565">
        <f t="shared" si="61"/>
        <v>2.4718890256959312</v>
      </c>
      <c r="AJ283" s="565">
        <f t="shared" si="61"/>
        <v>2.4718890256959312</v>
      </c>
      <c r="AK283" s="3"/>
      <c r="AL283" s="3"/>
    </row>
    <row r="284" spans="1:38" s="28" customFormat="1" x14ac:dyDescent="0.4">
      <c r="A284" s="645" t="s">
        <v>1063</v>
      </c>
      <c r="B284" s="581"/>
      <c r="C284" s="581"/>
      <c r="D284" s="581"/>
      <c r="E284" s="581"/>
      <c r="F284" s="581"/>
      <c r="G284" s="581"/>
      <c r="H284" s="581"/>
      <c r="I284" s="581"/>
      <c r="J284" s="581"/>
      <c r="K284" s="581"/>
      <c r="L284" s="581"/>
      <c r="M284" s="581"/>
      <c r="N284" s="581"/>
      <c r="O284" s="581"/>
      <c r="P284" s="581"/>
      <c r="Q284" s="581"/>
      <c r="R284" s="581"/>
      <c r="S284" s="581"/>
      <c r="T284" s="581"/>
      <c r="U284" s="581"/>
      <c r="V284" s="581"/>
      <c r="W284" s="581"/>
      <c r="X284" s="581"/>
      <c r="Y284" s="581"/>
      <c r="Z284" s="581"/>
      <c r="AA284" s="581"/>
      <c r="AB284" s="581"/>
      <c r="AC284" s="581"/>
      <c r="AD284" s="581"/>
      <c r="AE284" s="581"/>
      <c r="AF284" s="581"/>
      <c r="AG284" s="581"/>
      <c r="AH284" s="581"/>
      <c r="AI284" s="581"/>
      <c r="AJ284" s="581"/>
      <c r="AK284" s="3"/>
      <c r="AL284" s="3"/>
    </row>
    <row r="285" spans="1:38" s="28" customFormat="1" x14ac:dyDescent="0.4">
      <c r="A285" s="684"/>
      <c r="B285" s="581"/>
      <c r="C285" s="89"/>
      <c r="D285" s="89"/>
      <c r="E285" s="89"/>
      <c r="F285" s="89"/>
      <c r="G285" s="89"/>
      <c r="H285" s="89"/>
      <c r="I285" s="89"/>
      <c r="J285" s="89"/>
      <c r="K285" s="89"/>
      <c r="L285" s="89"/>
      <c r="M285" s="89"/>
      <c r="N285" s="89"/>
      <c r="O285" s="89"/>
      <c r="P285" s="89"/>
      <c r="Q285" s="89"/>
      <c r="R285" s="89"/>
      <c r="S285" s="89"/>
      <c r="T285" s="89"/>
      <c r="U285" s="89"/>
      <c r="V285" s="89"/>
      <c r="W285" s="89"/>
      <c r="X285" s="89"/>
      <c r="Y285" s="89"/>
      <c r="Z285" s="89"/>
      <c r="AA285" s="89"/>
      <c r="AB285" s="89"/>
      <c r="AC285" s="89"/>
      <c r="AD285" s="89"/>
      <c r="AE285" s="89"/>
      <c r="AF285" s="89"/>
      <c r="AG285" s="89"/>
      <c r="AH285" s="89"/>
      <c r="AI285" s="89"/>
      <c r="AJ285" s="89"/>
      <c r="AK285" s="3"/>
      <c r="AL285" s="3"/>
    </row>
    <row r="286" spans="1:38" s="28" customFormat="1" ht="17" x14ac:dyDescent="0.45">
      <c r="A286" s="88" t="s">
        <v>1519</v>
      </c>
      <c r="B286" s="581"/>
      <c r="C286" s="89"/>
      <c r="D286" s="89"/>
      <c r="E286" s="89"/>
      <c r="F286" s="89"/>
      <c r="G286" s="89"/>
      <c r="H286" s="89"/>
      <c r="I286" s="89"/>
      <c r="J286" s="89"/>
      <c r="K286" s="89"/>
      <c r="L286" s="89"/>
      <c r="M286" s="89"/>
      <c r="N286" s="89"/>
      <c r="O286" s="89"/>
      <c r="P286" s="89"/>
      <c r="Q286" s="89"/>
      <c r="R286" s="89"/>
      <c r="S286" s="89"/>
      <c r="T286" s="89"/>
      <c r="U286" s="89"/>
      <c r="V286" s="89"/>
      <c r="W286" s="89"/>
      <c r="X286" s="89"/>
      <c r="Y286" s="89"/>
      <c r="Z286" s="89"/>
      <c r="AA286" s="89"/>
      <c r="AB286" s="89"/>
      <c r="AC286" s="89"/>
      <c r="AD286" s="89"/>
      <c r="AE286" s="89"/>
      <c r="AF286" s="89"/>
      <c r="AG286" s="89"/>
      <c r="AH286" s="89"/>
      <c r="AI286" s="89"/>
      <c r="AJ286" s="89"/>
      <c r="AK286" s="3"/>
      <c r="AL286" s="3"/>
    </row>
    <row r="287" spans="1:38" s="28" customFormat="1" x14ac:dyDescent="0.4">
      <c r="A287" s="1218" t="s">
        <v>801</v>
      </c>
      <c r="B287" s="1140" t="s">
        <v>136</v>
      </c>
      <c r="C287" s="1159" t="s">
        <v>391</v>
      </c>
      <c r="D287" s="1159" t="s">
        <v>392</v>
      </c>
      <c r="E287" s="1159" t="s">
        <v>393</v>
      </c>
      <c r="F287" s="1159" t="s">
        <v>394</v>
      </c>
      <c r="G287" s="1159" t="s">
        <v>395</v>
      </c>
      <c r="H287" s="1159" t="s">
        <v>396</v>
      </c>
      <c r="I287" s="1159" t="s">
        <v>397</v>
      </c>
      <c r="J287" s="1159" t="s">
        <v>398</v>
      </c>
      <c r="K287" s="1159" t="s">
        <v>399</v>
      </c>
      <c r="L287" s="1159" t="s">
        <v>400</v>
      </c>
      <c r="M287" s="1159" t="s">
        <v>401</v>
      </c>
      <c r="N287" s="1159" t="s">
        <v>402</v>
      </c>
      <c r="O287" s="1159" t="s">
        <v>403</v>
      </c>
      <c r="P287" s="1159" t="s">
        <v>404</v>
      </c>
      <c r="Q287" s="1159" t="s">
        <v>405</v>
      </c>
      <c r="R287" s="1159" t="s">
        <v>406</v>
      </c>
      <c r="S287" s="1159" t="s">
        <v>407</v>
      </c>
      <c r="T287" s="1159" t="s">
        <v>408</v>
      </c>
      <c r="U287" s="1159" t="s">
        <v>409</v>
      </c>
      <c r="V287" s="1159" t="s">
        <v>410</v>
      </c>
      <c r="W287" s="1159" t="s">
        <v>411</v>
      </c>
      <c r="X287" s="1159" t="s">
        <v>412</v>
      </c>
      <c r="Y287" s="1159" t="s">
        <v>413</v>
      </c>
      <c r="Z287" s="1159" t="s">
        <v>414</v>
      </c>
      <c r="AA287" s="1159" t="s">
        <v>415</v>
      </c>
      <c r="AB287" s="1159" t="s">
        <v>416</v>
      </c>
      <c r="AC287" s="1159" t="s">
        <v>417</v>
      </c>
      <c r="AD287" s="1159" t="s">
        <v>418</v>
      </c>
      <c r="AE287" s="1159" t="s">
        <v>419</v>
      </c>
      <c r="AF287" s="1159" t="s">
        <v>420</v>
      </c>
      <c r="AG287" s="987" t="s">
        <v>421</v>
      </c>
      <c r="AH287" s="987" t="s">
        <v>422</v>
      </c>
      <c r="AI287" s="987" t="s">
        <v>423</v>
      </c>
      <c r="AJ287" s="987" t="s">
        <v>424</v>
      </c>
      <c r="AK287" s="3"/>
      <c r="AL287" s="3"/>
    </row>
    <row r="288" spans="1:38" s="28" customFormat="1" x14ac:dyDescent="0.4">
      <c r="A288" s="709" t="s">
        <v>552</v>
      </c>
      <c r="B288" s="532" t="s">
        <v>1320</v>
      </c>
      <c r="C288" s="588">
        <f t="shared" ref="C288:AJ288" si="62">C252*$B$370</f>
        <v>9.1978202408993598E-2</v>
      </c>
      <c r="D288" s="588">
        <f t="shared" si="62"/>
        <v>9.197820240899357E-2</v>
      </c>
      <c r="E288" s="588">
        <f t="shared" si="62"/>
        <v>9.197820240899357E-2</v>
      </c>
      <c r="F288" s="588">
        <f t="shared" si="62"/>
        <v>9.1279053305674651E-2</v>
      </c>
      <c r="G288" s="588">
        <f t="shared" si="62"/>
        <v>9.0579904202355704E-2</v>
      </c>
      <c r="H288" s="588">
        <f t="shared" si="62"/>
        <v>8.9880755099036785E-2</v>
      </c>
      <c r="I288" s="588">
        <f t="shared" si="62"/>
        <v>8.9181605995717866E-2</v>
      </c>
      <c r="J288" s="588">
        <f t="shared" si="62"/>
        <v>8.848245689239892E-2</v>
      </c>
      <c r="K288" s="588">
        <f t="shared" si="62"/>
        <v>8.7783307789079973E-2</v>
      </c>
      <c r="L288" s="588">
        <f t="shared" si="62"/>
        <v>8.7084158685761068E-2</v>
      </c>
      <c r="M288" s="588">
        <f t="shared" si="62"/>
        <v>8.6385009582442107E-2</v>
      </c>
      <c r="N288" s="588">
        <f t="shared" si="62"/>
        <v>8.5685860479123188E-2</v>
      </c>
      <c r="O288" s="588">
        <f t="shared" si="62"/>
        <v>8.4986711375804241E-2</v>
      </c>
      <c r="P288" s="588">
        <f t="shared" si="62"/>
        <v>8.4287562272485309E-2</v>
      </c>
      <c r="Q288" s="588">
        <f t="shared" si="62"/>
        <v>8.3588413169166362E-2</v>
      </c>
      <c r="R288" s="588">
        <f t="shared" si="62"/>
        <v>8.2889264065847443E-2</v>
      </c>
      <c r="S288" s="588">
        <f t="shared" si="62"/>
        <v>8.219011496252851E-2</v>
      </c>
      <c r="T288" s="588">
        <f t="shared" si="62"/>
        <v>8.1490965859209563E-2</v>
      </c>
      <c r="U288" s="588">
        <f t="shared" si="62"/>
        <v>8.0791816755890672E-2</v>
      </c>
      <c r="V288" s="588">
        <f t="shared" si="62"/>
        <v>8.0092667652571739E-2</v>
      </c>
      <c r="W288" s="588">
        <f t="shared" si="62"/>
        <v>7.9393518549252778E-2</v>
      </c>
      <c r="X288" s="588">
        <f t="shared" si="62"/>
        <v>7.8694369445933846E-2</v>
      </c>
      <c r="Y288" s="588">
        <f t="shared" si="62"/>
        <v>7.6370245948865656E-2</v>
      </c>
      <c r="Z288" s="588">
        <f t="shared" si="62"/>
        <v>7.2058981892935012E-2</v>
      </c>
      <c r="AA288" s="588">
        <f t="shared" si="62"/>
        <v>1.8476348385653544E-2</v>
      </c>
      <c r="AB288" s="588">
        <f t="shared" si="62"/>
        <v>1.7127976190476155E-2</v>
      </c>
      <c r="AC288" s="588">
        <f t="shared" si="62"/>
        <v>1.5985722964763048E-2</v>
      </c>
      <c r="AD288" s="588">
        <f t="shared" si="62"/>
        <v>2.1624721678699145E-2</v>
      </c>
      <c r="AE288" s="588">
        <f t="shared" si="62"/>
        <v>1.4792065250226537E-2</v>
      </c>
      <c r="AF288" s="588">
        <f t="shared" si="62"/>
        <v>1.4550050073918649E-2</v>
      </c>
      <c r="AG288" s="588">
        <f t="shared" si="62"/>
        <v>1.4201861130994975E-2</v>
      </c>
      <c r="AH288" s="588">
        <f t="shared" si="62"/>
        <v>1.3079876046436322E-2</v>
      </c>
      <c r="AI288" s="588">
        <f t="shared" si="62"/>
        <v>1.3494291596481377E-2</v>
      </c>
      <c r="AJ288" s="588">
        <f t="shared" si="62"/>
        <v>1.1980240755839014E-2</v>
      </c>
      <c r="AK288" s="3"/>
      <c r="AL288" s="3"/>
    </row>
    <row r="289" spans="1:38" s="28" customFormat="1" x14ac:dyDescent="0.4">
      <c r="A289" s="1394" t="s">
        <v>562</v>
      </c>
      <c r="B289" s="532" t="s">
        <v>1320</v>
      </c>
      <c r="C289" s="588" t="e">
        <f t="shared" ref="C289:AJ289" si="63">C253*$B$370</f>
        <v>#VALUE!</v>
      </c>
      <c r="D289" s="588" t="e">
        <f t="shared" si="63"/>
        <v>#VALUE!</v>
      </c>
      <c r="E289" s="588" t="e">
        <f t="shared" si="63"/>
        <v>#VALUE!</v>
      </c>
      <c r="F289" s="588" t="e">
        <f t="shared" si="63"/>
        <v>#VALUE!</v>
      </c>
      <c r="G289" s="588" t="e">
        <f t="shared" si="63"/>
        <v>#VALUE!</v>
      </c>
      <c r="H289" s="588" t="e">
        <f t="shared" si="63"/>
        <v>#VALUE!</v>
      </c>
      <c r="I289" s="588" t="e">
        <f t="shared" si="63"/>
        <v>#VALUE!</v>
      </c>
      <c r="J289" s="588" t="e">
        <f t="shared" si="63"/>
        <v>#VALUE!</v>
      </c>
      <c r="K289" s="588" t="e">
        <f t="shared" si="63"/>
        <v>#VALUE!</v>
      </c>
      <c r="L289" s="588" t="e">
        <f t="shared" si="63"/>
        <v>#VALUE!</v>
      </c>
      <c r="M289" s="588" t="e">
        <f t="shared" si="63"/>
        <v>#VALUE!</v>
      </c>
      <c r="N289" s="588" t="e">
        <f t="shared" si="63"/>
        <v>#VALUE!</v>
      </c>
      <c r="O289" s="588" t="e">
        <f t="shared" si="63"/>
        <v>#VALUE!</v>
      </c>
      <c r="P289" s="588" t="e">
        <f t="shared" si="63"/>
        <v>#VALUE!</v>
      </c>
      <c r="Q289" s="588" t="e">
        <f t="shared" si="63"/>
        <v>#VALUE!</v>
      </c>
      <c r="R289" s="588" t="e">
        <f t="shared" si="63"/>
        <v>#VALUE!</v>
      </c>
      <c r="S289" s="588" t="e">
        <f t="shared" si="63"/>
        <v>#VALUE!</v>
      </c>
      <c r="T289" s="588" t="e">
        <f t="shared" si="63"/>
        <v>#VALUE!</v>
      </c>
      <c r="U289" s="588" t="e">
        <f t="shared" si="63"/>
        <v>#VALUE!</v>
      </c>
      <c r="V289" s="588" t="e">
        <f t="shared" si="63"/>
        <v>#VALUE!</v>
      </c>
      <c r="W289" s="588" t="e">
        <f t="shared" si="63"/>
        <v>#VALUE!</v>
      </c>
      <c r="X289" s="588">
        <f t="shared" si="63"/>
        <v>9.2295538039037714E-2</v>
      </c>
      <c r="Y289" s="588">
        <f t="shared" si="63"/>
        <v>9.5097988509874373E-2</v>
      </c>
      <c r="Z289" s="588">
        <f t="shared" si="63"/>
        <v>9.1492153626943129E-2</v>
      </c>
      <c r="AA289" s="588">
        <f t="shared" si="63"/>
        <v>9.0905412787723835E-2</v>
      </c>
      <c r="AB289" s="588">
        <f t="shared" si="63"/>
        <v>8.0305039787798377E-2</v>
      </c>
      <c r="AC289" s="588">
        <f t="shared" si="63"/>
        <v>8.5099999999999995E-2</v>
      </c>
      <c r="AD289" s="588">
        <f t="shared" si="63"/>
        <v>8.9623601220752858E-2</v>
      </c>
      <c r="AE289" s="588">
        <f t="shared" si="63"/>
        <v>8.5028248587570673E-2</v>
      </c>
      <c r="AF289" s="588">
        <f t="shared" si="63"/>
        <v>8.1913959613696186E-2</v>
      </c>
      <c r="AG289" s="588">
        <f t="shared" si="63"/>
        <v>8.1290322580645197E-2</v>
      </c>
      <c r="AH289" s="588">
        <f t="shared" si="63"/>
        <v>7.0934579439252299E-2</v>
      </c>
      <c r="AI289" s="588">
        <f t="shared" si="63"/>
        <v>7.5206611570247939E-2</v>
      </c>
      <c r="AJ289" s="588">
        <f t="shared" si="63"/>
        <v>7.1093749999999997E-2</v>
      </c>
      <c r="AK289" s="3"/>
      <c r="AL289" s="3"/>
    </row>
    <row r="290" spans="1:38" s="28" customFormat="1" x14ac:dyDescent="0.4">
      <c r="A290" s="1394" t="s">
        <v>563</v>
      </c>
      <c r="B290" s="532" t="s">
        <v>1320</v>
      </c>
      <c r="C290" s="588" t="e">
        <f t="shared" ref="C290:AJ290" si="64">C254*$B$370</f>
        <v>#VALUE!</v>
      </c>
      <c r="D290" s="588" t="e">
        <f t="shared" si="64"/>
        <v>#VALUE!</v>
      </c>
      <c r="E290" s="588" t="e">
        <f t="shared" si="64"/>
        <v>#VALUE!</v>
      </c>
      <c r="F290" s="588" t="e">
        <f t="shared" si="64"/>
        <v>#VALUE!</v>
      </c>
      <c r="G290" s="588" t="e">
        <f t="shared" si="64"/>
        <v>#VALUE!</v>
      </c>
      <c r="H290" s="588" t="e">
        <f t="shared" si="64"/>
        <v>#VALUE!</v>
      </c>
      <c r="I290" s="588" t="e">
        <f t="shared" si="64"/>
        <v>#VALUE!</v>
      </c>
      <c r="J290" s="588" t="e">
        <f t="shared" si="64"/>
        <v>#VALUE!</v>
      </c>
      <c r="K290" s="588" t="e">
        <f t="shared" si="64"/>
        <v>#VALUE!</v>
      </c>
      <c r="L290" s="588" t="e">
        <f t="shared" si="64"/>
        <v>#VALUE!</v>
      </c>
      <c r="M290" s="588" t="e">
        <f t="shared" si="64"/>
        <v>#VALUE!</v>
      </c>
      <c r="N290" s="588" t="e">
        <f t="shared" si="64"/>
        <v>#VALUE!</v>
      </c>
      <c r="O290" s="588" t="e">
        <f t="shared" si="64"/>
        <v>#VALUE!</v>
      </c>
      <c r="P290" s="588" t="e">
        <f t="shared" si="64"/>
        <v>#VALUE!</v>
      </c>
      <c r="Q290" s="588" t="e">
        <f t="shared" si="64"/>
        <v>#VALUE!</v>
      </c>
      <c r="R290" s="588" t="e">
        <f t="shared" si="64"/>
        <v>#VALUE!</v>
      </c>
      <c r="S290" s="588" t="e">
        <f t="shared" si="64"/>
        <v>#VALUE!</v>
      </c>
      <c r="T290" s="588" t="e">
        <f t="shared" si="64"/>
        <v>#VALUE!</v>
      </c>
      <c r="U290" s="588" t="e">
        <f t="shared" si="64"/>
        <v>#VALUE!</v>
      </c>
      <c r="V290" s="588" t="e">
        <f t="shared" si="64"/>
        <v>#VALUE!</v>
      </c>
      <c r="W290" s="588" t="e">
        <f t="shared" si="64"/>
        <v>#VALUE!</v>
      </c>
      <c r="X290" s="588">
        <f t="shared" si="64"/>
        <v>8.0626120640057544E-2</v>
      </c>
      <c r="Y290" s="588">
        <f t="shared" si="64"/>
        <v>8.0777700559578669E-2</v>
      </c>
      <c r="Z290" s="588">
        <f t="shared" si="64"/>
        <v>7.5393287428052111E-2</v>
      </c>
      <c r="AA290" s="588">
        <f t="shared" si="64"/>
        <v>1.2048322992831539E-2</v>
      </c>
      <c r="AB290" s="588">
        <f t="shared" si="64"/>
        <v>9.6155610606477628E-3</v>
      </c>
      <c r="AC290" s="588">
        <f t="shared" si="64"/>
        <v>1.0770601336302891E-2</v>
      </c>
      <c r="AD290" s="588">
        <f t="shared" si="64"/>
        <v>1.7774634606317778E-2</v>
      </c>
      <c r="AE290" s="588">
        <f t="shared" si="64"/>
        <v>1.1143928206293308E-2</v>
      </c>
      <c r="AF290" s="588">
        <f t="shared" si="64"/>
        <v>1.097658970375528E-2</v>
      </c>
      <c r="AG290" s="588">
        <f t="shared" si="64"/>
        <v>1.0841631866366826E-2</v>
      </c>
      <c r="AH290" s="588">
        <f t="shared" si="64"/>
        <v>1.036739320863604E-2</v>
      </c>
      <c r="AI290" s="588">
        <f t="shared" si="64"/>
        <v>1.083474947216642E-2</v>
      </c>
      <c r="AJ290" s="588">
        <f t="shared" si="64"/>
        <v>9.5521601685985089E-3</v>
      </c>
      <c r="AK290" s="3"/>
      <c r="AL290" s="3"/>
    </row>
    <row r="291" spans="1:38" s="28" customFormat="1" x14ac:dyDescent="0.4">
      <c r="A291" s="1465" t="s">
        <v>564</v>
      </c>
      <c r="B291" s="538" t="s">
        <v>1320</v>
      </c>
      <c r="C291" s="588" t="e">
        <f t="shared" ref="C291:AJ291" si="65">C255*$B$370</f>
        <v>#VALUE!</v>
      </c>
      <c r="D291" s="588" t="e">
        <f t="shared" si="65"/>
        <v>#VALUE!</v>
      </c>
      <c r="E291" s="588" t="e">
        <f t="shared" si="65"/>
        <v>#VALUE!</v>
      </c>
      <c r="F291" s="588" t="e">
        <f t="shared" si="65"/>
        <v>#VALUE!</v>
      </c>
      <c r="G291" s="588" t="e">
        <f t="shared" si="65"/>
        <v>#VALUE!</v>
      </c>
      <c r="H291" s="588" t="e">
        <f t="shared" si="65"/>
        <v>#VALUE!</v>
      </c>
      <c r="I291" s="588" t="e">
        <f t="shared" si="65"/>
        <v>#VALUE!</v>
      </c>
      <c r="J291" s="588" t="e">
        <f t="shared" si="65"/>
        <v>#VALUE!</v>
      </c>
      <c r="K291" s="588" t="e">
        <f t="shared" si="65"/>
        <v>#VALUE!</v>
      </c>
      <c r="L291" s="588" t="e">
        <f t="shared" si="65"/>
        <v>#VALUE!</v>
      </c>
      <c r="M291" s="588" t="e">
        <f t="shared" si="65"/>
        <v>#VALUE!</v>
      </c>
      <c r="N291" s="588" t="e">
        <f t="shared" si="65"/>
        <v>#VALUE!</v>
      </c>
      <c r="O291" s="588" t="e">
        <f t="shared" si="65"/>
        <v>#VALUE!</v>
      </c>
      <c r="P291" s="588" t="e">
        <f t="shared" si="65"/>
        <v>#VALUE!</v>
      </c>
      <c r="Q291" s="588" t="e">
        <f t="shared" si="65"/>
        <v>#VALUE!</v>
      </c>
      <c r="R291" s="588" t="e">
        <f t="shared" si="65"/>
        <v>#VALUE!</v>
      </c>
      <c r="S291" s="588" t="e">
        <f t="shared" si="65"/>
        <v>#VALUE!</v>
      </c>
      <c r="T291" s="588" t="e">
        <f t="shared" si="65"/>
        <v>#VALUE!</v>
      </c>
      <c r="U291" s="588" t="e">
        <f t="shared" si="65"/>
        <v>#VALUE!</v>
      </c>
      <c r="V291" s="588" t="e">
        <f t="shared" si="65"/>
        <v>#VALUE!</v>
      </c>
      <c r="W291" s="588" t="e">
        <f t="shared" si="65"/>
        <v>#VALUE!</v>
      </c>
      <c r="X291" s="588">
        <f t="shared" si="65"/>
        <v>7.141613819875779E-3</v>
      </c>
      <c r="Y291" s="588">
        <f t="shared" si="65"/>
        <v>7.0154203409090845E-3</v>
      </c>
      <c r="Z291" s="588">
        <f t="shared" si="65"/>
        <v>7.2710698949824898E-3</v>
      </c>
      <c r="AA291" s="588">
        <f t="shared" si="65"/>
        <v>6.2105513914656706E-3</v>
      </c>
      <c r="AB291" s="588">
        <f t="shared" si="65"/>
        <v>4.1626331074540194E-3</v>
      </c>
      <c r="AC291" s="588">
        <f t="shared" si="65"/>
        <v>4.7720042417815486E-3</v>
      </c>
      <c r="AD291" s="588">
        <f t="shared" si="65"/>
        <v>5.5755395683453196E-3</v>
      </c>
      <c r="AE291" s="588">
        <f t="shared" si="65"/>
        <v>6.1139028475711843E-3</v>
      </c>
      <c r="AF291" s="588">
        <f t="shared" si="65"/>
        <v>5.9329320722269945E-3</v>
      </c>
      <c r="AG291" s="588">
        <f t="shared" si="65"/>
        <v>5.7885906040268439E-3</v>
      </c>
      <c r="AH291" s="588">
        <f t="shared" si="65"/>
        <v>4.9825174825174805E-3</v>
      </c>
      <c r="AI291" s="588">
        <f t="shared" si="65"/>
        <v>5.2791878172588798E-3</v>
      </c>
      <c r="AJ291" s="588">
        <f t="shared" si="65"/>
        <v>4.9230769230769215E-3</v>
      </c>
      <c r="AK291" s="3"/>
      <c r="AL291" s="3"/>
    </row>
    <row r="292" spans="1:38" s="28" customFormat="1" x14ac:dyDescent="0.4">
      <c r="A292" s="645" t="s">
        <v>1063</v>
      </c>
      <c r="B292" s="581"/>
      <c r="C292" s="581"/>
      <c r="D292" s="581"/>
      <c r="E292" s="581"/>
      <c r="F292" s="581"/>
      <c r="G292" s="581"/>
      <c r="H292" s="581"/>
      <c r="I292" s="581"/>
      <c r="J292" s="581"/>
      <c r="K292" s="581"/>
      <c r="L292" s="581"/>
      <c r="M292" s="581"/>
      <c r="N292" s="581"/>
      <c r="O292" s="581"/>
      <c r="P292" s="581"/>
      <c r="Q292" s="581"/>
      <c r="R292" s="581"/>
      <c r="S292" s="581"/>
      <c r="T292" s="581"/>
      <c r="U292" s="581"/>
      <c r="V292" s="581"/>
      <c r="W292" s="581"/>
      <c r="X292" s="581"/>
      <c r="Y292" s="581"/>
      <c r="Z292" s="581"/>
      <c r="AA292" s="581"/>
      <c r="AB292" s="581"/>
      <c r="AC292" s="581"/>
      <c r="AD292" s="581"/>
      <c r="AE292" s="581"/>
      <c r="AF292" s="581"/>
      <c r="AG292" s="581"/>
      <c r="AH292" s="581"/>
      <c r="AI292" s="581"/>
      <c r="AJ292" s="581"/>
      <c r="AK292" s="3"/>
      <c r="AL292" s="3"/>
    </row>
    <row r="293" spans="1:38" s="28" customFormat="1" x14ac:dyDescent="0.4">
      <c r="AK293" s="3"/>
      <c r="AL293" s="3"/>
    </row>
    <row r="294" spans="1:38" s="28" customFormat="1" ht="17" x14ac:dyDescent="0.45">
      <c r="A294" s="88" t="s">
        <v>1520</v>
      </c>
      <c r="AK294" s="3"/>
      <c r="AL294" s="3"/>
    </row>
    <row r="295" spans="1:38" s="28" customFormat="1" x14ac:dyDescent="0.4">
      <c r="A295" s="1218" t="s">
        <v>805</v>
      </c>
      <c r="B295" s="1140" t="s">
        <v>136</v>
      </c>
      <c r="C295" s="1159" t="s">
        <v>391</v>
      </c>
      <c r="D295" s="1159" t="s">
        <v>392</v>
      </c>
      <c r="E295" s="1159" t="s">
        <v>393</v>
      </c>
      <c r="F295" s="1159" t="s">
        <v>394</v>
      </c>
      <c r="G295" s="1159" t="s">
        <v>395</v>
      </c>
      <c r="H295" s="1159" t="s">
        <v>396</v>
      </c>
      <c r="I295" s="1159" t="s">
        <v>397</v>
      </c>
      <c r="J295" s="1159" t="s">
        <v>398</v>
      </c>
      <c r="K295" s="1159" t="s">
        <v>399</v>
      </c>
      <c r="L295" s="1159" t="s">
        <v>400</v>
      </c>
      <c r="M295" s="1159" t="s">
        <v>401</v>
      </c>
      <c r="N295" s="1159" t="s">
        <v>402</v>
      </c>
      <c r="O295" s="1159" t="s">
        <v>403</v>
      </c>
      <c r="P295" s="1159" t="s">
        <v>404</v>
      </c>
      <c r="Q295" s="1159" t="s">
        <v>405</v>
      </c>
      <c r="R295" s="1159" t="s">
        <v>406</v>
      </c>
      <c r="S295" s="1159" t="s">
        <v>407</v>
      </c>
      <c r="T295" s="1159" t="s">
        <v>408</v>
      </c>
      <c r="U295" s="1159" t="s">
        <v>409</v>
      </c>
      <c r="V295" s="1159" t="s">
        <v>410</v>
      </c>
      <c r="W295" s="1159" t="s">
        <v>411</v>
      </c>
      <c r="X295" s="1159" t="s">
        <v>412</v>
      </c>
      <c r="Y295" s="1159" t="s">
        <v>413</v>
      </c>
      <c r="Z295" s="1159" t="s">
        <v>414</v>
      </c>
      <c r="AA295" s="1159" t="s">
        <v>415</v>
      </c>
      <c r="AB295" s="1159" t="s">
        <v>416</v>
      </c>
      <c r="AC295" s="1159" t="s">
        <v>417</v>
      </c>
      <c r="AD295" s="1159" t="s">
        <v>418</v>
      </c>
      <c r="AE295" s="1159" t="s">
        <v>419</v>
      </c>
      <c r="AF295" s="1159" t="s">
        <v>420</v>
      </c>
      <c r="AG295" s="987" t="s">
        <v>421</v>
      </c>
      <c r="AH295" s="987" t="s">
        <v>422</v>
      </c>
      <c r="AI295" s="987" t="s">
        <v>423</v>
      </c>
      <c r="AJ295" s="987" t="s">
        <v>424</v>
      </c>
      <c r="AK295" s="3"/>
      <c r="AL295" s="3"/>
    </row>
    <row r="296" spans="1:38" s="28" customFormat="1" x14ac:dyDescent="0.4">
      <c r="A296" s="643" t="s">
        <v>183</v>
      </c>
      <c r="B296" s="532" t="s">
        <v>1321</v>
      </c>
      <c r="C296" s="565">
        <f t="shared" ref="C296:AJ296" si="66">C260*$B$370</f>
        <v>15.352941176470591</v>
      </c>
      <c r="D296" s="565">
        <f t="shared" si="66"/>
        <v>15.352941176470591</v>
      </c>
      <c r="E296" s="565">
        <f t="shared" si="66"/>
        <v>15.352941176470601</v>
      </c>
      <c r="F296" s="565">
        <f t="shared" si="66"/>
        <v>15.352941176470589</v>
      </c>
      <c r="G296" s="565">
        <f t="shared" si="66"/>
        <v>15.352941176470592</v>
      </c>
      <c r="H296" s="565">
        <f t="shared" si="66"/>
        <v>15.352941176470589</v>
      </c>
      <c r="I296" s="565">
        <f t="shared" si="66"/>
        <v>15.352941176470589</v>
      </c>
      <c r="J296" s="565">
        <f t="shared" si="66"/>
        <v>15.352941176470589</v>
      </c>
      <c r="K296" s="565">
        <f t="shared" si="66"/>
        <v>15.352941176470589</v>
      </c>
      <c r="L296" s="565">
        <f t="shared" si="66"/>
        <v>15.352941176470591</v>
      </c>
      <c r="M296" s="565">
        <f t="shared" si="66"/>
        <v>15.352941176470587</v>
      </c>
      <c r="N296" s="565">
        <f t="shared" si="66"/>
        <v>15.352941176470591</v>
      </c>
      <c r="O296" s="565">
        <f t="shared" si="66"/>
        <v>15.352941176470589</v>
      </c>
      <c r="P296" s="565">
        <f t="shared" si="66"/>
        <v>15.352941176470589</v>
      </c>
      <c r="Q296" s="565">
        <f t="shared" si="66"/>
        <v>15.352941176470589</v>
      </c>
      <c r="R296" s="565">
        <f t="shared" si="66"/>
        <v>15.352941176470589</v>
      </c>
      <c r="S296" s="565">
        <f t="shared" si="66"/>
        <v>15.352941176470589</v>
      </c>
      <c r="T296" s="565">
        <f t="shared" si="66"/>
        <v>15.352941176470589</v>
      </c>
      <c r="U296" s="565">
        <f t="shared" si="66"/>
        <v>15.352941176470589</v>
      </c>
      <c r="V296" s="565">
        <f t="shared" si="66"/>
        <v>15.352941176470589</v>
      </c>
      <c r="W296" s="565">
        <f t="shared" si="66"/>
        <v>15.352941176470587</v>
      </c>
      <c r="X296" s="565">
        <f t="shared" si="66"/>
        <v>15.352941176470587</v>
      </c>
      <c r="Y296" s="565">
        <f t="shared" si="66"/>
        <v>15.352941176470589</v>
      </c>
      <c r="Z296" s="565">
        <f t="shared" si="66"/>
        <v>15.352941176470589</v>
      </c>
      <c r="AA296" s="565">
        <f t="shared" si="66"/>
        <v>15.352941176470589</v>
      </c>
      <c r="AB296" s="565">
        <f t="shared" si="66"/>
        <v>15.352941176470589</v>
      </c>
      <c r="AC296" s="565">
        <f t="shared" si="66"/>
        <v>15.352941176470587</v>
      </c>
      <c r="AD296" s="565">
        <f t="shared" si="66"/>
        <v>15.352941176470587</v>
      </c>
      <c r="AE296" s="565">
        <f t="shared" si="66"/>
        <v>8.6666666666666684E-2</v>
      </c>
      <c r="AF296" s="565">
        <f t="shared" si="66"/>
        <v>0.10666666666666667</v>
      </c>
      <c r="AG296" s="565">
        <f t="shared" si="66"/>
        <v>43.406666666666673</v>
      </c>
      <c r="AH296" s="565">
        <f t="shared" si="66"/>
        <v>72.586666666666659</v>
      </c>
      <c r="AI296" s="565">
        <f t="shared" si="66"/>
        <v>101.82</v>
      </c>
      <c r="AJ296" s="565">
        <f t="shared" si="66"/>
        <v>1048.8812499999999</v>
      </c>
      <c r="AK296" s="3"/>
      <c r="AL296" s="3"/>
    </row>
    <row r="297" spans="1:38" s="28" customFormat="1" x14ac:dyDescent="0.4">
      <c r="A297" s="645" t="s">
        <v>185</v>
      </c>
      <c r="B297" s="538" t="s">
        <v>1321</v>
      </c>
      <c r="C297" s="565">
        <f t="shared" ref="C297:AJ297" si="67">C261*$B$370</f>
        <v>2.870880523651016</v>
      </c>
      <c r="D297" s="565">
        <f t="shared" si="67"/>
        <v>2.870880523651016</v>
      </c>
      <c r="E297" s="565">
        <f t="shared" si="67"/>
        <v>2.8708805236510164</v>
      </c>
      <c r="F297" s="565">
        <f t="shared" si="67"/>
        <v>2.8708805236510164</v>
      </c>
      <c r="G297" s="565">
        <f t="shared" si="67"/>
        <v>2.8708805236510164</v>
      </c>
      <c r="H297" s="565">
        <f t="shared" si="67"/>
        <v>2.8708805236510164</v>
      </c>
      <c r="I297" s="565">
        <f t="shared" si="67"/>
        <v>2.8708805236510164</v>
      </c>
      <c r="J297" s="565">
        <f t="shared" si="67"/>
        <v>2.8708805236510169</v>
      </c>
      <c r="K297" s="565">
        <f t="shared" si="67"/>
        <v>2.8708805236510164</v>
      </c>
      <c r="L297" s="565">
        <f t="shared" si="67"/>
        <v>2.8708805236510164</v>
      </c>
      <c r="M297" s="565">
        <f t="shared" si="67"/>
        <v>2.870880523651016</v>
      </c>
      <c r="N297" s="565">
        <f t="shared" si="67"/>
        <v>2.8708805236510169</v>
      </c>
      <c r="O297" s="565">
        <f t="shared" si="67"/>
        <v>2.8708805236510155</v>
      </c>
      <c r="P297" s="565">
        <f t="shared" si="67"/>
        <v>2.8708805236510164</v>
      </c>
      <c r="Q297" s="565">
        <f t="shared" si="67"/>
        <v>2.8708805236510164</v>
      </c>
      <c r="R297" s="565">
        <f t="shared" si="67"/>
        <v>2.8708805236510164</v>
      </c>
      <c r="S297" s="565">
        <f t="shared" si="67"/>
        <v>2.8708805236510164</v>
      </c>
      <c r="T297" s="565">
        <f t="shared" si="67"/>
        <v>2.8708805236510164</v>
      </c>
      <c r="U297" s="565">
        <f t="shared" si="67"/>
        <v>2.8708805236510164</v>
      </c>
      <c r="V297" s="565">
        <f t="shared" si="67"/>
        <v>2.8708805236510164</v>
      </c>
      <c r="W297" s="565">
        <f t="shared" si="67"/>
        <v>2.8708805236510164</v>
      </c>
      <c r="X297" s="565">
        <f t="shared" si="67"/>
        <v>2.8708805236510164</v>
      </c>
      <c r="Y297" s="565">
        <f t="shared" si="67"/>
        <v>2.8708805236510169</v>
      </c>
      <c r="Z297" s="565">
        <f t="shared" si="67"/>
        <v>2.8708805236510169</v>
      </c>
      <c r="AA297" s="565">
        <f t="shared" si="67"/>
        <v>2.8708805236510169</v>
      </c>
      <c r="AB297" s="565">
        <f t="shared" si="67"/>
        <v>2.8708805236510169</v>
      </c>
      <c r="AC297" s="565">
        <f t="shared" si="67"/>
        <v>2.8708805236510164</v>
      </c>
      <c r="AD297" s="565">
        <f t="shared" si="67"/>
        <v>2.870880523651016</v>
      </c>
      <c r="AE297" s="565">
        <f t="shared" si="67"/>
        <v>2.8708805236510164</v>
      </c>
      <c r="AF297" s="565">
        <f t="shared" si="67"/>
        <v>2.8708805236510169</v>
      </c>
      <c r="AG297" s="565">
        <f t="shared" si="67"/>
        <v>2.8708805236510169</v>
      </c>
      <c r="AH297" s="565">
        <f t="shared" si="67"/>
        <v>2.8708805236510164</v>
      </c>
      <c r="AI297" s="565">
        <f t="shared" si="67"/>
        <v>2.870880523651016</v>
      </c>
      <c r="AJ297" s="565">
        <f t="shared" si="67"/>
        <v>2.8708805236510164</v>
      </c>
      <c r="AK297" s="3"/>
      <c r="AL297" s="3"/>
    </row>
    <row r="298" spans="1:38" s="28" customFormat="1" x14ac:dyDescent="0.4">
      <c r="A298" s="647" t="s">
        <v>1063</v>
      </c>
      <c r="B298" s="581"/>
      <c r="C298" s="581"/>
      <c r="D298" s="581"/>
      <c r="E298" s="581"/>
      <c r="F298" s="581"/>
      <c r="G298" s="581"/>
      <c r="H298" s="581"/>
      <c r="I298" s="581"/>
      <c r="J298" s="581"/>
      <c r="K298" s="581"/>
      <c r="L298" s="581"/>
      <c r="M298" s="581"/>
      <c r="N298" s="581"/>
      <c r="O298" s="581"/>
      <c r="P298" s="581"/>
      <c r="Q298" s="581"/>
      <c r="R298" s="581"/>
      <c r="S298" s="581"/>
      <c r="T298" s="581"/>
      <c r="U298" s="581"/>
      <c r="V298" s="581"/>
      <c r="W298" s="581"/>
      <c r="X298" s="581"/>
      <c r="Y298" s="581"/>
      <c r="Z298" s="581"/>
      <c r="AA298" s="581"/>
      <c r="AB298" s="581"/>
      <c r="AC298" s="581"/>
      <c r="AD298" s="581"/>
      <c r="AE298" s="581"/>
      <c r="AF298" s="581"/>
      <c r="AG298" s="581"/>
      <c r="AH298" s="581"/>
      <c r="AI298" s="581"/>
      <c r="AJ298" s="581"/>
      <c r="AK298" s="3"/>
      <c r="AL298" s="3"/>
    </row>
    <row r="299" spans="1:38" s="28" customFormat="1" x14ac:dyDescent="0.4">
      <c r="A299" s="581"/>
      <c r="B299" s="581"/>
      <c r="C299" s="89"/>
      <c r="D299" s="89"/>
      <c r="E299" s="89"/>
      <c r="F299" s="89"/>
      <c r="G299" s="89"/>
      <c r="H299" s="89"/>
      <c r="I299" s="89"/>
      <c r="J299" s="89"/>
      <c r="K299" s="89"/>
      <c r="L299" s="89"/>
      <c r="M299" s="89"/>
      <c r="N299" s="89"/>
      <c r="O299" s="89"/>
      <c r="P299" s="89"/>
      <c r="Q299" s="89"/>
      <c r="R299" s="89"/>
      <c r="S299" s="89"/>
      <c r="T299" s="89"/>
      <c r="U299" s="89"/>
      <c r="V299" s="89"/>
      <c r="W299" s="89"/>
      <c r="X299" s="89"/>
      <c r="Y299" s="89"/>
      <c r="Z299" s="89"/>
      <c r="AA299" s="89"/>
      <c r="AB299" s="89"/>
      <c r="AC299" s="89"/>
      <c r="AD299" s="89"/>
      <c r="AE299" s="89"/>
      <c r="AF299" s="89"/>
      <c r="AG299" s="89"/>
      <c r="AH299" s="89"/>
      <c r="AI299" s="89"/>
      <c r="AJ299" s="89"/>
      <c r="AK299" s="3"/>
      <c r="AL299" s="3"/>
    </row>
    <row r="300" spans="1:38" s="28" customFormat="1" ht="17" x14ac:dyDescent="0.45">
      <c r="A300" s="88" t="s">
        <v>1521</v>
      </c>
      <c r="B300" s="581"/>
      <c r="C300" s="89"/>
      <c r="D300" s="89"/>
      <c r="E300" s="89"/>
      <c r="F300" s="89"/>
      <c r="G300" s="89"/>
      <c r="H300" s="89"/>
      <c r="I300" s="89"/>
      <c r="J300" s="89"/>
      <c r="K300" s="89"/>
      <c r="L300" s="89"/>
      <c r="M300" s="89"/>
      <c r="N300" s="89"/>
      <c r="O300" s="89"/>
      <c r="P300" s="89"/>
      <c r="Q300" s="89"/>
      <c r="R300" s="89"/>
      <c r="S300" s="89"/>
      <c r="T300" s="89"/>
      <c r="U300" s="89"/>
      <c r="V300" s="89"/>
      <c r="W300" s="89"/>
      <c r="X300" s="89"/>
      <c r="Y300" s="89"/>
      <c r="Z300" s="89"/>
      <c r="AA300" s="89"/>
      <c r="AB300" s="89"/>
      <c r="AC300" s="89"/>
      <c r="AD300" s="89"/>
      <c r="AE300" s="89"/>
      <c r="AF300" s="89"/>
      <c r="AG300" s="89"/>
      <c r="AH300" s="89"/>
      <c r="AI300" s="89"/>
      <c r="AJ300" s="89"/>
      <c r="AK300" s="3"/>
      <c r="AL300" s="3"/>
    </row>
    <row r="301" spans="1:38" s="28" customFormat="1" x14ac:dyDescent="0.4">
      <c r="A301" s="1218" t="s">
        <v>806</v>
      </c>
      <c r="B301" s="1140" t="s">
        <v>136</v>
      </c>
      <c r="C301" s="1159" t="s">
        <v>391</v>
      </c>
      <c r="D301" s="1159" t="s">
        <v>392</v>
      </c>
      <c r="E301" s="1159" t="s">
        <v>393</v>
      </c>
      <c r="F301" s="1159" t="s">
        <v>394</v>
      </c>
      <c r="G301" s="1159" t="s">
        <v>395</v>
      </c>
      <c r="H301" s="1159" t="s">
        <v>396</v>
      </c>
      <c r="I301" s="1159" t="s">
        <v>397</v>
      </c>
      <c r="J301" s="1159" t="s">
        <v>398</v>
      </c>
      <c r="K301" s="1159" t="s">
        <v>399</v>
      </c>
      <c r="L301" s="1159" t="s">
        <v>400</v>
      </c>
      <c r="M301" s="1159" t="s">
        <v>401</v>
      </c>
      <c r="N301" s="1159" t="s">
        <v>402</v>
      </c>
      <c r="O301" s="1159" t="s">
        <v>403</v>
      </c>
      <c r="P301" s="1159" t="s">
        <v>404</v>
      </c>
      <c r="Q301" s="1159" t="s">
        <v>405</v>
      </c>
      <c r="R301" s="1159" t="s">
        <v>406</v>
      </c>
      <c r="S301" s="1159" t="s">
        <v>407</v>
      </c>
      <c r="T301" s="1159" t="s">
        <v>408</v>
      </c>
      <c r="U301" s="1159" t="s">
        <v>409</v>
      </c>
      <c r="V301" s="1159" t="s">
        <v>410</v>
      </c>
      <c r="W301" s="1159" t="s">
        <v>411</v>
      </c>
      <c r="X301" s="1159" t="s">
        <v>412</v>
      </c>
      <c r="Y301" s="1159" t="s">
        <v>413</v>
      </c>
      <c r="Z301" s="1159" t="s">
        <v>414</v>
      </c>
      <c r="AA301" s="1159" t="s">
        <v>415</v>
      </c>
      <c r="AB301" s="1159" t="s">
        <v>416</v>
      </c>
      <c r="AC301" s="1159" t="s">
        <v>417</v>
      </c>
      <c r="AD301" s="1159" t="s">
        <v>418</v>
      </c>
      <c r="AE301" s="1159" t="s">
        <v>419</v>
      </c>
      <c r="AF301" s="1159" t="s">
        <v>420</v>
      </c>
      <c r="AG301" s="987" t="s">
        <v>421</v>
      </c>
      <c r="AH301" s="987" t="s">
        <v>422</v>
      </c>
      <c r="AI301" s="987" t="s">
        <v>423</v>
      </c>
      <c r="AJ301" s="987" t="s">
        <v>424</v>
      </c>
      <c r="AK301" s="3"/>
      <c r="AL301" s="3"/>
    </row>
    <row r="302" spans="1:38" s="28" customFormat="1" x14ac:dyDescent="0.4">
      <c r="A302" s="533" t="s">
        <v>187</v>
      </c>
      <c r="B302" s="533" t="s">
        <v>1322</v>
      </c>
      <c r="C302" s="565">
        <f t="shared" ref="C302:AJ302" si="68">C266*$B$370</f>
        <v>7391.0133333333333</v>
      </c>
      <c r="D302" s="565">
        <f t="shared" si="68"/>
        <v>8528.0923076923082</v>
      </c>
      <c r="E302" s="565">
        <f t="shared" si="68"/>
        <v>8528.0923076923082</v>
      </c>
      <c r="F302" s="565">
        <f t="shared" si="68"/>
        <v>8528.0923076923082</v>
      </c>
      <c r="G302" s="565">
        <f t="shared" si="68"/>
        <v>8528.0923076923082</v>
      </c>
      <c r="H302" s="565">
        <f t="shared" si="68"/>
        <v>8528.0923076923082</v>
      </c>
      <c r="I302" s="565">
        <f t="shared" si="68"/>
        <v>8528.0923076923082</v>
      </c>
      <c r="J302" s="565">
        <f t="shared" si="68"/>
        <v>8528.0923076923082</v>
      </c>
      <c r="K302" s="565">
        <f t="shared" si="68"/>
        <v>8528.0923076923082</v>
      </c>
      <c r="L302" s="565">
        <f t="shared" si="68"/>
        <v>8528.0923076923082</v>
      </c>
      <c r="M302" s="565">
        <f t="shared" si="68"/>
        <v>8528.0923076923082</v>
      </c>
      <c r="N302" s="565">
        <f t="shared" si="68"/>
        <v>8528.09230769231</v>
      </c>
      <c r="O302" s="565">
        <f t="shared" si="68"/>
        <v>8528.09230769231</v>
      </c>
      <c r="P302" s="565">
        <f t="shared" si="68"/>
        <v>8528.0923076923082</v>
      </c>
      <c r="Q302" s="565">
        <f t="shared" si="68"/>
        <v>8528.0923076923082</v>
      </c>
      <c r="R302" s="565">
        <f t="shared" si="68"/>
        <v>8528.0923076923082</v>
      </c>
      <c r="S302" s="565">
        <f t="shared" si="68"/>
        <v>8528.0923076923082</v>
      </c>
      <c r="T302" s="565">
        <f t="shared" si="68"/>
        <v>8528.0923076923082</v>
      </c>
      <c r="U302" s="565">
        <f t="shared" si="68"/>
        <v>8528.0923076923082</v>
      </c>
      <c r="V302" s="565">
        <f t="shared" si="68"/>
        <v>8528.0923076923082</v>
      </c>
      <c r="W302" s="565">
        <f t="shared" si="68"/>
        <v>8528.0923076923082</v>
      </c>
      <c r="X302" s="565">
        <f t="shared" si="68"/>
        <v>8528.0923076923082</v>
      </c>
      <c r="Y302" s="565">
        <f t="shared" si="68"/>
        <v>8528.0923076923082</v>
      </c>
      <c r="Z302" s="565">
        <f t="shared" si="68"/>
        <v>8528.0923076923082</v>
      </c>
      <c r="AA302" s="565">
        <f t="shared" si="68"/>
        <v>8528.0923076923082</v>
      </c>
      <c r="AB302" s="565">
        <f t="shared" si="68"/>
        <v>8528.09230769231</v>
      </c>
      <c r="AC302" s="565">
        <f t="shared" si="68"/>
        <v>8528.0923076923082</v>
      </c>
      <c r="AD302" s="565">
        <f t="shared" si="68"/>
        <v>8528.0923076923082</v>
      </c>
      <c r="AE302" s="565">
        <f t="shared" si="68"/>
        <v>2795.5166666666664</v>
      </c>
      <c r="AF302" s="565">
        <f t="shared" si="68"/>
        <v>3108.2333333333336</v>
      </c>
      <c r="AG302" s="565">
        <f t="shared" si="68"/>
        <v>591.69999999999993</v>
      </c>
      <c r="AH302" s="565">
        <f t="shared" si="68"/>
        <v>787.23333333333335</v>
      </c>
      <c r="AI302" s="565">
        <f t="shared" si="68"/>
        <v>969.98571428571415</v>
      </c>
      <c r="AJ302" s="565">
        <f t="shared" si="68"/>
        <v>1406.5</v>
      </c>
      <c r="AK302" s="3"/>
      <c r="AL302" s="3"/>
    </row>
    <row r="303" spans="1:38" s="28" customFormat="1" x14ac:dyDescent="0.4">
      <c r="A303" s="535" t="s">
        <v>189</v>
      </c>
      <c r="B303" s="535" t="s">
        <v>1322</v>
      </c>
      <c r="C303" s="565">
        <f t="shared" ref="C303:AJ303" si="69">C267*$B$370</f>
        <v>54.340000000000011</v>
      </c>
      <c r="D303" s="565">
        <f t="shared" si="69"/>
        <v>62.70000000000001</v>
      </c>
      <c r="E303" s="565">
        <f t="shared" si="69"/>
        <v>62.70000000000001</v>
      </c>
      <c r="F303" s="565">
        <f t="shared" si="69"/>
        <v>62.70000000000001</v>
      </c>
      <c r="G303" s="565">
        <f t="shared" si="69"/>
        <v>62.70000000000001</v>
      </c>
      <c r="H303" s="565">
        <f t="shared" si="69"/>
        <v>62.70000000000001</v>
      </c>
      <c r="I303" s="565">
        <f t="shared" si="69"/>
        <v>62.70000000000001</v>
      </c>
      <c r="J303" s="565">
        <f t="shared" si="69"/>
        <v>62.70000000000001</v>
      </c>
      <c r="K303" s="565">
        <f t="shared" si="69"/>
        <v>62.70000000000001</v>
      </c>
      <c r="L303" s="565">
        <f t="shared" si="69"/>
        <v>62.70000000000001</v>
      </c>
      <c r="M303" s="565">
        <f t="shared" si="69"/>
        <v>62.70000000000001</v>
      </c>
      <c r="N303" s="565">
        <f t="shared" si="69"/>
        <v>62.70000000000001</v>
      </c>
      <c r="O303" s="565">
        <f t="shared" si="69"/>
        <v>62.70000000000001</v>
      </c>
      <c r="P303" s="565">
        <f t="shared" si="69"/>
        <v>62.70000000000001</v>
      </c>
      <c r="Q303" s="565">
        <f t="shared" si="69"/>
        <v>62.70000000000001</v>
      </c>
      <c r="R303" s="565">
        <f t="shared" si="69"/>
        <v>62.7</v>
      </c>
      <c r="S303" s="565">
        <f t="shared" si="69"/>
        <v>62.7</v>
      </c>
      <c r="T303" s="565">
        <f t="shared" si="69"/>
        <v>62.7</v>
      </c>
      <c r="U303" s="565">
        <f t="shared" si="69"/>
        <v>62.7</v>
      </c>
      <c r="V303" s="565">
        <f t="shared" si="69"/>
        <v>62.70000000000001</v>
      </c>
      <c r="W303" s="565">
        <f t="shared" si="69"/>
        <v>62.7</v>
      </c>
      <c r="X303" s="565">
        <f t="shared" si="69"/>
        <v>62.7</v>
      </c>
      <c r="Y303" s="565">
        <f t="shared" si="69"/>
        <v>62.7</v>
      </c>
      <c r="Z303" s="565">
        <f t="shared" si="69"/>
        <v>62.7</v>
      </c>
      <c r="AA303" s="565">
        <f t="shared" si="69"/>
        <v>62.7</v>
      </c>
      <c r="AB303" s="565">
        <f t="shared" si="69"/>
        <v>62.70000000000001</v>
      </c>
      <c r="AC303" s="565">
        <f t="shared" si="69"/>
        <v>62.7</v>
      </c>
      <c r="AD303" s="565">
        <f t="shared" si="69"/>
        <v>62.70000000000001</v>
      </c>
      <c r="AE303" s="565">
        <f t="shared" si="69"/>
        <v>67.858333333333334</v>
      </c>
      <c r="AF303" s="565">
        <f t="shared" si="69"/>
        <v>1.1083333333333336</v>
      </c>
      <c r="AG303" s="565">
        <f t="shared" si="69"/>
        <v>0.79090909090909101</v>
      </c>
      <c r="AH303" s="565">
        <f t="shared" si="69"/>
        <v>0.92222222222222228</v>
      </c>
      <c r="AI303" s="565">
        <f t="shared" si="69"/>
        <v>0</v>
      </c>
      <c r="AJ303" s="565">
        <f t="shared" si="69"/>
        <v>0</v>
      </c>
      <c r="AK303" s="3"/>
      <c r="AL303" s="3"/>
    </row>
    <row r="304" spans="1:38" s="28" customFormat="1" x14ac:dyDescent="0.4">
      <c r="A304" s="647" t="s">
        <v>1063</v>
      </c>
      <c r="B304" s="581"/>
      <c r="C304" s="581"/>
      <c r="D304" s="581"/>
      <c r="E304" s="581"/>
      <c r="F304" s="581"/>
      <c r="G304" s="581"/>
      <c r="H304" s="581"/>
      <c r="I304" s="581"/>
      <c r="J304" s="581"/>
      <c r="K304" s="581"/>
      <c r="L304" s="581"/>
      <c r="M304" s="581"/>
      <c r="N304" s="581"/>
      <c r="O304" s="581"/>
      <c r="P304" s="581"/>
      <c r="Q304" s="581"/>
      <c r="R304" s="581"/>
      <c r="S304" s="581"/>
      <c r="T304" s="581"/>
      <c r="U304" s="581"/>
      <c r="V304" s="581"/>
      <c r="W304" s="581"/>
      <c r="X304" s="581"/>
      <c r="Y304" s="581"/>
      <c r="Z304" s="581"/>
      <c r="AA304" s="581"/>
      <c r="AB304" s="581"/>
      <c r="AC304" s="581"/>
      <c r="AD304" s="581"/>
      <c r="AE304" s="581"/>
      <c r="AF304" s="581"/>
      <c r="AG304" s="581"/>
      <c r="AH304" s="581"/>
      <c r="AI304" s="581"/>
      <c r="AJ304" s="581"/>
      <c r="AK304" s="3"/>
      <c r="AL304" s="3"/>
    </row>
    <row r="305" spans="1:38" s="28" customFormat="1" x14ac:dyDescent="0.4">
      <c r="A305" s="581"/>
      <c r="B305" s="581"/>
      <c r="C305" s="89"/>
      <c r="D305" s="89"/>
      <c r="E305" s="89"/>
      <c r="F305" s="89"/>
      <c r="G305" s="89"/>
      <c r="H305" s="89"/>
      <c r="I305" s="89"/>
      <c r="J305" s="89"/>
      <c r="K305" s="89"/>
      <c r="L305" s="89"/>
      <c r="M305" s="89"/>
      <c r="N305" s="89"/>
      <c r="O305" s="89"/>
      <c r="P305" s="89"/>
      <c r="Q305" s="89"/>
      <c r="R305" s="89"/>
      <c r="S305" s="89"/>
      <c r="T305" s="89"/>
      <c r="U305" s="89"/>
      <c r="V305" s="89"/>
      <c r="W305" s="89"/>
      <c r="X305" s="89"/>
      <c r="Y305" s="89"/>
      <c r="Z305" s="89"/>
      <c r="AA305" s="89"/>
      <c r="AB305" s="89"/>
      <c r="AC305" s="89"/>
      <c r="AD305" s="89"/>
      <c r="AE305" s="89"/>
      <c r="AF305" s="89"/>
      <c r="AG305" s="89"/>
      <c r="AH305" s="89"/>
      <c r="AI305" s="89"/>
      <c r="AJ305" s="89"/>
      <c r="AK305" s="3"/>
      <c r="AL305" s="3"/>
    </row>
    <row r="306" spans="1:38" s="28" customFormat="1" ht="17" x14ac:dyDescent="0.45">
      <c r="A306" s="90" t="s">
        <v>1523</v>
      </c>
      <c r="B306" s="581"/>
      <c r="C306" s="89"/>
      <c r="D306" s="89"/>
      <c r="E306" s="89"/>
      <c r="F306" s="89"/>
      <c r="G306" s="89"/>
      <c r="H306" s="89"/>
      <c r="I306" s="89"/>
      <c r="J306" s="89"/>
      <c r="K306" s="89"/>
      <c r="L306" s="89"/>
      <c r="M306" s="89"/>
      <c r="N306" s="89"/>
      <c r="O306" s="89"/>
      <c r="P306" s="89"/>
      <c r="Q306" s="89"/>
      <c r="R306" s="89"/>
      <c r="S306" s="89"/>
      <c r="T306" s="89"/>
      <c r="U306" s="89"/>
      <c r="V306" s="89"/>
      <c r="W306" s="89"/>
      <c r="X306" s="89"/>
      <c r="Y306" s="89"/>
      <c r="Z306" s="89"/>
      <c r="AA306" s="89"/>
      <c r="AB306" s="89"/>
      <c r="AC306" s="89"/>
      <c r="AD306" s="89"/>
      <c r="AE306" s="89"/>
      <c r="AF306" s="89"/>
      <c r="AG306" s="89"/>
      <c r="AH306" s="89"/>
      <c r="AI306" s="89"/>
      <c r="AJ306" s="573"/>
      <c r="AK306" s="3"/>
      <c r="AL306" s="3"/>
    </row>
    <row r="307" spans="1:38" s="28" customFormat="1" ht="17" x14ac:dyDescent="0.45">
      <c r="A307" s="88" t="s">
        <v>1522</v>
      </c>
      <c r="B307" s="581"/>
      <c r="C307" s="89"/>
      <c r="D307" s="89"/>
      <c r="E307" s="89"/>
      <c r="F307" s="89"/>
      <c r="G307" s="89"/>
      <c r="H307" s="89"/>
      <c r="I307" s="89"/>
      <c r="J307" s="89"/>
      <c r="K307" s="89"/>
      <c r="L307" s="89"/>
      <c r="M307" s="89"/>
      <c r="N307" s="89"/>
      <c r="O307" s="89"/>
      <c r="P307" s="89"/>
      <c r="Q307" s="89"/>
      <c r="R307" s="89"/>
      <c r="S307" s="89"/>
      <c r="T307" s="89"/>
      <c r="U307" s="89"/>
      <c r="V307" s="89"/>
      <c r="W307" s="89"/>
      <c r="X307" s="89"/>
      <c r="Y307" s="89"/>
      <c r="Z307" s="89"/>
      <c r="AA307" s="89"/>
      <c r="AB307" s="89"/>
      <c r="AC307" s="89"/>
      <c r="AD307" s="89"/>
      <c r="AE307" s="89"/>
      <c r="AF307" s="89"/>
      <c r="AG307" s="89"/>
      <c r="AH307" s="89"/>
      <c r="AI307" s="89"/>
      <c r="AJ307" s="573"/>
      <c r="AK307" s="3"/>
      <c r="AL307" s="3"/>
    </row>
    <row r="308" spans="1:38" s="28" customFormat="1" x14ac:dyDescent="0.4">
      <c r="A308" s="1218" t="s">
        <v>804</v>
      </c>
      <c r="B308" s="1140" t="s">
        <v>136</v>
      </c>
      <c r="C308" s="1159" t="s">
        <v>391</v>
      </c>
      <c r="D308" s="1159" t="s">
        <v>392</v>
      </c>
      <c r="E308" s="1159" t="s">
        <v>393</v>
      </c>
      <c r="F308" s="1159" t="s">
        <v>394</v>
      </c>
      <c r="G308" s="1159" t="s">
        <v>395</v>
      </c>
      <c r="H308" s="1159" t="s">
        <v>396</v>
      </c>
      <c r="I308" s="1159" t="s">
        <v>397</v>
      </c>
      <c r="J308" s="1159" t="s">
        <v>398</v>
      </c>
      <c r="K308" s="1159" t="s">
        <v>399</v>
      </c>
      <c r="L308" s="1159" t="s">
        <v>400</v>
      </c>
      <c r="M308" s="1159" t="s">
        <v>401</v>
      </c>
      <c r="N308" s="1159" t="s">
        <v>402</v>
      </c>
      <c r="O308" s="1159" t="s">
        <v>403</v>
      </c>
      <c r="P308" s="1159" t="s">
        <v>404</v>
      </c>
      <c r="Q308" s="1159" t="s">
        <v>405</v>
      </c>
      <c r="R308" s="1159" t="s">
        <v>406</v>
      </c>
      <c r="S308" s="1159" t="s">
        <v>407</v>
      </c>
      <c r="T308" s="1159" t="s">
        <v>408</v>
      </c>
      <c r="U308" s="1159" t="s">
        <v>409</v>
      </c>
      <c r="V308" s="1159" t="s">
        <v>410</v>
      </c>
      <c r="W308" s="1159" t="s">
        <v>411</v>
      </c>
      <c r="X308" s="1159" t="s">
        <v>412</v>
      </c>
      <c r="Y308" s="1159" t="s">
        <v>413</v>
      </c>
      <c r="Z308" s="1159" t="s">
        <v>414</v>
      </c>
      <c r="AA308" s="1159" t="s">
        <v>415</v>
      </c>
      <c r="AB308" s="1159" t="s">
        <v>416</v>
      </c>
      <c r="AC308" s="1159" t="s">
        <v>417</v>
      </c>
      <c r="AD308" s="1159" t="s">
        <v>418</v>
      </c>
      <c r="AE308" s="1159" t="s">
        <v>419</v>
      </c>
      <c r="AF308" s="1159" t="s">
        <v>420</v>
      </c>
      <c r="AG308" s="987" t="s">
        <v>421</v>
      </c>
      <c r="AH308" s="987" t="s">
        <v>422</v>
      </c>
      <c r="AI308" s="987" t="s">
        <v>423</v>
      </c>
      <c r="AJ308" s="987" t="s">
        <v>424</v>
      </c>
      <c r="AK308" s="3"/>
      <c r="AL308" s="3"/>
    </row>
    <row r="309" spans="1:38" s="28" customFormat="1" ht="17" x14ac:dyDescent="0.4">
      <c r="A309" s="645" t="s">
        <v>169</v>
      </c>
      <c r="B309" s="1474" t="s">
        <v>1390</v>
      </c>
      <c r="C309" s="534">
        <f>C54*C272</f>
        <v>0.29751601632693631</v>
      </c>
      <c r="D309" s="534">
        <f t="shared" ref="D309:AJ309" si="70">D272*D54</f>
        <v>0.30050725843703413</v>
      </c>
      <c r="E309" s="534">
        <f t="shared" si="70"/>
        <v>0.30066807790531902</v>
      </c>
      <c r="F309" s="534">
        <f t="shared" si="70"/>
        <v>0.30246925595010915</v>
      </c>
      <c r="G309" s="534">
        <f t="shared" si="70"/>
        <v>0.30340200886616114</v>
      </c>
      <c r="H309" s="534">
        <f t="shared" si="70"/>
        <v>0.30372364780273076</v>
      </c>
      <c r="I309" s="534">
        <f t="shared" si="70"/>
        <v>0.31115350723749002</v>
      </c>
      <c r="J309" s="534">
        <f t="shared" si="70"/>
        <v>0.31086403219457726</v>
      </c>
      <c r="K309" s="534">
        <f t="shared" si="70"/>
        <v>0.31359796315541938</v>
      </c>
      <c r="L309" s="534">
        <f t="shared" si="70"/>
        <v>0.31872460370685635</v>
      </c>
      <c r="M309" s="534">
        <f t="shared" si="70"/>
        <v>0.32033279838970474</v>
      </c>
      <c r="N309" s="534">
        <f t="shared" si="70"/>
        <v>0.33450449403244736</v>
      </c>
      <c r="O309" s="534">
        <f t="shared" si="70"/>
        <v>0.33904925220617665</v>
      </c>
      <c r="P309" s="534">
        <f t="shared" si="70"/>
        <v>0.33813386779269944</v>
      </c>
      <c r="Q309" s="534">
        <f t="shared" si="70"/>
        <v>0.35251627448034834</v>
      </c>
      <c r="R309" s="534">
        <f t="shared" si="70"/>
        <v>0.3538864563501351</v>
      </c>
      <c r="S309" s="534">
        <f t="shared" si="70"/>
        <v>0.35178937048370079</v>
      </c>
      <c r="T309" s="534">
        <f t="shared" si="70"/>
        <v>0.35717038989251126</v>
      </c>
      <c r="U309" s="534">
        <f t="shared" si="70"/>
        <v>0.35693559346881537</v>
      </c>
      <c r="V309" s="534">
        <f t="shared" si="70"/>
        <v>0.35807097891490641</v>
      </c>
      <c r="W309" s="534">
        <f t="shared" si="70"/>
        <v>0.34463612053439169</v>
      </c>
      <c r="X309" s="534">
        <f t="shared" si="70"/>
        <v>0.36189526587071963</v>
      </c>
      <c r="Y309" s="534">
        <f t="shared" si="70"/>
        <v>0.36189848226008531</v>
      </c>
      <c r="Z309" s="534">
        <f t="shared" si="70"/>
        <v>0.36323328384684944</v>
      </c>
      <c r="AA309" s="534">
        <f t="shared" si="70"/>
        <v>0.36324164645920021</v>
      </c>
      <c r="AB309" s="534">
        <f t="shared" si="70"/>
        <v>0.36357743750897892</v>
      </c>
      <c r="AC309" s="534">
        <f t="shared" si="70"/>
        <v>0.36507305856402783</v>
      </c>
      <c r="AD309" s="534">
        <f t="shared" si="70"/>
        <v>0.36437799682210092</v>
      </c>
      <c r="AE309" s="534">
        <f t="shared" si="70"/>
        <v>0.36460314407769967</v>
      </c>
      <c r="AF309" s="534">
        <f t="shared" si="70"/>
        <v>0.3627505038030584</v>
      </c>
      <c r="AG309" s="534">
        <f t="shared" si="70"/>
        <v>0.3635578175338483</v>
      </c>
      <c r="AH309" s="534">
        <f t="shared" si="70"/>
        <v>0.36372506978086455</v>
      </c>
      <c r="AI309" s="534">
        <f t="shared" si="70"/>
        <v>0.3628730482378914</v>
      </c>
      <c r="AJ309" s="534">
        <f t="shared" si="70"/>
        <v>0.36248708151400788</v>
      </c>
      <c r="AK309" s="3"/>
      <c r="AL309" s="3"/>
    </row>
    <row r="310" spans="1:38" s="28" customFormat="1" ht="17" x14ac:dyDescent="0.4">
      <c r="A310" s="1236" t="s">
        <v>548</v>
      </c>
      <c r="B310" s="1474" t="s">
        <v>1390</v>
      </c>
      <c r="C310" s="534">
        <f t="shared" ref="C310:AB310" si="71">C54*C273</f>
        <v>16.601890591541753</v>
      </c>
      <c r="D310" s="534">
        <f t="shared" si="71"/>
        <v>16.768806896948604</v>
      </c>
      <c r="E310" s="534">
        <f t="shared" si="71"/>
        <v>16.777780891862953</v>
      </c>
      <c r="F310" s="534">
        <f t="shared" si="71"/>
        <v>16.878289634903641</v>
      </c>
      <c r="G310" s="534">
        <f t="shared" si="71"/>
        <v>16.930338805406851</v>
      </c>
      <c r="H310" s="534">
        <f t="shared" si="71"/>
        <v>16.948286795235543</v>
      </c>
      <c r="I310" s="534">
        <f t="shared" si="71"/>
        <v>17.362885360278373</v>
      </c>
      <c r="J310" s="534">
        <f t="shared" si="71"/>
        <v>17.346732169432549</v>
      </c>
      <c r="K310" s="534">
        <f t="shared" si="71"/>
        <v>17.499290082976444</v>
      </c>
      <c r="L310" s="534">
        <f t="shared" si="71"/>
        <v>17.785365187731781</v>
      </c>
      <c r="M310" s="534">
        <f t="shared" si="71"/>
        <v>17.875105136875248</v>
      </c>
      <c r="N310" s="534">
        <f t="shared" si="71"/>
        <v>18.665909421841544</v>
      </c>
      <c r="O310" s="534">
        <f t="shared" si="71"/>
        <v>18.919514518120984</v>
      </c>
      <c r="P310" s="534">
        <f t="shared" si="71"/>
        <v>18.868434539068524</v>
      </c>
      <c r="Q310" s="534">
        <f t="shared" si="71"/>
        <v>19.670996852248393</v>
      </c>
      <c r="R310" s="534">
        <f t="shared" si="71"/>
        <v>19.747455288918626</v>
      </c>
      <c r="S310" s="534">
        <f t="shared" si="71"/>
        <v>19.63043439523554</v>
      </c>
      <c r="T310" s="534">
        <f t="shared" si="71"/>
        <v>19.93070426506959</v>
      </c>
      <c r="U310" s="534">
        <f t="shared" si="71"/>
        <v>19.917602232494641</v>
      </c>
      <c r="V310" s="534">
        <f t="shared" si="71"/>
        <v>19.980958636589932</v>
      </c>
      <c r="W310" s="534">
        <f t="shared" si="71"/>
        <v>19.231271101445394</v>
      </c>
      <c r="X310" s="534">
        <f t="shared" si="71"/>
        <v>20.194360235653104</v>
      </c>
      <c r="Y310" s="534">
        <f t="shared" si="71"/>
        <v>20.194539715551386</v>
      </c>
      <c r="Z310" s="534">
        <f t="shared" si="71"/>
        <v>20.269023873340469</v>
      </c>
      <c r="AA310" s="534">
        <f t="shared" si="71"/>
        <v>20.269490521076015</v>
      </c>
      <c r="AB310" s="534">
        <f t="shared" si="71"/>
        <v>20.288228222457168</v>
      </c>
      <c r="AC310" s="710">
        <f t="shared" ref="AC310:AJ310" si="72">(AC54-AC396)*AC273+AC399</f>
        <v>10.5691894985716</v>
      </c>
      <c r="AD310" s="710">
        <f t="shared" si="72"/>
        <v>3.881253137970714</v>
      </c>
      <c r="AE310" s="710">
        <f t="shared" si="72"/>
        <v>1.5857102756953263</v>
      </c>
      <c r="AF310" s="710">
        <f t="shared" si="72"/>
        <v>5.8132391348410071</v>
      </c>
      <c r="AG310" s="710">
        <f t="shared" si="72"/>
        <v>3.2914136002407632</v>
      </c>
      <c r="AH310" s="710">
        <f t="shared" si="72"/>
        <v>3.2454546511941214</v>
      </c>
      <c r="AI310" s="710">
        <f t="shared" si="72"/>
        <v>6.0394838116642662</v>
      </c>
      <c r="AJ310" s="710">
        <f t="shared" si="72"/>
        <v>9.4746106173131626</v>
      </c>
      <c r="AK310" s="3"/>
      <c r="AL310" s="3"/>
    </row>
    <row r="311" spans="1:38" s="28" customFormat="1" x14ac:dyDescent="0.4">
      <c r="A311" s="647" t="s">
        <v>1063</v>
      </c>
      <c r="B311" s="581"/>
      <c r="C311" s="89"/>
      <c r="D311" s="89"/>
      <c r="E311" s="89"/>
      <c r="F311" s="89"/>
      <c r="G311" s="89"/>
      <c r="H311" s="89"/>
      <c r="I311" s="89"/>
      <c r="J311" s="89"/>
      <c r="K311" s="89"/>
      <c r="L311" s="89"/>
      <c r="M311" s="89"/>
      <c r="N311" s="89"/>
      <c r="O311" s="89"/>
      <c r="P311" s="89"/>
      <c r="Q311" s="89"/>
      <c r="R311" s="89"/>
      <c r="S311" s="89"/>
      <c r="T311" s="89"/>
      <c r="U311" s="89"/>
      <c r="V311" s="89"/>
      <c r="W311" s="89"/>
      <c r="X311" s="89"/>
      <c r="Y311" s="89"/>
      <c r="Z311" s="89"/>
      <c r="AA311" s="89"/>
      <c r="AB311" s="89"/>
      <c r="AC311" s="89"/>
      <c r="AD311" s="89"/>
      <c r="AE311" s="89"/>
      <c r="AF311" s="89"/>
      <c r="AG311" s="89"/>
      <c r="AH311" s="89"/>
      <c r="AI311" s="89"/>
      <c r="AJ311" s="89"/>
      <c r="AK311" s="3"/>
      <c r="AL311" s="3"/>
    </row>
    <row r="312" spans="1:38" s="28" customFormat="1" x14ac:dyDescent="0.4">
      <c r="A312" s="581"/>
      <c r="B312" s="581"/>
      <c r="C312" s="89"/>
      <c r="D312" s="89"/>
      <c r="E312" s="89"/>
      <c r="F312" s="89"/>
      <c r="G312" s="89"/>
      <c r="H312" s="89"/>
      <c r="I312" s="89"/>
      <c r="J312" s="89"/>
      <c r="K312" s="89"/>
      <c r="L312" s="89"/>
      <c r="M312" s="89"/>
      <c r="N312" s="89"/>
      <c r="O312" s="89"/>
      <c r="P312" s="89"/>
      <c r="Q312" s="89"/>
      <c r="R312" s="89"/>
      <c r="S312" s="89"/>
      <c r="T312" s="89"/>
      <c r="U312" s="89"/>
      <c r="V312" s="89"/>
      <c r="W312" s="89"/>
      <c r="X312" s="89"/>
      <c r="Y312" s="89"/>
      <c r="Z312" s="89"/>
      <c r="AA312" s="89"/>
      <c r="AB312" s="89"/>
      <c r="AC312" s="89"/>
      <c r="AD312" s="89"/>
      <c r="AE312" s="89"/>
      <c r="AF312" s="89"/>
      <c r="AG312" s="89"/>
      <c r="AH312" s="89"/>
      <c r="AI312" s="89"/>
      <c r="AJ312" s="89"/>
      <c r="AK312" s="3"/>
      <c r="AL312" s="3"/>
    </row>
    <row r="313" spans="1:38" s="28" customFormat="1" x14ac:dyDescent="0.4">
      <c r="A313" s="660" t="s">
        <v>569</v>
      </c>
      <c r="B313" s="581"/>
      <c r="C313" s="89"/>
      <c r="D313" s="89"/>
      <c r="E313" s="89"/>
      <c r="F313" s="89"/>
      <c r="G313" s="89"/>
      <c r="H313" s="89"/>
      <c r="I313" s="89"/>
      <c r="J313" s="89"/>
      <c r="K313" s="89"/>
      <c r="L313" s="89"/>
      <c r="M313" s="89"/>
      <c r="N313" s="89"/>
      <c r="O313" s="89"/>
      <c r="P313" s="89"/>
      <c r="Q313" s="89"/>
      <c r="R313" s="89"/>
      <c r="S313" s="89"/>
      <c r="T313" s="89"/>
      <c r="U313" s="89"/>
      <c r="V313" s="89"/>
      <c r="W313" s="89"/>
      <c r="X313" s="89"/>
      <c r="Y313" s="89"/>
      <c r="Z313" s="89"/>
      <c r="AA313" s="89"/>
      <c r="AB313" s="89"/>
      <c r="AC313" s="89"/>
      <c r="AD313" s="89"/>
      <c r="AE313" s="89"/>
      <c r="AF313" s="89"/>
      <c r="AG313" s="89"/>
      <c r="AH313" s="89"/>
      <c r="AI313" s="89"/>
      <c r="AJ313" s="89"/>
      <c r="AK313" s="3"/>
      <c r="AL313" s="3"/>
    </row>
    <row r="314" spans="1:38" s="28" customFormat="1" x14ac:dyDescent="0.4">
      <c r="A314" s="581"/>
      <c r="B314" s="581"/>
      <c r="C314" s="89"/>
      <c r="D314" s="89"/>
      <c r="E314" s="89"/>
      <c r="F314" s="89"/>
      <c r="G314" s="89"/>
      <c r="H314" s="89"/>
      <c r="I314" s="89"/>
      <c r="J314" s="89"/>
      <c r="K314" s="89"/>
      <c r="L314" s="89"/>
      <c r="M314" s="89"/>
      <c r="N314" s="89"/>
      <c r="O314" s="89"/>
      <c r="P314" s="89"/>
      <c r="Q314" s="89"/>
      <c r="R314" s="89"/>
      <c r="S314" s="89"/>
      <c r="T314" s="89"/>
      <c r="U314" s="89"/>
      <c r="V314" s="89"/>
      <c r="W314" s="89"/>
      <c r="X314" s="89"/>
      <c r="Y314" s="89"/>
      <c r="Z314" s="89"/>
      <c r="AA314" s="89"/>
      <c r="AB314" s="89"/>
      <c r="AC314" s="89"/>
      <c r="AD314" s="89"/>
      <c r="AE314" s="89"/>
      <c r="AF314" s="89"/>
      <c r="AG314" s="89"/>
      <c r="AH314" s="89"/>
      <c r="AI314" s="89"/>
      <c r="AJ314" s="89"/>
      <c r="AK314" s="3"/>
      <c r="AL314" s="3"/>
    </row>
    <row r="315" spans="1:38" s="28" customFormat="1" ht="17" x14ac:dyDescent="0.45">
      <c r="A315" s="88" t="s">
        <v>1525</v>
      </c>
      <c r="B315" s="581"/>
      <c r="C315" s="89"/>
      <c r="D315" s="89"/>
      <c r="E315" s="89"/>
      <c r="F315" s="89"/>
      <c r="G315" s="89"/>
      <c r="H315" s="89"/>
      <c r="I315" s="89"/>
      <c r="J315" s="89"/>
      <c r="K315" s="89"/>
      <c r="L315" s="89"/>
      <c r="M315" s="89"/>
      <c r="N315" s="89"/>
      <c r="O315" s="89"/>
      <c r="P315" s="89"/>
      <c r="Q315" s="89"/>
      <c r="R315" s="89"/>
      <c r="S315" s="89"/>
      <c r="T315" s="89"/>
      <c r="U315" s="89"/>
      <c r="V315" s="89"/>
      <c r="W315" s="89"/>
      <c r="X315" s="89"/>
      <c r="Y315" s="89"/>
      <c r="Z315" s="89"/>
      <c r="AA315" s="89"/>
      <c r="AB315" s="89"/>
      <c r="AC315" s="89"/>
      <c r="AD315" s="89"/>
      <c r="AE315" s="89"/>
      <c r="AF315" s="89"/>
      <c r="AG315" s="89"/>
      <c r="AH315" s="89"/>
      <c r="AI315" s="89"/>
      <c r="AJ315" s="89"/>
      <c r="AK315" s="3"/>
      <c r="AL315" s="3"/>
    </row>
    <row r="316" spans="1:38" s="28" customFormat="1" x14ac:dyDescent="0.4">
      <c r="A316" s="1218" t="s">
        <v>808</v>
      </c>
      <c r="B316" s="1140" t="s">
        <v>136</v>
      </c>
      <c r="C316" s="1159" t="s">
        <v>391</v>
      </c>
      <c r="D316" s="1159" t="s">
        <v>392</v>
      </c>
      <c r="E316" s="1159" t="s">
        <v>393</v>
      </c>
      <c r="F316" s="1159" t="s">
        <v>394</v>
      </c>
      <c r="G316" s="1159" t="s">
        <v>395</v>
      </c>
      <c r="H316" s="1159" t="s">
        <v>396</v>
      </c>
      <c r="I316" s="1159" t="s">
        <v>397</v>
      </c>
      <c r="J316" s="1159" t="s">
        <v>398</v>
      </c>
      <c r="K316" s="1159" t="s">
        <v>399</v>
      </c>
      <c r="L316" s="1159" t="s">
        <v>400</v>
      </c>
      <c r="M316" s="1159" t="s">
        <v>401</v>
      </c>
      <c r="N316" s="1159" t="s">
        <v>402</v>
      </c>
      <c r="O316" s="1159" t="s">
        <v>403</v>
      </c>
      <c r="P316" s="1159" t="s">
        <v>404</v>
      </c>
      <c r="Q316" s="1159" t="s">
        <v>405</v>
      </c>
      <c r="R316" s="1159" t="s">
        <v>406</v>
      </c>
      <c r="S316" s="1159" t="s">
        <v>407</v>
      </c>
      <c r="T316" s="1159" t="s">
        <v>408</v>
      </c>
      <c r="U316" s="1159" t="s">
        <v>409</v>
      </c>
      <c r="V316" s="1159" t="s">
        <v>410</v>
      </c>
      <c r="W316" s="1159" t="s">
        <v>411</v>
      </c>
      <c r="X316" s="1159" t="s">
        <v>412</v>
      </c>
      <c r="Y316" s="1159" t="s">
        <v>413</v>
      </c>
      <c r="Z316" s="1159" t="s">
        <v>414</v>
      </c>
      <c r="AA316" s="1159" t="s">
        <v>415</v>
      </c>
      <c r="AB316" s="1159" t="s">
        <v>416</v>
      </c>
      <c r="AC316" s="1159" t="s">
        <v>417</v>
      </c>
      <c r="AD316" s="1159" t="s">
        <v>418</v>
      </c>
      <c r="AE316" s="1159" t="s">
        <v>419</v>
      </c>
      <c r="AF316" s="1159" t="s">
        <v>420</v>
      </c>
      <c r="AG316" s="987" t="s">
        <v>421</v>
      </c>
      <c r="AH316" s="987" t="s">
        <v>422</v>
      </c>
      <c r="AI316" s="987" t="s">
        <v>423</v>
      </c>
      <c r="AJ316" s="987" t="s">
        <v>424</v>
      </c>
      <c r="AK316" s="3"/>
      <c r="AL316" s="3"/>
    </row>
    <row r="317" spans="1:38" s="28" customFormat="1" ht="17" x14ac:dyDescent="0.4">
      <c r="A317" s="643" t="s">
        <v>549</v>
      </c>
      <c r="B317" s="1474" t="s">
        <v>1390</v>
      </c>
      <c r="C317" s="565">
        <f t="shared" ref="C317:AJ317" si="73">C59*C278</f>
        <v>74.648119295252627</v>
      </c>
      <c r="D317" s="565">
        <f t="shared" si="73"/>
        <v>74.648119295252627</v>
      </c>
      <c r="E317" s="565">
        <f t="shared" si="73"/>
        <v>74.648119295252627</v>
      </c>
      <c r="F317" s="565">
        <f t="shared" si="73"/>
        <v>72.710343346126379</v>
      </c>
      <c r="G317" s="565">
        <f t="shared" si="73"/>
        <v>70.772567397000103</v>
      </c>
      <c r="H317" s="565">
        <f t="shared" si="73"/>
        <v>68.834791447873869</v>
      </c>
      <c r="I317" s="565">
        <f t="shared" si="73"/>
        <v>66.897015498747621</v>
      </c>
      <c r="J317" s="565">
        <f t="shared" si="73"/>
        <v>64.959239549621373</v>
      </c>
      <c r="K317" s="565">
        <f t="shared" si="73"/>
        <v>63.02146360049511</v>
      </c>
      <c r="L317" s="565">
        <f t="shared" si="73"/>
        <v>61.083687651368869</v>
      </c>
      <c r="M317" s="565">
        <f t="shared" si="73"/>
        <v>59.145911702242621</v>
      </c>
      <c r="N317" s="565">
        <f t="shared" si="73"/>
        <v>57.208135753116359</v>
      </c>
      <c r="O317" s="565">
        <f t="shared" si="73"/>
        <v>55.270359803990125</v>
      </c>
      <c r="P317" s="565">
        <f t="shared" si="73"/>
        <v>53.332583854863856</v>
      </c>
      <c r="Q317" s="565">
        <f t="shared" si="73"/>
        <v>51.394807905737601</v>
      </c>
      <c r="R317" s="565">
        <f t="shared" si="73"/>
        <v>49.457031956611345</v>
      </c>
      <c r="S317" s="565">
        <f t="shared" si="73"/>
        <v>47.51925600748509</v>
      </c>
      <c r="T317" s="565">
        <f t="shared" si="73"/>
        <v>45.581480058358835</v>
      </c>
      <c r="U317" s="565">
        <f t="shared" si="73"/>
        <v>43.643704109232587</v>
      </c>
      <c r="V317" s="565">
        <f t="shared" si="73"/>
        <v>41.705928160106325</v>
      </c>
      <c r="W317" s="565">
        <f t="shared" si="73"/>
        <v>39.768152210980077</v>
      </c>
      <c r="X317" s="1244">
        <f t="shared" si="73"/>
        <v>37.830376261853772</v>
      </c>
      <c r="Y317" s="1244">
        <f t="shared" si="73"/>
        <v>47.367387330893905</v>
      </c>
      <c r="Z317" s="1244">
        <f t="shared" si="73"/>
        <v>47.343419116646132</v>
      </c>
      <c r="AA317" s="1244">
        <f t="shared" si="73"/>
        <v>46.774557977342603</v>
      </c>
      <c r="AB317" s="1244">
        <f t="shared" si="73"/>
        <v>47.013384503347027</v>
      </c>
      <c r="AC317" s="1244">
        <f t="shared" si="73"/>
        <v>47.026595909753901</v>
      </c>
      <c r="AD317" s="1244">
        <f t="shared" si="73"/>
        <v>46.879669820316764</v>
      </c>
      <c r="AE317" s="1244">
        <f t="shared" si="73"/>
        <v>46.168310604598588</v>
      </c>
      <c r="AF317" s="1244">
        <f t="shared" si="73"/>
        <v>45.711745908656354</v>
      </c>
      <c r="AG317" s="1244">
        <f t="shared" si="73"/>
        <v>45.463347001058679</v>
      </c>
      <c r="AH317" s="1244">
        <f t="shared" si="73"/>
        <v>52.787489621116094</v>
      </c>
      <c r="AI317" s="1244">
        <f t="shared" si="73"/>
        <v>51.930669306532693</v>
      </c>
      <c r="AJ317" s="1244">
        <f t="shared" si="73"/>
        <v>52.644634287406106</v>
      </c>
      <c r="AK317" s="3"/>
      <c r="AL317" s="3"/>
    </row>
    <row r="318" spans="1:38" s="28" customFormat="1" ht="17" x14ac:dyDescent="0.4">
      <c r="A318" s="693" t="s">
        <v>550</v>
      </c>
      <c r="B318" s="1474" t="s">
        <v>1390</v>
      </c>
      <c r="C318" s="565" t="e">
        <f t="shared" ref="C318:AA318" si="74">C60*C279</f>
        <v>#VALUE!</v>
      </c>
      <c r="D318" s="565" t="e">
        <f t="shared" si="74"/>
        <v>#VALUE!</v>
      </c>
      <c r="E318" s="565" t="e">
        <f t="shared" si="74"/>
        <v>#VALUE!</v>
      </c>
      <c r="F318" s="565" t="e">
        <f t="shared" si="74"/>
        <v>#VALUE!</v>
      </c>
      <c r="G318" s="565" t="e">
        <f t="shared" si="74"/>
        <v>#VALUE!</v>
      </c>
      <c r="H318" s="565" t="e">
        <f t="shared" si="74"/>
        <v>#VALUE!</v>
      </c>
      <c r="I318" s="565" t="e">
        <f t="shared" si="74"/>
        <v>#VALUE!</v>
      </c>
      <c r="J318" s="565" t="e">
        <f t="shared" si="74"/>
        <v>#VALUE!</v>
      </c>
      <c r="K318" s="565" t="e">
        <f t="shared" si="74"/>
        <v>#VALUE!</v>
      </c>
      <c r="L318" s="565" t="e">
        <f t="shared" si="74"/>
        <v>#VALUE!</v>
      </c>
      <c r="M318" s="565" t="e">
        <f t="shared" si="74"/>
        <v>#VALUE!</v>
      </c>
      <c r="N318" s="565" t="e">
        <f t="shared" si="74"/>
        <v>#VALUE!</v>
      </c>
      <c r="O318" s="565" t="e">
        <f t="shared" si="74"/>
        <v>#VALUE!</v>
      </c>
      <c r="P318" s="565" t="e">
        <f t="shared" si="74"/>
        <v>#VALUE!</v>
      </c>
      <c r="Q318" s="565" t="e">
        <f t="shared" si="74"/>
        <v>#VALUE!</v>
      </c>
      <c r="R318" s="565" t="e">
        <f t="shared" si="74"/>
        <v>#VALUE!</v>
      </c>
      <c r="S318" s="565" t="e">
        <f t="shared" si="74"/>
        <v>#VALUE!</v>
      </c>
      <c r="T318" s="565" t="e">
        <f t="shared" si="74"/>
        <v>#VALUE!</v>
      </c>
      <c r="U318" s="565" t="e">
        <f t="shared" si="74"/>
        <v>#VALUE!</v>
      </c>
      <c r="V318" s="565" t="e">
        <f t="shared" si="74"/>
        <v>#VALUE!</v>
      </c>
      <c r="W318" s="565" t="e">
        <f t="shared" si="74"/>
        <v>#VALUE!</v>
      </c>
      <c r="X318" s="565">
        <f t="shared" si="74"/>
        <v>7.5374732334047101</v>
      </c>
      <c r="Y318" s="565">
        <f t="shared" si="74"/>
        <v>9.421841541755887</v>
      </c>
      <c r="Z318" s="565">
        <f t="shared" si="74"/>
        <v>9.421841541755887</v>
      </c>
      <c r="AA318" s="565">
        <f t="shared" si="74"/>
        <v>9.421841541755887</v>
      </c>
      <c r="AB318" s="576">
        <f t="shared" ref="AB318:AJ318" si="75">(AB60-AB463)*AB279+AB465</f>
        <v>5.7531049250535311</v>
      </c>
      <c r="AC318" s="576">
        <f t="shared" si="75"/>
        <v>4.3687366167023551</v>
      </c>
      <c r="AD318" s="576">
        <f t="shared" si="75"/>
        <v>4.0687366167023544</v>
      </c>
      <c r="AE318" s="576">
        <f t="shared" si="75"/>
        <v>4.0687366167023544</v>
      </c>
      <c r="AF318" s="576">
        <f t="shared" si="75"/>
        <v>3.768736616702355</v>
      </c>
      <c r="AG318" s="576">
        <f t="shared" si="75"/>
        <v>3.8687366167023551</v>
      </c>
      <c r="AH318" s="576">
        <f t="shared" si="75"/>
        <v>6.253104925053532</v>
      </c>
      <c r="AI318" s="576">
        <f t="shared" si="75"/>
        <v>8.3374732334047099</v>
      </c>
      <c r="AJ318" s="576">
        <f t="shared" si="75"/>
        <v>11.137473233404709</v>
      </c>
      <c r="AK318" s="3"/>
      <c r="AL318" s="3"/>
    </row>
    <row r="319" spans="1:38" s="28" customFormat="1" ht="17" x14ac:dyDescent="0.4">
      <c r="A319" s="693" t="s">
        <v>551</v>
      </c>
      <c r="B319" s="1474" t="s">
        <v>1390</v>
      </c>
      <c r="C319" s="565" t="e">
        <f t="shared" ref="C319:AA319" si="76">C61*C280</f>
        <v>#VALUE!</v>
      </c>
      <c r="D319" s="565" t="e">
        <f t="shared" si="76"/>
        <v>#VALUE!</v>
      </c>
      <c r="E319" s="565" t="e">
        <f t="shared" si="76"/>
        <v>#VALUE!</v>
      </c>
      <c r="F319" s="565" t="e">
        <f t="shared" si="76"/>
        <v>#VALUE!</v>
      </c>
      <c r="G319" s="565" t="e">
        <f t="shared" si="76"/>
        <v>#VALUE!</v>
      </c>
      <c r="H319" s="565" t="e">
        <f t="shared" si="76"/>
        <v>#VALUE!</v>
      </c>
      <c r="I319" s="565" t="e">
        <f t="shared" si="76"/>
        <v>#VALUE!</v>
      </c>
      <c r="J319" s="565" t="e">
        <f t="shared" si="76"/>
        <v>#VALUE!</v>
      </c>
      <c r="K319" s="565" t="e">
        <f t="shared" si="76"/>
        <v>#VALUE!</v>
      </c>
      <c r="L319" s="565" t="e">
        <f t="shared" si="76"/>
        <v>#VALUE!</v>
      </c>
      <c r="M319" s="565" t="e">
        <f t="shared" si="76"/>
        <v>#VALUE!</v>
      </c>
      <c r="N319" s="565" t="e">
        <f t="shared" si="76"/>
        <v>#VALUE!</v>
      </c>
      <c r="O319" s="565" t="e">
        <f t="shared" si="76"/>
        <v>#VALUE!</v>
      </c>
      <c r="P319" s="565" t="e">
        <f t="shared" si="76"/>
        <v>#VALUE!</v>
      </c>
      <c r="Q319" s="565" t="e">
        <f t="shared" si="76"/>
        <v>#VALUE!</v>
      </c>
      <c r="R319" s="565" t="e">
        <f t="shared" si="76"/>
        <v>#VALUE!</v>
      </c>
      <c r="S319" s="565" t="e">
        <f t="shared" si="76"/>
        <v>#VALUE!</v>
      </c>
      <c r="T319" s="565" t="e">
        <f t="shared" si="76"/>
        <v>#VALUE!</v>
      </c>
      <c r="U319" s="565" t="e">
        <f t="shared" si="76"/>
        <v>#VALUE!</v>
      </c>
      <c r="V319" s="565" t="e">
        <f t="shared" si="76"/>
        <v>#VALUE!</v>
      </c>
      <c r="W319" s="565" t="e">
        <f t="shared" si="76"/>
        <v>#VALUE!</v>
      </c>
      <c r="X319" s="565">
        <f t="shared" si="76"/>
        <v>1.9138115631691643</v>
      </c>
      <c r="Y319" s="565">
        <f t="shared" si="76"/>
        <v>1.9138115631691652</v>
      </c>
      <c r="Z319" s="565">
        <f t="shared" si="76"/>
        <v>1.9138115631691648</v>
      </c>
      <c r="AA319" s="565">
        <f t="shared" si="76"/>
        <v>1.9138115631691643</v>
      </c>
      <c r="AB319" s="576">
        <f t="shared" ref="AB319:AJ319" si="77">(AB61-AB466)*AB280+AB468</f>
        <v>0.4</v>
      </c>
      <c r="AC319" s="576">
        <f t="shared" si="77"/>
        <v>0.6</v>
      </c>
      <c r="AD319" s="576">
        <f t="shared" si="77"/>
        <v>0.35599999999999998</v>
      </c>
      <c r="AE319" s="576">
        <f t="shared" si="77"/>
        <v>0</v>
      </c>
      <c r="AF319" s="576">
        <f t="shared" si="77"/>
        <v>0.2</v>
      </c>
      <c r="AG319" s="576">
        <f t="shared" si="77"/>
        <v>0.3</v>
      </c>
      <c r="AH319" s="576">
        <f t="shared" si="77"/>
        <v>0</v>
      </c>
      <c r="AI319" s="576">
        <f t="shared" si="77"/>
        <v>0.7</v>
      </c>
      <c r="AJ319" s="576">
        <f t="shared" si="77"/>
        <v>0</v>
      </c>
      <c r="AK319" s="3"/>
      <c r="AL319" s="3"/>
    </row>
    <row r="320" spans="1:38" s="28" customFormat="1" ht="17" x14ac:dyDescent="0.4">
      <c r="A320" s="693" t="s">
        <v>553</v>
      </c>
      <c r="B320" s="1474" t="s">
        <v>1390</v>
      </c>
      <c r="C320" s="565" t="e">
        <f t="shared" ref="C320:AA320" si="78">C62*C281</f>
        <v>#VALUE!</v>
      </c>
      <c r="D320" s="565" t="e">
        <f t="shared" si="78"/>
        <v>#VALUE!</v>
      </c>
      <c r="E320" s="565" t="e">
        <f t="shared" si="78"/>
        <v>#VALUE!</v>
      </c>
      <c r="F320" s="565" t="e">
        <f t="shared" si="78"/>
        <v>#VALUE!</v>
      </c>
      <c r="G320" s="565" t="e">
        <f t="shared" si="78"/>
        <v>#VALUE!</v>
      </c>
      <c r="H320" s="565" t="e">
        <f t="shared" si="78"/>
        <v>#VALUE!</v>
      </c>
      <c r="I320" s="565" t="e">
        <f t="shared" si="78"/>
        <v>#VALUE!</v>
      </c>
      <c r="J320" s="565" t="e">
        <f t="shared" si="78"/>
        <v>#VALUE!</v>
      </c>
      <c r="K320" s="565" t="e">
        <f t="shared" si="78"/>
        <v>#VALUE!</v>
      </c>
      <c r="L320" s="565" t="e">
        <f t="shared" si="78"/>
        <v>#VALUE!</v>
      </c>
      <c r="M320" s="565" t="e">
        <f t="shared" si="78"/>
        <v>#VALUE!</v>
      </c>
      <c r="N320" s="565" t="e">
        <f t="shared" si="78"/>
        <v>#VALUE!</v>
      </c>
      <c r="O320" s="565" t="e">
        <f t="shared" si="78"/>
        <v>#VALUE!</v>
      </c>
      <c r="P320" s="565" t="e">
        <f t="shared" si="78"/>
        <v>#VALUE!</v>
      </c>
      <c r="Q320" s="565" t="e">
        <f t="shared" si="78"/>
        <v>#VALUE!</v>
      </c>
      <c r="R320" s="565" t="e">
        <f t="shared" si="78"/>
        <v>#VALUE!</v>
      </c>
      <c r="S320" s="565" t="e">
        <f t="shared" si="78"/>
        <v>#VALUE!</v>
      </c>
      <c r="T320" s="565" t="e">
        <f t="shared" si="78"/>
        <v>#VALUE!</v>
      </c>
      <c r="U320" s="565" t="e">
        <f t="shared" si="78"/>
        <v>#VALUE!</v>
      </c>
      <c r="V320" s="565" t="e">
        <f t="shared" si="78"/>
        <v>#VALUE!</v>
      </c>
      <c r="W320" s="565" t="e">
        <f t="shared" si="78"/>
        <v>#VALUE!</v>
      </c>
      <c r="X320" s="565">
        <f t="shared" si="78"/>
        <v>18.019271948608136</v>
      </c>
      <c r="Y320" s="565">
        <f t="shared" si="78"/>
        <v>18.019271948608136</v>
      </c>
      <c r="Z320" s="565">
        <f t="shared" si="78"/>
        <v>18.019271948608136</v>
      </c>
      <c r="AA320" s="565">
        <f t="shared" si="78"/>
        <v>18.019271948608136</v>
      </c>
      <c r="AB320" s="576">
        <f t="shared" ref="AB320:AJ320" si="79">(AB62-AB469)*AB281+AB471</f>
        <v>15.664989293361884</v>
      </c>
      <c r="AC320" s="576">
        <f t="shared" si="79"/>
        <v>11.605706638115629</v>
      </c>
      <c r="AD320" s="576">
        <f t="shared" si="79"/>
        <v>10.500706638115629</v>
      </c>
      <c r="AE320" s="576">
        <f t="shared" si="79"/>
        <v>10.445506638115628</v>
      </c>
      <c r="AF320" s="576">
        <f t="shared" si="79"/>
        <v>10.540706638115632</v>
      </c>
      <c r="AG320" s="576">
        <f t="shared" si="79"/>
        <v>10.980706638115635</v>
      </c>
      <c r="AH320" s="576">
        <f t="shared" si="79"/>
        <v>13.875565310492505</v>
      </c>
      <c r="AI320" s="576">
        <f t="shared" si="79"/>
        <v>14.054989293361881</v>
      </c>
      <c r="AJ320" s="576">
        <f t="shared" si="79"/>
        <v>14.038407593361882</v>
      </c>
      <c r="AK320" s="3"/>
      <c r="AL320" s="3"/>
    </row>
    <row r="321" spans="1:38" s="28" customFormat="1" ht="17" x14ac:dyDescent="0.4">
      <c r="A321" s="694" t="s">
        <v>554</v>
      </c>
      <c r="B321" s="1474" t="s">
        <v>1390</v>
      </c>
      <c r="C321" s="565" t="e">
        <f t="shared" ref="C321:AA321" si="80">C63*C282</f>
        <v>#VALUE!</v>
      </c>
      <c r="D321" s="565" t="e">
        <f t="shared" si="80"/>
        <v>#VALUE!</v>
      </c>
      <c r="E321" s="565" t="e">
        <f t="shared" si="80"/>
        <v>#VALUE!</v>
      </c>
      <c r="F321" s="565" t="e">
        <f t="shared" si="80"/>
        <v>#VALUE!</v>
      </c>
      <c r="G321" s="565" t="e">
        <f t="shared" si="80"/>
        <v>#VALUE!</v>
      </c>
      <c r="H321" s="565" t="e">
        <f t="shared" si="80"/>
        <v>#VALUE!</v>
      </c>
      <c r="I321" s="565" t="e">
        <f t="shared" si="80"/>
        <v>#VALUE!</v>
      </c>
      <c r="J321" s="565" t="e">
        <f t="shared" si="80"/>
        <v>#VALUE!</v>
      </c>
      <c r="K321" s="565" t="e">
        <f t="shared" si="80"/>
        <v>#VALUE!</v>
      </c>
      <c r="L321" s="565" t="e">
        <f t="shared" si="80"/>
        <v>#VALUE!</v>
      </c>
      <c r="M321" s="565" t="e">
        <f t="shared" si="80"/>
        <v>#VALUE!</v>
      </c>
      <c r="N321" s="565" t="e">
        <f t="shared" si="80"/>
        <v>#VALUE!</v>
      </c>
      <c r="O321" s="565" t="e">
        <f t="shared" si="80"/>
        <v>#VALUE!</v>
      </c>
      <c r="P321" s="565" t="e">
        <f t="shared" si="80"/>
        <v>#VALUE!</v>
      </c>
      <c r="Q321" s="565" t="e">
        <f t="shared" si="80"/>
        <v>#VALUE!</v>
      </c>
      <c r="R321" s="565" t="e">
        <f t="shared" si="80"/>
        <v>#VALUE!</v>
      </c>
      <c r="S321" s="565" t="e">
        <f t="shared" si="80"/>
        <v>#VALUE!</v>
      </c>
      <c r="T321" s="565" t="e">
        <f t="shared" si="80"/>
        <v>#VALUE!</v>
      </c>
      <c r="U321" s="565" t="e">
        <f t="shared" si="80"/>
        <v>#VALUE!</v>
      </c>
      <c r="V321" s="565" t="e">
        <f t="shared" si="80"/>
        <v>#VALUE!</v>
      </c>
      <c r="W321" s="565" t="e">
        <f t="shared" si="80"/>
        <v>#VALUE!</v>
      </c>
      <c r="X321" s="565">
        <f t="shared" si="80"/>
        <v>6.4775160599571731</v>
      </c>
      <c r="Y321" s="565">
        <f t="shared" si="80"/>
        <v>7.7730192719486082</v>
      </c>
      <c r="Z321" s="565">
        <f t="shared" si="80"/>
        <v>7.7730192719486091</v>
      </c>
      <c r="AA321" s="565">
        <f t="shared" si="80"/>
        <v>7.7730192719486082</v>
      </c>
      <c r="AB321" s="576">
        <f>(AB63-AB472)*AB282+AB474</f>
        <v>3.4410064239828695</v>
      </c>
      <c r="AC321" s="576">
        <f t="shared" ref="AC321:AJ321" si="81">AC63*AC282</f>
        <v>7.7730192719486055</v>
      </c>
      <c r="AD321" s="576">
        <f t="shared" si="81"/>
        <v>7.7730192719486082</v>
      </c>
      <c r="AE321" s="576">
        <f t="shared" si="81"/>
        <v>7.7730192719486082</v>
      </c>
      <c r="AF321" s="576">
        <f t="shared" si="81"/>
        <v>7.7730192719486082</v>
      </c>
      <c r="AG321" s="576">
        <f t="shared" si="81"/>
        <v>7.7730192719486082</v>
      </c>
      <c r="AH321" s="576">
        <f t="shared" si="81"/>
        <v>7.7730192719486082</v>
      </c>
      <c r="AI321" s="576">
        <f t="shared" si="81"/>
        <v>7.7730192719486091</v>
      </c>
      <c r="AJ321" s="576">
        <f t="shared" si="81"/>
        <v>7.7730192719486073</v>
      </c>
      <c r="AK321" s="3"/>
      <c r="AL321" s="3"/>
    </row>
    <row r="322" spans="1:38" s="28" customFormat="1" ht="17" x14ac:dyDescent="0.4">
      <c r="A322" s="1240" t="s">
        <v>547</v>
      </c>
      <c r="B322" s="1474" t="s">
        <v>1390</v>
      </c>
      <c r="C322" s="565">
        <f t="shared" ref="C322:AA322" si="82">C59*C283</f>
        <v>9.8875561027837247</v>
      </c>
      <c r="D322" s="565">
        <f t="shared" si="82"/>
        <v>9.8875561027837282</v>
      </c>
      <c r="E322" s="565">
        <f t="shared" si="82"/>
        <v>9.8875561027837282</v>
      </c>
      <c r="F322" s="565">
        <f t="shared" si="82"/>
        <v>9.8875561027837264</v>
      </c>
      <c r="G322" s="565">
        <f t="shared" si="82"/>
        <v>9.8875561027837264</v>
      </c>
      <c r="H322" s="565">
        <f t="shared" si="82"/>
        <v>9.8875561027837282</v>
      </c>
      <c r="I322" s="565">
        <f t="shared" si="82"/>
        <v>9.8875561027837264</v>
      </c>
      <c r="J322" s="565">
        <f t="shared" si="82"/>
        <v>9.8875561027837264</v>
      </c>
      <c r="K322" s="565">
        <f t="shared" si="82"/>
        <v>9.8875561027837264</v>
      </c>
      <c r="L322" s="565">
        <f t="shared" si="82"/>
        <v>9.8875561027837282</v>
      </c>
      <c r="M322" s="565">
        <f t="shared" si="82"/>
        <v>9.8875561027837247</v>
      </c>
      <c r="N322" s="565">
        <f t="shared" si="82"/>
        <v>9.8875561027837282</v>
      </c>
      <c r="O322" s="565">
        <f t="shared" si="82"/>
        <v>9.8875561027837264</v>
      </c>
      <c r="P322" s="565">
        <f t="shared" si="82"/>
        <v>9.8875561027837264</v>
      </c>
      <c r="Q322" s="565">
        <f t="shared" si="82"/>
        <v>9.8875561027837282</v>
      </c>
      <c r="R322" s="565">
        <f t="shared" si="82"/>
        <v>9.8875561027837264</v>
      </c>
      <c r="S322" s="565">
        <f t="shared" si="82"/>
        <v>9.8875561027837264</v>
      </c>
      <c r="T322" s="565">
        <f t="shared" si="82"/>
        <v>9.8875561027837282</v>
      </c>
      <c r="U322" s="565">
        <f t="shared" si="82"/>
        <v>9.8875561027837264</v>
      </c>
      <c r="V322" s="565">
        <f t="shared" si="82"/>
        <v>9.8875561027837247</v>
      </c>
      <c r="W322" s="565">
        <f t="shared" si="82"/>
        <v>9.8875561027837264</v>
      </c>
      <c r="X322" s="565">
        <f t="shared" si="82"/>
        <v>9.8875561027837264</v>
      </c>
      <c r="Y322" s="565">
        <f t="shared" si="82"/>
        <v>12.359445128479656</v>
      </c>
      <c r="Z322" s="565">
        <f t="shared" si="82"/>
        <v>12.359445128479656</v>
      </c>
      <c r="AA322" s="565">
        <f t="shared" si="82"/>
        <v>12.359445128479656</v>
      </c>
      <c r="AB322" s="576">
        <f t="shared" ref="AB322:AJ322" si="83">(AB59-AB463)*AB283+AB477</f>
        <v>10.615667077087792</v>
      </c>
      <c r="AC322" s="576">
        <f t="shared" si="83"/>
        <v>8.2437780513918639</v>
      </c>
      <c r="AD322" s="576">
        <f t="shared" si="83"/>
        <v>7.4437780513918632</v>
      </c>
      <c r="AE322" s="576">
        <f t="shared" si="83"/>
        <v>8.1437780513918625</v>
      </c>
      <c r="AF322" s="576">
        <f t="shared" si="83"/>
        <v>6.7237780513918626</v>
      </c>
      <c r="AG322" s="576">
        <f t="shared" si="83"/>
        <v>6.5437780513918646</v>
      </c>
      <c r="AH322" s="576">
        <f t="shared" si="83"/>
        <v>9.4096670770877946</v>
      </c>
      <c r="AI322" s="576">
        <f t="shared" si="83"/>
        <v>11.487556102783724</v>
      </c>
      <c r="AJ322" s="576">
        <f t="shared" si="83"/>
        <v>10.807630002783725</v>
      </c>
      <c r="AK322" s="3"/>
      <c r="AL322" s="3"/>
    </row>
    <row r="323" spans="1:38" s="28" customFormat="1" ht="17" x14ac:dyDescent="0.4">
      <c r="A323" s="578" t="s">
        <v>807</v>
      </c>
      <c r="B323" s="1474" t="s">
        <v>1390</v>
      </c>
      <c r="C323" s="552">
        <f>C317+C322</f>
        <v>84.535675398036346</v>
      </c>
      <c r="D323" s="592">
        <f t="shared" ref="D323" si="84">D317+D322</f>
        <v>84.535675398036361</v>
      </c>
      <c r="E323" s="592">
        <f t="shared" ref="E323" si="85">E317+E322</f>
        <v>84.535675398036361</v>
      </c>
      <c r="F323" s="592">
        <f t="shared" ref="F323" si="86">F317+F322</f>
        <v>82.597899448910113</v>
      </c>
      <c r="G323" s="592">
        <f t="shared" ref="G323" si="87">G317+G322</f>
        <v>80.660123499783822</v>
      </c>
      <c r="H323" s="592">
        <f t="shared" ref="H323" si="88">H317+H322</f>
        <v>78.722347550657602</v>
      </c>
      <c r="I323" s="592">
        <f t="shared" ref="I323" si="89">I317+I322</f>
        <v>76.784571601531354</v>
      </c>
      <c r="J323" s="592">
        <f t="shared" ref="J323" si="90">J317+J322</f>
        <v>74.846795652405092</v>
      </c>
      <c r="K323" s="592">
        <f t="shared" ref="K323" si="91">K317+K322</f>
        <v>72.90901970327883</v>
      </c>
      <c r="L323" s="592">
        <f t="shared" ref="L323" si="92">L317+L322</f>
        <v>70.971243754152596</v>
      </c>
      <c r="M323" s="592">
        <f t="shared" ref="M323" si="93">M317+M322</f>
        <v>69.033467805026348</v>
      </c>
      <c r="N323" s="592">
        <f t="shared" ref="N323" si="94">N317+N322</f>
        <v>67.095691855900085</v>
      </c>
      <c r="O323" s="592">
        <f t="shared" ref="O323" si="95">O317+O322</f>
        <v>65.157915906773852</v>
      </c>
      <c r="P323" s="592">
        <f t="shared" ref="P323" si="96">P317+P322</f>
        <v>63.220139957647582</v>
      </c>
      <c r="Q323" s="592">
        <f t="shared" ref="Q323" si="97">Q317+Q322</f>
        <v>61.282364008521327</v>
      </c>
      <c r="R323" s="592">
        <f t="shared" ref="R323" si="98">R317+R322</f>
        <v>59.344588059395072</v>
      </c>
      <c r="S323" s="592">
        <f t="shared" ref="S323" si="99">S317+S322</f>
        <v>57.406812110268817</v>
      </c>
      <c r="T323" s="592">
        <f t="shared" ref="T323" si="100">T317+T322</f>
        <v>55.469036161142562</v>
      </c>
      <c r="U323" s="592">
        <f t="shared" ref="U323" si="101">U317+U322</f>
        <v>53.531260212016313</v>
      </c>
      <c r="V323" s="592">
        <f t="shared" ref="V323" si="102">V317+V322</f>
        <v>51.593484262890051</v>
      </c>
      <c r="W323" s="592">
        <f t="shared" ref="W323" si="103">W317+W322</f>
        <v>49.655708313763803</v>
      </c>
      <c r="X323" s="592">
        <f>X318+X319+X320+X321+X322</f>
        <v>43.83562890792291</v>
      </c>
      <c r="Y323" s="592">
        <f t="shared" ref="Y323" si="104">Y318+Y319+Y320+Y321+Y322</f>
        <v>49.487389453961448</v>
      </c>
      <c r="Z323" s="592">
        <f t="shared" ref="Z323" si="105">Z318+Z319+Z320+Z321+Z322</f>
        <v>49.487389453961448</v>
      </c>
      <c r="AA323" s="592">
        <f t="shared" ref="AA323" si="106">AA318+AA319+AA320+AA321+AA322</f>
        <v>49.487389453961448</v>
      </c>
      <c r="AB323" s="592">
        <f t="shared" ref="AB323" si="107">AB318+AB319+AB320+AB321+AB322</f>
        <v>35.87476771948608</v>
      </c>
      <c r="AC323" s="592">
        <f t="shared" ref="AC323" si="108">AC318+AC319+AC320+AC321+AC322</f>
        <v>32.591240578158455</v>
      </c>
      <c r="AD323" s="592">
        <f t="shared" ref="AD323" si="109">AD318+AD319+AD320+AD321+AD322</f>
        <v>30.142240578158454</v>
      </c>
      <c r="AE323" s="592">
        <f t="shared" ref="AE323" si="110">AE318+AE319+AE320+AE321+AE322</f>
        <v>30.431040578158452</v>
      </c>
      <c r="AF323" s="592">
        <f t="shared" ref="AF323" si="111">AF318+AF319+AF320+AF321+AF322</f>
        <v>29.006240578158454</v>
      </c>
      <c r="AG323" s="592">
        <f t="shared" ref="AG323" si="112">AG318+AG319+AG320+AG321+AG322</f>
        <v>29.466240578158462</v>
      </c>
      <c r="AH323" s="592">
        <f t="shared" ref="AH323" si="113">AH318+AH319+AH320+AH321+AH322</f>
        <v>37.311356584582441</v>
      </c>
      <c r="AI323" s="592">
        <f t="shared" ref="AI323" si="114">AI318+AI319+AI320+AI321+AI322</f>
        <v>42.353037901498922</v>
      </c>
      <c r="AJ323" s="592">
        <f t="shared" ref="AJ323" si="115">AJ318+AJ319+AJ320+AJ321+AJ322</f>
        <v>43.756530101498925</v>
      </c>
      <c r="AK323" s="3"/>
      <c r="AL323" s="3"/>
    </row>
    <row r="324" spans="1:38" s="28" customFormat="1" x14ac:dyDescent="0.4">
      <c r="A324" s="647" t="s">
        <v>1063</v>
      </c>
      <c r="B324" s="581"/>
      <c r="C324" s="89"/>
      <c r="D324" s="89"/>
      <c r="E324" s="89"/>
      <c r="F324" s="89"/>
      <c r="G324" s="89"/>
      <c r="H324" s="89"/>
      <c r="I324" s="89"/>
      <c r="J324" s="89"/>
      <c r="K324" s="89"/>
      <c r="L324" s="89"/>
      <c r="M324" s="89"/>
      <c r="N324" s="89"/>
      <c r="O324" s="89"/>
      <c r="P324" s="89"/>
      <c r="Q324" s="89"/>
      <c r="R324" s="89"/>
      <c r="S324" s="89"/>
      <c r="T324" s="89"/>
      <c r="U324" s="89"/>
      <c r="V324" s="89"/>
      <c r="W324" s="89"/>
      <c r="X324" s="89"/>
      <c r="Y324" s="89"/>
      <c r="Z324" s="89"/>
      <c r="AA324" s="89"/>
      <c r="AB324" s="89"/>
      <c r="AC324" s="89"/>
      <c r="AD324" s="89"/>
      <c r="AE324" s="89"/>
      <c r="AF324" s="89"/>
      <c r="AG324" s="89"/>
      <c r="AH324" s="89"/>
      <c r="AI324" s="89"/>
      <c r="AJ324" s="89"/>
      <c r="AK324" s="3"/>
      <c r="AL324" s="3"/>
    </row>
    <row r="325" spans="1:38" s="28" customFormat="1" x14ac:dyDescent="0.4">
      <c r="A325" s="581"/>
      <c r="B325" s="581"/>
      <c r="C325" s="89"/>
      <c r="D325" s="89"/>
      <c r="E325" s="89"/>
      <c r="F325" s="89"/>
      <c r="G325" s="89"/>
      <c r="H325" s="89"/>
      <c r="I325" s="89"/>
      <c r="J325" s="89"/>
      <c r="K325" s="89"/>
      <c r="L325" s="89"/>
      <c r="M325" s="89"/>
      <c r="N325" s="89"/>
      <c r="O325" s="89"/>
      <c r="P325" s="89"/>
      <c r="Q325" s="89"/>
      <c r="R325" s="89"/>
      <c r="S325" s="89"/>
      <c r="T325" s="89"/>
      <c r="U325" s="89"/>
      <c r="V325" s="89"/>
      <c r="W325" s="89"/>
      <c r="X325" s="89"/>
      <c r="Y325" s="89"/>
      <c r="Z325" s="89"/>
      <c r="AA325" s="89"/>
      <c r="AB325" s="89"/>
      <c r="AC325" s="89"/>
      <c r="AD325" s="89"/>
      <c r="AE325" s="89"/>
      <c r="AF325" s="89"/>
      <c r="AG325" s="89"/>
      <c r="AH325" s="89"/>
      <c r="AI325" s="89"/>
      <c r="AJ325" s="89"/>
      <c r="AK325" s="3"/>
      <c r="AL325" s="3"/>
    </row>
    <row r="326" spans="1:38" s="28" customFormat="1" ht="17" x14ac:dyDescent="0.4">
      <c r="A326" s="1397" t="s">
        <v>1527</v>
      </c>
      <c r="B326" s="581"/>
      <c r="C326" s="89"/>
      <c r="D326" s="89"/>
      <c r="E326" s="89"/>
      <c r="F326" s="89"/>
      <c r="G326" s="89"/>
      <c r="H326" s="89"/>
      <c r="I326" s="89"/>
      <c r="J326" s="89"/>
      <c r="K326" s="89"/>
      <c r="L326" s="89"/>
      <c r="M326" s="89"/>
      <c r="N326" s="89"/>
      <c r="O326" s="89"/>
      <c r="P326" s="89"/>
      <c r="Q326" s="89"/>
      <c r="R326" s="89"/>
      <c r="S326" s="89"/>
      <c r="T326" s="89"/>
      <c r="U326" s="89"/>
      <c r="V326" s="89"/>
      <c r="W326" s="89"/>
      <c r="X326" s="89"/>
      <c r="Y326" s="89"/>
      <c r="Z326" s="89"/>
      <c r="AA326" s="89"/>
      <c r="AB326" s="89"/>
      <c r="AC326" s="89"/>
      <c r="AD326" s="89"/>
      <c r="AE326" s="89"/>
      <c r="AF326" s="89"/>
      <c r="AG326" s="89"/>
      <c r="AH326" s="89"/>
      <c r="AI326" s="89"/>
      <c r="AJ326" s="89"/>
      <c r="AK326" s="3"/>
      <c r="AL326" s="3"/>
    </row>
    <row r="327" spans="1:38" s="28" customFormat="1" ht="17" x14ac:dyDescent="0.4">
      <c r="A327" s="1397" t="s">
        <v>1528</v>
      </c>
      <c r="B327" s="581"/>
      <c r="C327" s="89"/>
      <c r="D327" s="89"/>
      <c r="E327" s="89"/>
      <c r="F327" s="89"/>
      <c r="G327" s="89"/>
      <c r="H327" s="89"/>
      <c r="I327" s="89"/>
      <c r="J327" s="89"/>
      <c r="K327" s="89"/>
      <c r="L327" s="89"/>
      <c r="M327" s="89"/>
      <c r="N327" s="89"/>
      <c r="O327" s="89"/>
      <c r="P327" s="89"/>
      <c r="Q327" s="89"/>
      <c r="R327" s="89"/>
      <c r="S327" s="89"/>
      <c r="T327" s="89"/>
      <c r="U327" s="89"/>
      <c r="V327" s="89"/>
      <c r="W327" s="89"/>
      <c r="X327" s="89"/>
      <c r="Y327" s="89"/>
      <c r="Z327" s="89"/>
      <c r="AA327" s="89"/>
      <c r="AB327" s="89"/>
      <c r="AC327" s="89"/>
      <c r="AD327" s="89"/>
      <c r="AE327" s="89"/>
      <c r="AF327" s="89"/>
      <c r="AG327" s="89"/>
      <c r="AH327" s="89"/>
      <c r="AI327" s="89"/>
      <c r="AJ327" s="89"/>
      <c r="AK327" s="3"/>
      <c r="AL327" s="3"/>
    </row>
    <row r="328" spans="1:38" s="28" customFormat="1" ht="17" x14ac:dyDescent="0.4">
      <c r="A328" s="1397" t="s">
        <v>1529</v>
      </c>
      <c r="B328" s="581"/>
      <c r="C328" s="89"/>
      <c r="D328" s="89"/>
      <c r="E328" s="89"/>
      <c r="F328" s="89"/>
      <c r="G328" s="89"/>
      <c r="H328" s="89"/>
      <c r="I328" s="89"/>
      <c r="J328" s="89"/>
      <c r="K328" s="89"/>
      <c r="L328" s="89"/>
      <c r="M328" s="89"/>
      <c r="N328" s="89"/>
      <c r="O328" s="89"/>
      <c r="P328" s="89"/>
      <c r="Q328" s="89"/>
      <c r="R328" s="89"/>
      <c r="S328" s="89"/>
      <c r="T328" s="89"/>
      <c r="U328" s="89"/>
      <c r="V328" s="89"/>
      <c r="W328" s="89"/>
      <c r="X328" s="89"/>
      <c r="Y328" s="89"/>
      <c r="Z328" s="89"/>
      <c r="AA328" s="89"/>
      <c r="AB328" s="89"/>
      <c r="AC328" s="89"/>
      <c r="AD328" s="89"/>
      <c r="AE328" s="89"/>
      <c r="AF328" s="89"/>
      <c r="AG328" s="89"/>
      <c r="AH328" s="89"/>
      <c r="AI328" s="89"/>
      <c r="AJ328" s="89"/>
      <c r="AK328" s="3"/>
      <c r="AL328" s="3"/>
    </row>
    <row r="329" spans="1:38" s="28" customFormat="1" ht="17" x14ac:dyDescent="0.4">
      <c r="A329" s="1397" t="s">
        <v>1530</v>
      </c>
      <c r="B329" s="581"/>
      <c r="C329" s="89"/>
      <c r="D329" s="89"/>
      <c r="E329" s="89"/>
      <c r="F329" s="89"/>
      <c r="G329" s="89"/>
      <c r="H329" s="89"/>
      <c r="I329" s="89"/>
      <c r="J329" s="89"/>
      <c r="K329" s="89"/>
      <c r="L329" s="89"/>
      <c r="M329" s="89"/>
      <c r="N329" s="89"/>
      <c r="O329" s="89"/>
      <c r="P329" s="89"/>
      <c r="Q329" s="89"/>
      <c r="R329" s="89"/>
      <c r="S329" s="89"/>
      <c r="T329" s="89"/>
      <c r="U329" s="89"/>
      <c r="V329" s="89"/>
      <c r="W329" s="89"/>
      <c r="X329" s="89"/>
      <c r="Y329" s="89"/>
      <c r="Z329" s="89"/>
      <c r="AA329" s="89"/>
      <c r="AB329" s="89"/>
      <c r="AC329" s="89"/>
      <c r="AD329" s="89"/>
      <c r="AE329" s="89"/>
      <c r="AF329" s="89"/>
      <c r="AG329" s="89"/>
      <c r="AH329" s="89"/>
      <c r="AI329" s="89"/>
      <c r="AJ329" s="89"/>
      <c r="AK329" s="3"/>
      <c r="AL329" s="3"/>
    </row>
    <row r="330" spans="1:38" s="28" customFormat="1" ht="17" x14ac:dyDescent="0.4">
      <c r="A330" s="1397" t="s">
        <v>1531</v>
      </c>
      <c r="B330" s="581"/>
      <c r="C330" s="89"/>
      <c r="D330" s="89"/>
      <c r="E330" s="89"/>
      <c r="F330" s="89"/>
      <c r="G330" s="89"/>
      <c r="H330" s="89"/>
      <c r="I330" s="89"/>
      <c r="J330" s="89"/>
      <c r="K330" s="89"/>
      <c r="L330" s="89"/>
      <c r="M330" s="89"/>
      <c r="N330" s="89"/>
      <c r="O330" s="89"/>
      <c r="P330" s="89"/>
      <c r="Q330" s="89"/>
      <c r="R330" s="89"/>
      <c r="S330" s="89"/>
      <c r="T330" s="89"/>
      <c r="U330" s="89"/>
      <c r="V330" s="89"/>
      <c r="W330" s="89"/>
      <c r="X330" s="89"/>
      <c r="Y330" s="89"/>
      <c r="Z330" s="89"/>
      <c r="AA330" s="89"/>
      <c r="AB330" s="89"/>
      <c r="AC330" s="89"/>
      <c r="AD330" s="89"/>
      <c r="AE330" s="89"/>
      <c r="AF330" s="89"/>
      <c r="AG330" s="89"/>
      <c r="AH330" s="89"/>
      <c r="AI330" s="89"/>
      <c r="AJ330" s="89"/>
      <c r="AK330" s="3"/>
      <c r="AL330" s="3"/>
    </row>
    <row r="331" spans="1:38" s="28" customFormat="1" x14ac:dyDescent="0.4">
      <c r="A331" s="684"/>
      <c r="B331" s="581"/>
      <c r="C331" s="89"/>
      <c r="D331" s="89"/>
      <c r="E331" s="89"/>
      <c r="F331" s="89"/>
      <c r="G331" s="89"/>
      <c r="H331" s="89"/>
      <c r="I331" s="89"/>
      <c r="J331" s="89"/>
      <c r="K331" s="89"/>
      <c r="L331" s="89"/>
      <c r="M331" s="89"/>
      <c r="N331" s="89"/>
      <c r="O331" s="89"/>
      <c r="P331" s="89"/>
      <c r="Q331" s="89"/>
      <c r="R331" s="89"/>
      <c r="S331" s="89"/>
      <c r="T331" s="89"/>
      <c r="U331" s="89"/>
      <c r="V331" s="89"/>
      <c r="W331" s="89"/>
      <c r="X331" s="89"/>
      <c r="Y331" s="89"/>
      <c r="Z331" s="89"/>
      <c r="AA331" s="89"/>
      <c r="AB331" s="89"/>
      <c r="AC331" s="89"/>
      <c r="AD331" s="89"/>
      <c r="AE331" s="89"/>
      <c r="AF331" s="89"/>
      <c r="AG331" s="89"/>
      <c r="AH331" s="89"/>
      <c r="AI331" s="89"/>
      <c r="AJ331" s="89"/>
      <c r="AK331" s="3"/>
      <c r="AL331" s="3"/>
    </row>
    <row r="332" spans="1:38" s="28" customFormat="1" ht="17" x14ac:dyDescent="0.45">
      <c r="A332" s="88" t="s">
        <v>1526</v>
      </c>
      <c r="B332" s="581"/>
      <c r="C332" s="89"/>
      <c r="D332" s="89"/>
      <c r="E332" s="89"/>
      <c r="F332" s="89"/>
      <c r="G332" s="89"/>
      <c r="H332" s="89"/>
      <c r="I332" s="89"/>
      <c r="J332" s="89"/>
      <c r="K332" s="89"/>
      <c r="L332" s="89"/>
      <c r="M332" s="89"/>
      <c r="N332" s="89"/>
      <c r="O332" s="89"/>
      <c r="P332" s="89"/>
      <c r="Q332" s="89"/>
      <c r="R332" s="89"/>
      <c r="S332" s="89"/>
      <c r="T332" s="89"/>
      <c r="U332" s="89"/>
      <c r="V332" s="89"/>
      <c r="W332" s="89"/>
      <c r="X332" s="89"/>
      <c r="Y332" s="89"/>
      <c r="Z332" s="89"/>
      <c r="AA332" s="89"/>
      <c r="AB332" s="89"/>
      <c r="AC332" s="89"/>
      <c r="AD332" s="89"/>
      <c r="AE332" s="89"/>
      <c r="AF332" s="89"/>
      <c r="AG332" s="89"/>
      <c r="AH332" s="89"/>
      <c r="AI332" s="89"/>
      <c r="AJ332" s="89"/>
      <c r="AK332" s="3"/>
      <c r="AL332" s="3"/>
    </row>
    <row r="333" spans="1:38" s="28" customFormat="1" x14ac:dyDescent="0.4">
      <c r="A333" s="90" t="s">
        <v>809</v>
      </c>
      <c r="B333" s="1140" t="s">
        <v>136</v>
      </c>
      <c r="C333" s="1159" t="s">
        <v>391</v>
      </c>
      <c r="D333" s="1159" t="s">
        <v>392</v>
      </c>
      <c r="E333" s="1159" t="s">
        <v>393</v>
      </c>
      <c r="F333" s="1159" t="s">
        <v>394</v>
      </c>
      <c r="G333" s="1159" t="s">
        <v>395</v>
      </c>
      <c r="H333" s="1159" t="s">
        <v>396</v>
      </c>
      <c r="I333" s="1159" t="s">
        <v>397</v>
      </c>
      <c r="J333" s="1159" t="s">
        <v>398</v>
      </c>
      <c r="K333" s="1159" t="s">
        <v>399</v>
      </c>
      <c r="L333" s="1159" t="s">
        <v>400</v>
      </c>
      <c r="M333" s="1159" t="s">
        <v>401</v>
      </c>
      <c r="N333" s="1159" t="s">
        <v>402</v>
      </c>
      <c r="O333" s="1159" t="s">
        <v>403</v>
      </c>
      <c r="P333" s="1159" t="s">
        <v>404</v>
      </c>
      <c r="Q333" s="1159" t="s">
        <v>405</v>
      </c>
      <c r="R333" s="1159" t="s">
        <v>406</v>
      </c>
      <c r="S333" s="1159" t="s">
        <v>407</v>
      </c>
      <c r="T333" s="1159" t="s">
        <v>408</v>
      </c>
      <c r="U333" s="1159" t="s">
        <v>409</v>
      </c>
      <c r="V333" s="1159" t="s">
        <v>410</v>
      </c>
      <c r="W333" s="1159" t="s">
        <v>411</v>
      </c>
      <c r="X333" s="1159" t="s">
        <v>412</v>
      </c>
      <c r="Y333" s="1159" t="s">
        <v>413</v>
      </c>
      <c r="Z333" s="1159" t="s">
        <v>414</v>
      </c>
      <c r="AA333" s="1159" t="s">
        <v>415</v>
      </c>
      <c r="AB333" s="1159" t="s">
        <v>416</v>
      </c>
      <c r="AC333" s="1159" t="s">
        <v>417</v>
      </c>
      <c r="AD333" s="1159" t="s">
        <v>418</v>
      </c>
      <c r="AE333" s="1159" t="s">
        <v>419</v>
      </c>
      <c r="AF333" s="1159" t="s">
        <v>420</v>
      </c>
      <c r="AG333" s="987" t="s">
        <v>421</v>
      </c>
      <c r="AH333" s="987" t="s">
        <v>422</v>
      </c>
      <c r="AI333" s="987" t="s">
        <v>423</v>
      </c>
      <c r="AJ333" s="987" t="s">
        <v>424</v>
      </c>
      <c r="AK333" s="3"/>
      <c r="AL333" s="3"/>
    </row>
    <row r="334" spans="1:38" s="28" customFormat="1" ht="17" x14ac:dyDescent="0.4">
      <c r="A334" s="709" t="s">
        <v>552</v>
      </c>
      <c r="B334" s="1474" t="s">
        <v>1390</v>
      </c>
      <c r="C334" s="565">
        <f t="shared" ref="C334:AJ334" si="116">C74*C288</f>
        <v>12.50903552762313</v>
      </c>
      <c r="D334" s="565">
        <f t="shared" si="116"/>
        <v>12.509035527623126</v>
      </c>
      <c r="E334" s="565">
        <f t="shared" si="116"/>
        <v>12.509035527623126</v>
      </c>
      <c r="F334" s="565">
        <f t="shared" si="116"/>
        <v>12.413951249571753</v>
      </c>
      <c r="G334" s="565">
        <f t="shared" si="116"/>
        <v>12.318866971520375</v>
      </c>
      <c r="H334" s="565">
        <f t="shared" si="116"/>
        <v>12.223782693469003</v>
      </c>
      <c r="I334" s="565">
        <f t="shared" si="116"/>
        <v>12.128698415417629</v>
      </c>
      <c r="J334" s="565">
        <f t="shared" si="116"/>
        <v>12.033614137366254</v>
      </c>
      <c r="K334" s="565">
        <f t="shared" si="116"/>
        <v>11.938529859314876</v>
      </c>
      <c r="L334" s="565">
        <f t="shared" si="116"/>
        <v>11.843445581263506</v>
      </c>
      <c r="M334" s="565">
        <f t="shared" si="116"/>
        <v>11.748361303212127</v>
      </c>
      <c r="N334" s="565">
        <f t="shared" si="116"/>
        <v>11.653277025160754</v>
      </c>
      <c r="O334" s="565">
        <f t="shared" si="116"/>
        <v>11.558192747109377</v>
      </c>
      <c r="P334" s="565">
        <f t="shared" si="116"/>
        <v>11.463108469058001</v>
      </c>
      <c r="Q334" s="565">
        <f t="shared" si="116"/>
        <v>11.368024191006626</v>
      </c>
      <c r="R334" s="565">
        <f t="shared" si="116"/>
        <v>11.272939912955252</v>
      </c>
      <c r="S334" s="565">
        <f t="shared" si="116"/>
        <v>11.177855634903878</v>
      </c>
      <c r="T334" s="565">
        <f t="shared" si="116"/>
        <v>11.082771356852501</v>
      </c>
      <c r="U334" s="565">
        <f t="shared" si="116"/>
        <v>10.987687078801132</v>
      </c>
      <c r="V334" s="565">
        <f t="shared" si="116"/>
        <v>10.892602800749756</v>
      </c>
      <c r="W334" s="565">
        <f t="shared" si="116"/>
        <v>10.797518522698377</v>
      </c>
      <c r="X334" s="1244">
        <f t="shared" si="116"/>
        <v>13.29934843636282</v>
      </c>
      <c r="Y334" s="1244">
        <f t="shared" si="116"/>
        <v>13.823014516744683</v>
      </c>
      <c r="Z334" s="1244">
        <f t="shared" si="116"/>
        <v>13.042675722621237</v>
      </c>
      <c r="AA334" s="1244">
        <f t="shared" si="116"/>
        <v>3.3442190578032913</v>
      </c>
      <c r="AB334" s="1244">
        <f t="shared" si="116"/>
        <v>3.100163690476184</v>
      </c>
      <c r="AC334" s="1244">
        <f t="shared" si="116"/>
        <v>2.8934158566221115</v>
      </c>
      <c r="AD334" s="1244">
        <f t="shared" si="116"/>
        <v>3.9140746238445452</v>
      </c>
      <c r="AE334" s="1244">
        <f t="shared" si="116"/>
        <v>2.6773638102910033</v>
      </c>
      <c r="AF334" s="1244">
        <f t="shared" si="116"/>
        <v>2.6335590633792756</v>
      </c>
      <c r="AG334" s="1244">
        <f t="shared" si="116"/>
        <v>2.5705368647100904</v>
      </c>
      <c r="AH334" s="1244">
        <f t="shared" si="116"/>
        <v>2.4459368206835923</v>
      </c>
      <c r="AI334" s="1244">
        <f t="shared" si="116"/>
        <v>2.5234325285420174</v>
      </c>
      <c r="AJ334" s="1244">
        <f t="shared" si="116"/>
        <v>2.2403050213418956</v>
      </c>
      <c r="AK334" s="3"/>
      <c r="AL334" s="3"/>
    </row>
    <row r="335" spans="1:38" s="28" customFormat="1" ht="17" x14ac:dyDescent="0.4">
      <c r="A335" s="1394" t="s">
        <v>562</v>
      </c>
      <c r="B335" s="1474" t="s">
        <v>1390</v>
      </c>
      <c r="C335" s="565" t="e">
        <f t="shared" ref="C335:AJ335" si="117">C75*C289</f>
        <v>#VALUE!</v>
      </c>
      <c r="D335" s="565" t="e">
        <f t="shared" si="117"/>
        <v>#VALUE!</v>
      </c>
      <c r="E335" s="565" t="e">
        <f t="shared" si="117"/>
        <v>#VALUE!</v>
      </c>
      <c r="F335" s="565" t="e">
        <f t="shared" si="117"/>
        <v>#VALUE!</v>
      </c>
      <c r="G335" s="565" t="e">
        <f t="shared" si="117"/>
        <v>#VALUE!</v>
      </c>
      <c r="H335" s="565" t="e">
        <f t="shared" si="117"/>
        <v>#VALUE!</v>
      </c>
      <c r="I335" s="565" t="e">
        <f t="shared" si="117"/>
        <v>#VALUE!</v>
      </c>
      <c r="J335" s="565" t="e">
        <f t="shared" si="117"/>
        <v>#VALUE!</v>
      </c>
      <c r="K335" s="565" t="e">
        <f t="shared" si="117"/>
        <v>#VALUE!</v>
      </c>
      <c r="L335" s="565" t="e">
        <f t="shared" si="117"/>
        <v>#VALUE!</v>
      </c>
      <c r="M335" s="565" t="e">
        <f t="shared" si="117"/>
        <v>#VALUE!</v>
      </c>
      <c r="N335" s="565" t="e">
        <f t="shared" si="117"/>
        <v>#VALUE!</v>
      </c>
      <c r="O335" s="565" t="e">
        <f t="shared" si="117"/>
        <v>#VALUE!</v>
      </c>
      <c r="P335" s="565" t="e">
        <f t="shared" si="117"/>
        <v>#VALUE!</v>
      </c>
      <c r="Q335" s="565" t="e">
        <f t="shared" si="117"/>
        <v>#VALUE!</v>
      </c>
      <c r="R335" s="565" t="e">
        <f t="shared" si="117"/>
        <v>#VALUE!</v>
      </c>
      <c r="S335" s="565" t="e">
        <f t="shared" si="117"/>
        <v>#VALUE!</v>
      </c>
      <c r="T335" s="565" t="e">
        <f t="shared" si="117"/>
        <v>#VALUE!</v>
      </c>
      <c r="U335" s="565" t="e">
        <f t="shared" si="117"/>
        <v>#VALUE!</v>
      </c>
      <c r="V335" s="565" t="e">
        <f t="shared" si="117"/>
        <v>#VALUE!</v>
      </c>
      <c r="W335" s="565" t="e">
        <f t="shared" si="117"/>
        <v>#VALUE!</v>
      </c>
      <c r="X335" s="565">
        <f t="shared" si="117"/>
        <v>0</v>
      </c>
      <c r="Y335" s="565">
        <f t="shared" si="117"/>
        <v>0</v>
      </c>
      <c r="Z335" s="565">
        <f t="shared" si="117"/>
        <v>0</v>
      </c>
      <c r="AA335" s="565">
        <f t="shared" si="117"/>
        <v>0</v>
      </c>
      <c r="AB335" s="565">
        <f t="shared" si="117"/>
        <v>0</v>
      </c>
      <c r="AC335" s="565">
        <f t="shared" si="117"/>
        <v>0</v>
      </c>
      <c r="AD335" s="565">
        <f t="shared" si="117"/>
        <v>0</v>
      </c>
      <c r="AE335" s="565">
        <f t="shared" si="117"/>
        <v>0</v>
      </c>
      <c r="AF335" s="565">
        <f t="shared" si="117"/>
        <v>0</v>
      </c>
      <c r="AG335" s="565">
        <f t="shared" si="117"/>
        <v>0</v>
      </c>
      <c r="AH335" s="565">
        <f t="shared" si="117"/>
        <v>0</v>
      </c>
      <c r="AI335" s="565">
        <f t="shared" si="117"/>
        <v>0</v>
      </c>
      <c r="AJ335" s="565">
        <f t="shared" si="117"/>
        <v>0</v>
      </c>
      <c r="AK335" s="3"/>
      <c r="AL335" s="3"/>
    </row>
    <row r="336" spans="1:38" s="28" customFormat="1" ht="17" x14ac:dyDescent="0.4">
      <c r="A336" s="1394" t="s">
        <v>563</v>
      </c>
      <c r="B336" s="1474" t="s">
        <v>1390</v>
      </c>
      <c r="C336" s="565" t="e">
        <f t="shared" ref="C336:AJ336" si="118">C76*C290</f>
        <v>#VALUE!</v>
      </c>
      <c r="D336" s="565" t="e">
        <f t="shared" si="118"/>
        <v>#VALUE!</v>
      </c>
      <c r="E336" s="565" t="e">
        <f t="shared" si="118"/>
        <v>#VALUE!</v>
      </c>
      <c r="F336" s="565" t="e">
        <f t="shared" si="118"/>
        <v>#VALUE!</v>
      </c>
      <c r="G336" s="565" t="e">
        <f t="shared" si="118"/>
        <v>#VALUE!</v>
      </c>
      <c r="H336" s="565" t="e">
        <f t="shared" si="118"/>
        <v>#VALUE!</v>
      </c>
      <c r="I336" s="565" t="e">
        <f t="shared" si="118"/>
        <v>#VALUE!</v>
      </c>
      <c r="J336" s="565" t="e">
        <f t="shared" si="118"/>
        <v>#VALUE!</v>
      </c>
      <c r="K336" s="565" t="e">
        <f t="shared" si="118"/>
        <v>#VALUE!</v>
      </c>
      <c r="L336" s="565" t="e">
        <f t="shared" si="118"/>
        <v>#VALUE!</v>
      </c>
      <c r="M336" s="565" t="e">
        <f t="shared" si="118"/>
        <v>#VALUE!</v>
      </c>
      <c r="N336" s="565" t="e">
        <f t="shared" si="118"/>
        <v>#VALUE!</v>
      </c>
      <c r="O336" s="565" t="e">
        <f t="shared" si="118"/>
        <v>#VALUE!</v>
      </c>
      <c r="P336" s="565" t="e">
        <f t="shared" si="118"/>
        <v>#VALUE!</v>
      </c>
      <c r="Q336" s="565" t="e">
        <f t="shared" si="118"/>
        <v>#VALUE!</v>
      </c>
      <c r="R336" s="565" t="e">
        <f t="shared" si="118"/>
        <v>#VALUE!</v>
      </c>
      <c r="S336" s="565" t="e">
        <f t="shared" si="118"/>
        <v>#VALUE!</v>
      </c>
      <c r="T336" s="565" t="e">
        <f t="shared" si="118"/>
        <v>#VALUE!</v>
      </c>
      <c r="U336" s="565" t="e">
        <f t="shared" si="118"/>
        <v>#VALUE!</v>
      </c>
      <c r="V336" s="565" t="e">
        <f t="shared" si="118"/>
        <v>#VALUE!</v>
      </c>
      <c r="W336" s="565" t="e">
        <f t="shared" si="118"/>
        <v>#VALUE!</v>
      </c>
      <c r="X336" s="565">
        <f t="shared" si="118"/>
        <v>13.625814388169726</v>
      </c>
      <c r="Y336" s="565">
        <f t="shared" si="118"/>
        <v>14.62076380128374</v>
      </c>
      <c r="Z336" s="565">
        <f t="shared" si="118"/>
        <v>13.646185024477433</v>
      </c>
      <c r="AA336" s="565">
        <f t="shared" si="118"/>
        <v>2.1807464617025087</v>
      </c>
      <c r="AB336" s="565">
        <f t="shared" si="118"/>
        <v>1.740416551977245</v>
      </c>
      <c r="AC336" s="565">
        <f t="shared" si="118"/>
        <v>1.9494788418708233</v>
      </c>
      <c r="AD336" s="565">
        <f t="shared" si="118"/>
        <v>3.2172088637435179</v>
      </c>
      <c r="AE336" s="565">
        <f t="shared" si="118"/>
        <v>2.0170510053390887</v>
      </c>
      <c r="AF336" s="565">
        <f t="shared" si="118"/>
        <v>1.9867627363797056</v>
      </c>
      <c r="AG336" s="565">
        <f t="shared" si="118"/>
        <v>1.9623353678123956</v>
      </c>
      <c r="AH336" s="565">
        <f t="shared" si="118"/>
        <v>1.9387025300149394</v>
      </c>
      <c r="AI336" s="565">
        <f t="shared" si="118"/>
        <v>2.0260981512951206</v>
      </c>
      <c r="AJ336" s="565">
        <f t="shared" si="118"/>
        <v>1.7862539515279212</v>
      </c>
      <c r="AK336" s="3"/>
      <c r="AL336" s="3"/>
    </row>
    <row r="337" spans="1:38" s="28" customFormat="1" ht="17" x14ac:dyDescent="0.4">
      <c r="A337" s="1465" t="s">
        <v>564</v>
      </c>
      <c r="B337" s="1474" t="s">
        <v>1390</v>
      </c>
      <c r="C337" s="565" t="e">
        <f t="shared" ref="C337:AJ337" si="119">C77*C291</f>
        <v>#VALUE!</v>
      </c>
      <c r="D337" s="565" t="e">
        <f t="shared" si="119"/>
        <v>#VALUE!</v>
      </c>
      <c r="E337" s="565" t="e">
        <f t="shared" si="119"/>
        <v>#VALUE!</v>
      </c>
      <c r="F337" s="565" t="e">
        <f t="shared" si="119"/>
        <v>#VALUE!</v>
      </c>
      <c r="G337" s="565" t="e">
        <f t="shared" si="119"/>
        <v>#VALUE!</v>
      </c>
      <c r="H337" s="565" t="e">
        <f t="shared" si="119"/>
        <v>#VALUE!</v>
      </c>
      <c r="I337" s="565" t="e">
        <f t="shared" si="119"/>
        <v>#VALUE!</v>
      </c>
      <c r="J337" s="565" t="e">
        <f t="shared" si="119"/>
        <v>#VALUE!</v>
      </c>
      <c r="K337" s="565" t="e">
        <f t="shared" si="119"/>
        <v>#VALUE!</v>
      </c>
      <c r="L337" s="565" t="e">
        <f t="shared" si="119"/>
        <v>#VALUE!</v>
      </c>
      <c r="M337" s="565" t="e">
        <f t="shared" si="119"/>
        <v>#VALUE!</v>
      </c>
      <c r="N337" s="565" t="e">
        <f t="shared" si="119"/>
        <v>#VALUE!</v>
      </c>
      <c r="O337" s="565" t="e">
        <f t="shared" si="119"/>
        <v>#VALUE!</v>
      </c>
      <c r="P337" s="565" t="e">
        <f t="shared" si="119"/>
        <v>#VALUE!</v>
      </c>
      <c r="Q337" s="565" t="e">
        <f t="shared" si="119"/>
        <v>#VALUE!</v>
      </c>
      <c r="R337" s="565" t="e">
        <f t="shared" si="119"/>
        <v>#VALUE!</v>
      </c>
      <c r="S337" s="565" t="e">
        <f t="shared" si="119"/>
        <v>#VALUE!</v>
      </c>
      <c r="T337" s="565" t="e">
        <f t="shared" si="119"/>
        <v>#VALUE!</v>
      </c>
      <c r="U337" s="565" t="e">
        <f t="shared" si="119"/>
        <v>#VALUE!</v>
      </c>
      <c r="V337" s="565" t="e">
        <f t="shared" si="119"/>
        <v>#VALUE!</v>
      </c>
      <c r="W337" s="565" t="e">
        <f t="shared" si="119"/>
        <v>#VALUE!</v>
      </c>
      <c r="X337" s="565">
        <f t="shared" si="119"/>
        <v>0</v>
      </c>
      <c r="Y337" s="565">
        <f t="shared" si="119"/>
        <v>0</v>
      </c>
      <c r="Z337" s="565">
        <f t="shared" si="119"/>
        <v>0</v>
      </c>
      <c r="AA337" s="565">
        <f t="shared" si="119"/>
        <v>0</v>
      </c>
      <c r="AB337" s="565">
        <f t="shared" si="119"/>
        <v>0</v>
      </c>
      <c r="AC337" s="565">
        <f t="shared" si="119"/>
        <v>0</v>
      </c>
      <c r="AD337" s="565">
        <f t="shared" si="119"/>
        <v>0</v>
      </c>
      <c r="AE337" s="565">
        <f t="shared" si="119"/>
        <v>0</v>
      </c>
      <c r="AF337" s="565">
        <f t="shared" si="119"/>
        <v>0</v>
      </c>
      <c r="AG337" s="565">
        <f t="shared" si="119"/>
        <v>0</v>
      </c>
      <c r="AH337" s="565">
        <f t="shared" si="119"/>
        <v>0</v>
      </c>
      <c r="AI337" s="565">
        <f t="shared" si="119"/>
        <v>0</v>
      </c>
      <c r="AJ337" s="565">
        <f t="shared" si="119"/>
        <v>0</v>
      </c>
      <c r="AK337" s="3"/>
      <c r="AL337" s="3"/>
    </row>
    <row r="338" spans="1:38" s="28" customFormat="1" ht="17" x14ac:dyDescent="0.4">
      <c r="A338" s="644" t="s">
        <v>115</v>
      </c>
      <c r="B338" s="1474" t="s">
        <v>1390</v>
      </c>
      <c r="C338" s="552">
        <f>C334</f>
        <v>12.50903552762313</v>
      </c>
      <c r="D338" s="592">
        <f t="shared" ref="D338:W338" si="120">D334</f>
        <v>12.509035527623126</v>
      </c>
      <c r="E338" s="592">
        <f t="shared" si="120"/>
        <v>12.509035527623126</v>
      </c>
      <c r="F338" s="592">
        <f t="shared" si="120"/>
        <v>12.413951249571753</v>
      </c>
      <c r="G338" s="592">
        <f t="shared" si="120"/>
        <v>12.318866971520375</v>
      </c>
      <c r="H338" s="592">
        <f t="shared" si="120"/>
        <v>12.223782693469003</v>
      </c>
      <c r="I338" s="592">
        <f t="shared" si="120"/>
        <v>12.128698415417629</v>
      </c>
      <c r="J338" s="592">
        <f t="shared" si="120"/>
        <v>12.033614137366254</v>
      </c>
      <c r="K338" s="592">
        <f t="shared" si="120"/>
        <v>11.938529859314876</v>
      </c>
      <c r="L338" s="592">
        <f t="shared" si="120"/>
        <v>11.843445581263506</v>
      </c>
      <c r="M338" s="592">
        <f t="shared" si="120"/>
        <v>11.748361303212127</v>
      </c>
      <c r="N338" s="592">
        <f t="shared" si="120"/>
        <v>11.653277025160754</v>
      </c>
      <c r="O338" s="592">
        <f t="shared" si="120"/>
        <v>11.558192747109377</v>
      </c>
      <c r="P338" s="592">
        <f t="shared" si="120"/>
        <v>11.463108469058001</v>
      </c>
      <c r="Q338" s="592">
        <f t="shared" si="120"/>
        <v>11.368024191006626</v>
      </c>
      <c r="R338" s="592">
        <f t="shared" si="120"/>
        <v>11.272939912955252</v>
      </c>
      <c r="S338" s="592">
        <f t="shared" si="120"/>
        <v>11.177855634903878</v>
      </c>
      <c r="T338" s="592">
        <f t="shared" si="120"/>
        <v>11.082771356852501</v>
      </c>
      <c r="U338" s="592">
        <f t="shared" si="120"/>
        <v>10.987687078801132</v>
      </c>
      <c r="V338" s="592">
        <f t="shared" si="120"/>
        <v>10.892602800749756</v>
      </c>
      <c r="W338" s="592">
        <f t="shared" si="120"/>
        <v>10.797518522698377</v>
      </c>
      <c r="X338" s="592">
        <f>X335+X336+X337</f>
        <v>13.625814388169726</v>
      </c>
      <c r="Y338" s="592">
        <f t="shared" ref="Y338:AJ338" si="121">Y335+Y336+Y337</f>
        <v>14.62076380128374</v>
      </c>
      <c r="Z338" s="592">
        <f t="shared" si="121"/>
        <v>13.646185024477433</v>
      </c>
      <c r="AA338" s="592">
        <f t="shared" si="121"/>
        <v>2.1807464617025087</v>
      </c>
      <c r="AB338" s="592">
        <f t="shared" si="121"/>
        <v>1.740416551977245</v>
      </c>
      <c r="AC338" s="592">
        <f t="shared" si="121"/>
        <v>1.9494788418708233</v>
      </c>
      <c r="AD338" s="592">
        <f t="shared" si="121"/>
        <v>3.2172088637435179</v>
      </c>
      <c r="AE338" s="592">
        <f t="shared" si="121"/>
        <v>2.0170510053390887</v>
      </c>
      <c r="AF338" s="592">
        <f t="shared" si="121"/>
        <v>1.9867627363797056</v>
      </c>
      <c r="AG338" s="592">
        <f t="shared" si="121"/>
        <v>1.9623353678123956</v>
      </c>
      <c r="AH338" s="592">
        <f t="shared" si="121"/>
        <v>1.9387025300149394</v>
      </c>
      <c r="AI338" s="592">
        <f t="shared" si="121"/>
        <v>2.0260981512951206</v>
      </c>
      <c r="AJ338" s="592">
        <f t="shared" si="121"/>
        <v>1.7862539515279212</v>
      </c>
      <c r="AK338" s="3"/>
      <c r="AL338" s="3"/>
    </row>
    <row r="339" spans="1:38" s="28" customFormat="1" x14ac:dyDescent="0.4">
      <c r="A339" s="647" t="s">
        <v>1063</v>
      </c>
      <c r="B339" s="660"/>
      <c r="C339" s="89"/>
      <c r="D339" s="89"/>
      <c r="E339" s="89"/>
      <c r="F339" s="89"/>
      <c r="G339" s="89"/>
      <c r="H339" s="89"/>
      <c r="I339" s="89"/>
      <c r="J339" s="89"/>
      <c r="K339" s="89"/>
      <c r="L339" s="89"/>
      <c r="M339" s="89"/>
      <c r="N339" s="89"/>
      <c r="O339" s="89"/>
      <c r="P339" s="89"/>
      <c r="Q339" s="89"/>
      <c r="R339" s="89"/>
      <c r="S339" s="89"/>
      <c r="T339" s="89"/>
      <c r="U339" s="89"/>
      <c r="V339" s="89"/>
      <c r="W339" s="89"/>
      <c r="X339" s="89"/>
      <c r="Y339" s="89"/>
      <c r="Z339" s="89"/>
      <c r="AA339" s="89"/>
      <c r="AB339" s="89"/>
      <c r="AC339" s="89"/>
      <c r="AD339" s="89"/>
      <c r="AE339" s="89"/>
      <c r="AF339" s="89"/>
      <c r="AG339" s="89"/>
      <c r="AH339" s="89"/>
      <c r="AI339" s="89"/>
      <c r="AJ339" s="89"/>
      <c r="AK339" s="3"/>
      <c r="AL339" s="3"/>
    </row>
    <row r="340" spans="1:38" s="28" customFormat="1" x14ac:dyDescent="0.4">
      <c r="A340" s="581"/>
      <c r="B340" s="660"/>
      <c r="C340" s="89"/>
      <c r="D340" s="89"/>
      <c r="E340" s="89"/>
      <c r="F340" s="89"/>
      <c r="G340" s="89"/>
      <c r="H340" s="89"/>
      <c r="I340" s="89"/>
      <c r="J340" s="89"/>
      <c r="K340" s="89"/>
      <c r="L340" s="89"/>
      <c r="M340" s="89"/>
      <c r="N340" s="89"/>
      <c r="O340" s="89"/>
      <c r="P340" s="89"/>
      <c r="Q340" s="89"/>
      <c r="R340" s="89"/>
      <c r="S340" s="89"/>
      <c r="T340" s="89"/>
      <c r="U340" s="89"/>
      <c r="V340" s="89"/>
      <c r="W340" s="89"/>
      <c r="X340" s="89"/>
      <c r="Y340" s="89"/>
      <c r="Z340" s="89"/>
      <c r="AA340" s="89"/>
      <c r="AB340" s="89"/>
      <c r="AC340" s="89"/>
      <c r="AD340" s="89"/>
      <c r="AE340" s="89"/>
      <c r="AF340" s="89"/>
      <c r="AG340" s="89"/>
      <c r="AH340" s="89"/>
      <c r="AI340" s="89"/>
      <c r="AJ340" s="89"/>
      <c r="AK340" s="3"/>
      <c r="AL340" s="3"/>
    </row>
    <row r="341" spans="1:38" s="28" customFormat="1" x14ac:dyDescent="0.4">
      <c r="A341" s="660" t="s">
        <v>561</v>
      </c>
      <c r="B341" s="581"/>
      <c r="C341" s="89"/>
      <c r="D341" s="89"/>
      <c r="E341" s="89"/>
      <c r="F341" s="89"/>
      <c r="G341" s="89"/>
      <c r="H341" s="89"/>
      <c r="I341" s="89"/>
      <c r="J341" s="89"/>
      <c r="K341" s="89"/>
      <c r="L341" s="89"/>
      <c r="M341" s="89"/>
      <c r="N341" s="89"/>
      <c r="O341" s="89"/>
      <c r="P341" s="89"/>
      <c r="Q341" s="89"/>
      <c r="R341" s="89"/>
      <c r="S341" s="89"/>
      <c r="T341" s="89"/>
      <c r="U341" s="89"/>
      <c r="V341" s="89"/>
      <c r="W341" s="89"/>
      <c r="X341" s="89"/>
      <c r="Y341" s="89"/>
      <c r="Z341" s="89"/>
      <c r="AA341" s="89"/>
      <c r="AB341" s="89"/>
      <c r="AC341" s="89"/>
      <c r="AD341" s="89"/>
      <c r="AE341" s="89"/>
      <c r="AF341" s="89"/>
      <c r="AG341" s="89"/>
      <c r="AH341" s="89"/>
      <c r="AI341" s="89"/>
      <c r="AJ341" s="89"/>
      <c r="AK341" s="3"/>
      <c r="AL341" s="3"/>
    </row>
    <row r="342" spans="1:38" s="28" customFormat="1" x14ac:dyDescent="0.4">
      <c r="A342" s="581"/>
      <c r="AK342" s="3"/>
      <c r="AL342" s="3"/>
    </row>
    <row r="343" spans="1:38" s="28" customFormat="1" ht="17" x14ac:dyDescent="0.45">
      <c r="A343" s="88" t="s">
        <v>1532</v>
      </c>
      <c r="AK343" s="3"/>
      <c r="AL343" s="3"/>
    </row>
    <row r="344" spans="1:38" s="28" customFormat="1" x14ac:dyDescent="0.4">
      <c r="A344" s="90" t="s">
        <v>811</v>
      </c>
      <c r="B344" s="1140" t="s">
        <v>136</v>
      </c>
      <c r="C344" s="1159" t="s">
        <v>391</v>
      </c>
      <c r="D344" s="1159" t="s">
        <v>392</v>
      </c>
      <c r="E344" s="1159" t="s">
        <v>393</v>
      </c>
      <c r="F344" s="1159" t="s">
        <v>394</v>
      </c>
      <c r="G344" s="1159" t="s">
        <v>395</v>
      </c>
      <c r="H344" s="1159" t="s">
        <v>396</v>
      </c>
      <c r="I344" s="1159" t="s">
        <v>397</v>
      </c>
      <c r="J344" s="1159" t="s">
        <v>398</v>
      </c>
      <c r="K344" s="1159" t="s">
        <v>399</v>
      </c>
      <c r="L344" s="1159" t="s">
        <v>400</v>
      </c>
      <c r="M344" s="1159" t="s">
        <v>401</v>
      </c>
      <c r="N344" s="1159" t="s">
        <v>402</v>
      </c>
      <c r="O344" s="1159" t="s">
        <v>403</v>
      </c>
      <c r="P344" s="1159" t="s">
        <v>404</v>
      </c>
      <c r="Q344" s="1159" t="s">
        <v>405</v>
      </c>
      <c r="R344" s="1159" t="s">
        <v>406</v>
      </c>
      <c r="S344" s="1159" t="s">
        <v>407</v>
      </c>
      <c r="T344" s="1159" t="s">
        <v>408</v>
      </c>
      <c r="U344" s="1159" t="s">
        <v>409</v>
      </c>
      <c r="V344" s="1159" t="s">
        <v>410</v>
      </c>
      <c r="W344" s="1159" t="s">
        <v>411</v>
      </c>
      <c r="X344" s="1159" t="s">
        <v>412</v>
      </c>
      <c r="Y344" s="1159" t="s">
        <v>413</v>
      </c>
      <c r="Z344" s="1159" t="s">
        <v>414</v>
      </c>
      <c r="AA344" s="1159" t="s">
        <v>415</v>
      </c>
      <c r="AB344" s="1159" t="s">
        <v>416</v>
      </c>
      <c r="AC344" s="1159" t="s">
        <v>417</v>
      </c>
      <c r="AD344" s="1159" t="s">
        <v>418</v>
      </c>
      <c r="AE344" s="1159" t="s">
        <v>419</v>
      </c>
      <c r="AF344" s="1159" t="s">
        <v>420</v>
      </c>
      <c r="AG344" s="987" t="s">
        <v>421</v>
      </c>
      <c r="AH344" s="987" t="s">
        <v>422</v>
      </c>
      <c r="AI344" s="987" t="s">
        <v>423</v>
      </c>
      <c r="AJ344" s="987" t="s">
        <v>424</v>
      </c>
      <c r="AK344" s="3"/>
      <c r="AL344" s="3"/>
    </row>
    <row r="345" spans="1:38" s="28" customFormat="1" ht="17" x14ac:dyDescent="0.4">
      <c r="A345" s="643" t="s">
        <v>183</v>
      </c>
      <c r="B345" s="1474" t="s">
        <v>1390</v>
      </c>
      <c r="C345" s="565">
        <f t="shared" ref="C345:AJ345" si="122">0*C296</f>
        <v>0</v>
      </c>
      <c r="D345" s="565">
        <f t="shared" si="122"/>
        <v>0</v>
      </c>
      <c r="E345" s="565">
        <f t="shared" si="122"/>
        <v>0</v>
      </c>
      <c r="F345" s="565">
        <f t="shared" si="122"/>
        <v>0</v>
      </c>
      <c r="G345" s="565">
        <f t="shared" si="122"/>
        <v>0</v>
      </c>
      <c r="H345" s="565">
        <f t="shared" si="122"/>
        <v>0</v>
      </c>
      <c r="I345" s="565">
        <f t="shared" si="122"/>
        <v>0</v>
      </c>
      <c r="J345" s="565">
        <f t="shared" si="122"/>
        <v>0</v>
      </c>
      <c r="K345" s="565">
        <f t="shared" si="122"/>
        <v>0</v>
      </c>
      <c r="L345" s="565">
        <f t="shared" si="122"/>
        <v>0</v>
      </c>
      <c r="M345" s="565">
        <f t="shared" si="122"/>
        <v>0</v>
      </c>
      <c r="N345" s="565">
        <f t="shared" si="122"/>
        <v>0</v>
      </c>
      <c r="O345" s="565">
        <f t="shared" si="122"/>
        <v>0</v>
      </c>
      <c r="P345" s="565">
        <f t="shared" si="122"/>
        <v>0</v>
      </c>
      <c r="Q345" s="565">
        <f t="shared" si="122"/>
        <v>0</v>
      </c>
      <c r="R345" s="565">
        <f t="shared" si="122"/>
        <v>0</v>
      </c>
      <c r="S345" s="565">
        <f t="shared" si="122"/>
        <v>0</v>
      </c>
      <c r="T345" s="565">
        <f t="shared" si="122"/>
        <v>0</v>
      </c>
      <c r="U345" s="565">
        <f t="shared" si="122"/>
        <v>0</v>
      </c>
      <c r="V345" s="565">
        <f t="shared" si="122"/>
        <v>0</v>
      </c>
      <c r="W345" s="565">
        <f t="shared" si="122"/>
        <v>0</v>
      </c>
      <c r="X345" s="565">
        <f t="shared" si="122"/>
        <v>0</v>
      </c>
      <c r="Y345" s="565">
        <f t="shared" si="122"/>
        <v>0</v>
      </c>
      <c r="Z345" s="565">
        <f t="shared" si="122"/>
        <v>0</v>
      </c>
      <c r="AA345" s="565">
        <f t="shared" si="122"/>
        <v>0</v>
      </c>
      <c r="AB345" s="565">
        <f t="shared" si="122"/>
        <v>0</v>
      </c>
      <c r="AC345" s="565">
        <f t="shared" si="122"/>
        <v>0</v>
      </c>
      <c r="AD345" s="565">
        <f t="shared" si="122"/>
        <v>0</v>
      </c>
      <c r="AE345" s="565">
        <f t="shared" si="122"/>
        <v>0</v>
      </c>
      <c r="AF345" s="565">
        <f t="shared" si="122"/>
        <v>0</v>
      </c>
      <c r="AG345" s="565">
        <f t="shared" si="122"/>
        <v>0</v>
      </c>
      <c r="AH345" s="565">
        <f t="shared" si="122"/>
        <v>0</v>
      </c>
      <c r="AI345" s="565">
        <f t="shared" si="122"/>
        <v>0</v>
      </c>
      <c r="AJ345" s="565">
        <f t="shared" si="122"/>
        <v>0</v>
      </c>
      <c r="AK345" s="3"/>
      <c r="AL345" s="3"/>
    </row>
    <row r="346" spans="1:38" s="28" customFormat="1" ht="17" x14ac:dyDescent="0.4">
      <c r="A346" s="645" t="s">
        <v>185</v>
      </c>
      <c r="B346" s="1474" t="s">
        <v>1390</v>
      </c>
      <c r="C346" s="565">
        <f t="shared" ref="C346:AJ346" si="123">C86*C297</f>
        <v>51.67584942571829</v>
      </c>
      <c r="D346" s="565">
        <f t="shared" si="123"/>
        <v>51.67584942571829</v>
      </c>
      <c r="E346" s="565">
        <f t="shared" si="123"/>
        <v>51.675849425718297</v>
      </c>
      <c r="F346" s="565">
        <f t="shared" si="123"/>
        <v>51.675849425718297</v>
      </c>
      <c r="G346" s="565">
        <f t="shared" si="123"/>
        <v>51.675849425718297</v>
      </c>
      <c r="H346" s="565">
        <f t="shared" si="123"/>
        <v>51.675849425718297</v>
      </c>
      <c r="I346" s="565">
        <f t="shared" si="123"/>
        <v>51.675849425718297</v>
      </c>
      <c r="J346" s="565">
        <f t="shared" si="123"/>
        <v>51.675849425718305</v>
      </c>
      <c r="K346" s="565">
        <f t="shared" si="123"/>
        <v>51.675849425718297</v>
      </c>
      <c r="L346" s="565">
        <f t="shared" si="123"/>
        <v>51.675849425718297</v>
      </c>
      <c r="M346" s="565">
        <f t="shared" si="123"/>
        <v>54.546729949369301</v>
      </c>
      <c r="N346" s="565">
        <f t="shared" si="123"/>
        <v>54.546729949369322</v>
      </c>
      <c r="O346" s="565">
        <f t="shared" si="123"/>
        <v>54.546729949369293</v>
      </c>
      <c r="P346" s="565">
        <f t="shared" si="123"/>
        <v>54.546729949369315</v>
      </c>
      <c r="Q346" s="565">
        <f t="shared" si="123"/>
        <v>54.546729949369315</v>
      </c>
      <c r="R346" s="565">
        <f t="shared" si="123"/>
        <v>54.546729949369315</v>
      </c>
      <c r="S346" s="565">
        <f t="shared" si="123"/>
        <v>54.546729949369315</v>
      </c>
      <c r="T346" s="565">
        <f t="shared" si="123"/>
        <v>54.546729949369315</v>
      </c>
      <c r="U346" s="565">
        <f t="shared" si="123"/>
        <v>54.546729949369315</v>
      </c>
      <c r="V346" s="565">
        <f t="shared" si="123"/>
        <v>54.546729949369315</v>
      </c>
      <c r="W346" s="565">
        <f t="shared" si="123"/>
        <v>54.546729949369315</v>
      </c>
      <c r="X346" s="565">
        <f t="shared" si="123"/>
        <v>54.546729949369315</v>
      </c>
      <c r="Y346" s="565">
        <f t="shared" si="123"/>
        <v>54.546729949369322</v>
      </c>
      <c r="Z346" s="565">
        <f t="shared" si="123"/>
        <v>54.546729949369322</v>
      </c>
      <c r="AA346" s="565">
        <f t="shared" si="123"/>
        <v>54.546729949369322</v>
      </c>
      <c r="AB346" s="565">
        <f t="shared" si="123"/>
        <v>54.546729949369322</v>
      </c>
      <c r="AC346" s="565">
        <f t="shared" si="123"/>
        <v>54.546729949369315</v>
      </c>
      <c r="AD346" s="565">
        <f t="shared" si="123"/>
        <v>54.546729949369301</v>
      </c>
      <c r="AE346" s="565">
        <f t="shared" si="123"/>
        <v>54.546729949369315</v>
      </c>
      <c r="AF346" s="565">
        <f t="shared" si="123"/>
        <v>54.546729949369322</v>
      </c>
      <c r="AG346" s="565">
        <f t="shared" si="123"/>
        <v>54.546729949369322</v>
      </c>
      <c r="AH346" s="565">
        <f t="shared" si="123"/>
        <v>54.546729949369315</v>
      </c>
      <c r="AI346" s="565">
        <f t="shared" si="123"/>
        <v>54.546729949369301</v>
      </c>
      <c r="AJ346" s="565">
        <f t="shared" si="123"/>
        <v>54.546729949369315</v>
      </c>
      <c r="AK346" s="3"/>
      <c r="AL346" s="3"/>
    </row>
    <row r="347" spans="1:38" s="28" customFormat="1" x14ac:dyDescent="0.4">
      <c r="A347" s="647" t="s">
        <v>1063</v>
      </c>
      <c r="B347" s="581"/>
      <c r="C347" s="89"/>
      <c r="D347" s="89"/>
      <c r="E347" s="89"/>
      <c r="F347" s="89"/>
      <c r="G347" s="89"/>
      <c r="H347" s="89"/>
      <c r="I347" s="89"/>
      <c r="J347" s="89"/>
      <c r="K347" s="89"/>
      <c r="L347" s="89"/>
      <c r="M347" s="89"/>
      <c r="N347" s="89"/>
      <c r="O347" s="89"/>
      <c r="P347" s="89"/>
      <c r="Q347" s="89"/>
      <c r="R347" s="89"/>
      <c r="S347" s="89"/>
      <c r="T347" s="89"/>
      <c r="U347" s="89"/>
      <c r="V347" s="89"/>
      <c r="W347" s="89"/>
      <c r="X347" s="89"/>
      <c r="Y347" s="89"/>
      <c r="Z347" s="89"/>
      <c r="AA347" s="89"/>
      <c r="AB347" s="89"/>
      <c r="AC347" s="89"/>
      <c r="AD347" s="89"/>
      <c r="AE347" s="89"/>
      <c r="AF347" s="89"/>
      <c r="AG347" s="89"/>
      <c r="AH347" s="89"/>
      <c r="AI347" s="89"/>
      <c r="AJ347" s="89"/>
      <c r="AK347" s="3"/>
      <c r="AL347" s="3"/>
    </row>
    <row r="348" spans="1:38" s="28" customFormat="1" x14ac:dyDescent="0.4">
      <c r="A348" s="581"/>
      <c r="B348" s="581"/>
      <c r="C348" s="89"/>
      <c r="D348" s="89"/>
      <c r="E348" s="89"/>
      <c r="F348" s="89"/>
      <c r="G348" s="89"/>
      <c r="H348" s="89"/>
      <c r="I348" s="89"/>
      <c r="J348" s="89"/>
      <c r="K348" s="89"/>
      <c r="L348" s="89"/>
      <c r="M348" s="89"/>
      <c r="N348" s="89"/>
      <c r="O348" s="89"/>
      <c r="P348" s="89"/>
      <c r="Q348" s="89"/>
      <c r="R348" s="89"/>
      <c r="S348" s="89"/>
      <c r="T348" s="89"/>
      <c r="U348" s="89"/>
      <c r="V348" s="89"/>
      <c r="W348" s="89"/>
      <c r="X348" s="89"/>
      <c r="Y348" s="89"/>
      <c r="Z348" s="89"/>
      <c r="AA348" s="89"/>
      <c r="AB348" s="89"/>
      <c r="AC348" s="89"/>
      <c r="AD348" s="89"/>
      <c r="AE348" s="89"/>
      <c r="AF348" s="89"/>
      <c r="AG348" s="89"/>
      <c r="AH348" s="89"/>
      <c r="AI348" s="89"/>
      <c r="AJ348" s="89"/>
      <c r="AK348" s="3"/>
      <c r="AL348" s="3"/>
    </row>
    <row r="349" spans="1:38" s="28" customFormat="1" ht="17" x14ac:dyDescent="0.4">
      <c r="A349" s="1397" t="s">
        <v>1533</v>
      </c>
      <c r="B349" s="581"/>
      <c r="C349" s="89"/>
      <c r="D349" s="89"/>
      <c r="E349" s="89"/>
      <c r="F349" s="89"/>
      <c r="G349" s="89"/>
      <c r="H349" s="89"/>
      <c r="I349" s="89"/>
      <c r="J349" s="89"/>
      <c r="K349" s="89"/>
      <c r="L349" s="89"/>
      <c r="M349" s="89"/>
      <c r="N349" s="89"/>
      <c r="O349" s="89"/>
      <c r="P349" s="89"/>
      <c r="Q349" s="89"/>
      <c r="R349" s="89"/>
      <c r="S349" s="89"/>
      <c r="T349" s="89"/>
      <c r="U349" s="89"/>
      <c r="V349" s="89"/>
      <c r="W349" s="89"/>
      <c r="X349" s="89"/>
      <c r="Y349" s="89"/>
      <c r="Z349" s="89"/>
      <c r="AA349" s="89"/>
      <c r="AB349" s="89"/>
      <c r="AC349" s="89"/>
      <c r="AD349" s="89"/>
      <c r="AE349" s="89"/>
      <c r="AF349" s="89"/>
      <c r="AG349" s="89"/>
      <c r="AH349" s="89"/>
      <c r="AI349" s="89"/>
      <c r="AJ349" s="89"/>
      <c r="AK349" s="3"/>
      <c r="AL349" s="3"/>
    </row>
    <row r="350" spans="1:38" s="28" customFormat="1" x14ac:dyDescent="0.4">
      <c r="A350" s="581"/>
      <c r="B350" s="581"/>
      <c r="C350" s="89"/>
      <c r="D350" s="89"/>
      <c r="E350" s="89"/>
      <c r="F350" s="89"/>
      <c r="G350" s="89"/>
      <c r="H350" s="89"/>
      <c r="I350" s="89"/>
      <c r="J350" s="89"/>
      <c r="K350" s="89"/>
      <c r="L350" s="89"/>
      <c r="M350" s="89"/>
      <c r="N350" s="89"/>
      <c r="O350" s="89"/>
      <c r="P350" s="89"/>
      <c r="Q350" s="89"/>
      <c r="R350" s="89"/>
      <c r="S350" s="89"/>
      <c r="T350" s="89"/>
      <c r="U350" s="89"/>
      <c r="V350" s="89"/>
      <c r="W350" s="89"/>
      <c r="X350" s="89"/>
      <c r="Y350" s="89"/>
      <c r="Z350" s="89"/>
      <c r="AA350" s="89"/>
      <c r="AB350" s="89"/>
      <c r="AC350" s="89"/>
      <c r="AD350" s="89"/>
      <c r="AE350" s="89"/>
      <c r="AF350" s="89"/>
      <c r="AG350" s="89"/>
      <c r="AH350" s="89"/>
      <c r="AI350" s="89"/>
      <c r="AJ350" s="89"/>
      <c r="AK350" s="3"/>
      <c r="AL350" s="3"/>
    </row>
    <row r="351" spans="1:38" s="28" customFormat="1" ht="17" x14ac:dyDescent="0.45">
      <c r="A351" s="88" t="s">
        <v>1534</v>
      </c>
      <c r="B351" s="581"/>
      <c r="C351" s="89"/>
      <c r="D351" s="89"/>
      <c r="E351" s="89"/>
      <c r="F351" s="89"/>
      <c r="G351" s="89"/>
      <c r="H351" s="89"/>
      <c r="I351" s="89"/>
      <c r="J351" s="89"/>
      <c r="K351" s="89"/>
      <c r="L351" s="89"/>
      <c r="M351" s="89"/>
      <c r="N351" s="89"/>
      <c r="O351" s="89"/>
      <c r="P351" s="89"/>
      <c r="Q351" s="89"/>
      <c r="R351" s="89"/>
      <c r="S351" s="89"/>
      <c r="T351" s="89"/>
      <c r="U351" s="89"/>
      <c r="V351" s="89"/>
      <c r="W351" s="89"/>
      <c r="X351" s="89"/>
      <c r="Y351" s="89"/>
      <c r="Z351" s="89"/>
      <c r="AA351" s="89"/>
      <c r="AB351" s="89"/>
      <c r="AC351" s="89"/>
      <c r="AD351" s="89"/>
      <c r="AE351" s="89"/>
      <c r="AF351" s="89"/>
      <c r="AG351" s="89"/>
      <c r="AH351" s="89"/>
      <c r="AI351" s="89"/>
      <c r="AJ351" s="89"/>
      <c r="AK351" s="3"/>
      <c r="AL351" s="3"/>
    </row>
    <row r="352" spans="1:38" s="28" customFormat="1" x14ac:dyDescent="0.4">
      <c r="A352" s="90" t="s">
        <v>812</v>
      </c>
      <c r="B352" s="1140" t="s">
        <v>136</v>
      </c>
      <c r="C352" s="1159" t="s">
        <v>391</v>
      </c>
      <c r="D352" s="1159" t="s">
        <v>392</v>
      </c>
      <c r="E352" s="1159" t="s">
        <v>393</v>
      </c>
      <c r="F352" s="1159" t="s">
        <v>394</v>
      </c>
      <c r="G352" s="1159" t="s">
        <v>395</v>
      </c>
      <c r="H352" s="1159" t="s">
        <v>396</v>
      </c>
      <c r="I352" s="1159" t="s">
        <v>397</v>
      </c>
      <c r="J352" s="1159" t="s">
        <v>398</v>
      </c>
      <c r="K352" s="1159" t="s">
        <v>399</v>
      </c>
      <c r="L352" s="1159" t="s">
        <v>400</v>
      </c>
      <c r="M352" s="1159" t="s">
        <v>401</v>
      </c>
      <c r="N352" s="1159" t="s">
        <v>402</v>
      </c>
      <c r="O352" s="1159" t="s">
        <v>403</v>
      </c>
      <c r="P352" s="1159" t="s">
        <v>404</v>
      </c>
      <c r="Q352" s="1159" t="s">
        <v>405</v>
      </c>
      <c r="R352" s="1159" t="s">
        <v>406</v>
      </c>
      <c r="S352" s="1159" t="s">
        <v>407</v>
      </c>
      <c r="T352" s="1159" t="s">
        <v>408</v>
      </c>
      <c r="U352" s="1159" t="s">
        <v>409</v>
      </c>
      <c r="V352" s="1159" t="s">
        <v>410</v>
      </c>
      <c r="W352" s="1159" t="s">
        <v>411</v>
      </c>
      <c r="X352" s="1159" t="s">
        <v>412</v>
      </c>
      <c r="Y352" s="1159" t="s">
        <v>413</v>
      </c>
      <c r="Z352" s="1159" t="s">
        <v>414</v>
      </c>
      <c r="AA352" s="1159" t="s">
        <v>415</v>
      </c>
      <c r="AB352" s="1159" t="s">
        <v>416</v>
      </c>
      <c r="AC352" s="1159" t="s">
        <v>417</v>
      </c>
      <c r="AD352" s="1159" t="s">
        <v>418</v>
      </c>
      <c r="AE352" s="1159" t="s">
        <v>419</v>
      </c>
      <c r="AF352" s="1159" t="s">
        <v>420</v>
      </c>
      <c r="AG352" s="987" t="s">
        <v>421</v>
      </c>
      <c r="AH352" s="987" t="s">
        <v>422</v>
      </c>
      <c r="AI352" s="987" t="s">
        <v>423</v>
      </c>
      <c r="AJ352" s="987" t="s">
        <v>424</v>
      </c>
      <c r="AK352" s="3"/>
      <c r="AL352" s="3"/>
    </row>
    <row r="353" spans="1:38" s="28" customFormat="1" ht="17" x14ac:dyDescent="0.4">
      <c r="A353" s="698" t="s">
        <v>187</v>
      </c>
      <c r="B353" s="1474" t="s">
        <v>1390</v>
      </c>
      <c r="C353" s="565">
        <f t="shared" ref="C353:Z353" si="124">(C94-C488)*C302</f>
        <v>0</v>
      </c>
      <c r="D353" s="565">
        <f t="shared" si="124"/>
        <v>0</v>
      </c>
      <c r="E353" s="565">
        <f t="shared" si="124"/>
        <v>0</v>
      </c>
      <c r="F353" s="565">
        <f t="shared" si="124"/>
        <v>0</v>
      </c>
      <c r="G353" s="565">
        <f t="shared" si="124"/>
        <v>0</v>
      </c>
      <c r="H353" s="565">
        <f t="shared" si="124"/>
        <v>0</v>
      </c>
      <c r="I353" s="565">
        <f t="shared" si="124"/>
        <v>0</v>
      </c>
      <c r="J353" s="565">
        <f t="shared" si="124"/>
        <v>0</v>
      </c>
      <c r="K353" s="565">
        <f t="shared" si="124"/>
        <v>0</v>
      </c>
      <c r="L353" s="565">
        <f t="shared" si="124"/>
        <v>0</v>
      </c>
      <c r="M353" s="565">
        <f t="shared" si="124"/>
        <v>0</v>
      </c>
      <c r="N353" s="565">
        <f t="shared" si="124"/>
        <v>0</v>
      </c>
      <c r="O353" s="565">
        <f t="shared" si="124"/>
        <v>0</v>
      </c>
      <c r="P353" s="565">
        <f t="shared" si="124"/>
        <v>0</v>
      </c>
      <c r="Q353" s="565">
        <f t="shared" si="124"/>
        <v>0</v>
      </c>
      <c r="R353" s="565">
        <f t="shared" si="124"/>
        <v>0</v>
      </c>
      <c r="S353" s="565">
        <f t="shared" si="124"/>
        <v>0</v>
      </c>
      <c r="T353" s="565">
        <f t="shared" si="124"/>
        <v>0</v>
      </c>
      <c r="U353" s="565">
        <f t="shared" si="124"/>
        <v>8528.0923076923082</v>
      </c>
      <c r="V353" s="565">
        <f t="shared" si="124"/>
        <v>8528.0923076923082</v>
      </c>
      <c r="W353" s="565">
        <f t="shared" si="124"/>
        <v>17056.184615384616</v>
      </c>
      <c r="X353" s="565">
        <f t="shared" si="124"/>
        <v>0</v>
      </c>
      <c r="Y353" s="565">
        <f t="shared" si="124"/>
        <v>0</v>
      </c>
      <c r="Z353" s="565">
        <f t="shared" si="124"/>
        <v>0</v>
      </c>
      <c r="AA353" s="576">
        <f t="shared" ref="AA353:AJ353" si="125">(AA94-AA488)*AA302+(AA487+AA490)</f>
        <v>0</v>
      </c>
      <c r="AB353" s="576">
        <f t="shared" si="125"/>
        <v>8528.09230769231</v>
      </c>
      <c r="AC353" s="576">
        <f t="shared" si="125"/>
        <v>8528.0923076923082</v>
      </c>
      <c r="AD353" s="576">
        <f t="shared" si="125"/>
        <v>0</v>
      </c>
      <c r="AE353" s="576">
        <f t="shared" si="125"/>
        <v>0</v>
      </c>
      <c r="AF353" s="576">
        <f t="shared" si="125"/>
        <v>3108.2333333333336</v>
      </c>
      <c r="AG353" s="576">
        <f t="shared" si="125"/>
        <v>0</v>
      </c>
      <c r="AH353" s="576">
        <f t="shared" si="125"/>
        <v>0</v>
      </c>
      <c r="AI353" s="576">
        <f t="shared" si="125"/>
        <v>969.98571428571415</v>
      </c>
      <c r="AJ353" s="576">
        <f t="shared" si="125"/>
        <v>0</v>
      </c>
      <c r="AK353" s="3"/>
      <c r="AL353" s="3"/>
    </row>
    <row r="354" spans="1:38" s="28" customFormat="1" ht="17" x14ac:dyDescent="0.4">
      <c r="A354" s="699" t="s">
        <v>189</v>
      </c>
      <c r="B354" s="1474" t="s">
        <v>1390</v>
      </c>
      <c r="C354" s="565">
        <f t="shared" ref="C354:W354" si="126">C94*C303</f>
        <v>54.340000000000011</v>
      </c>
      <c r="D354" s="565">
        <f t="shared" si="126"/>
        <v>62.70000000000001</v>
      </c>
      <c r="E354" s="565">
        <f t="shared" si="126"/>
        <v>62.70000000000001</v>
      </c>
      <c r="F354" s="565">
        <f t="shared" si="126"/>
        <v>62.70000000000001</v>
      </c>
      <c r="G354" s="565">
        <f t="shared" si="126"/>
        <v>62.70000000000001</v>
      </c>
      <c r="H354" s="565">
        <f t="shared" si="126"/>
        <v>62.70000000000001</v>
      </c>
      <c r="I354" s="565">
        <f t="shared" si="126"/>
        <v>62.70000000000001</v>
      </c>
      <c r="J354" s="565">
        <f t="shared" si="126"/>
        <v>62.70000000000001</v>
      </c>
      <c r="K354" s="565">
        <f t="shared" si="126"/>
        <v>62.70000000000001</v>
      </c>
      <c r="L354" s="565">
        <f t="shared" si="126"/>
        <v>62.70000000000001</v>
      </c>
      <c r="M354" s="565">
        <f t="shared" si="126"/>
        <v>62.70000000000001</v>
      </c>
      <c r="N354" s="565">
        <f t="shared" si="126"/>
        <v>62.70000000000001</v>
      </c>
      <c r="O354" s="565">
        <f t="shared" si="126"/>
        <v>62.70000000000001</v>
      </c>
      <c r="P354" s="565">
        <f t="shared" si="126"/>
        <v>62.70000000000001</v>
      </c>
      <c r="Q354" s="565">
        <f t="shared" si="126"/>
        <v>62.70000000000001</v>
      </c>
      <c r="R354" s="565">
        <f t="shared" si="126"/>
        <v>62.7</v>
      </c>
      <c r="S354" s="565">
        <f t="shared" si="126"/>
        <v>62.7</v>
      </c>
      <c r="T354" s="565">
        <f t="shared" si="126"/>
        <v>62.7</v>
      </c>
      <c r="U354" s="565">
        <f t="shared" si="126"/>
        <v>125.4</v>
      </c>
      <c r="V354" s="565">
        <f t="shared" si="126"/>
        <v>125.40000000000002</v>
      </c>
      <c r="W354" s="565">
        <f t="shared" si="126"/>
        <v>188.10000000000002</v>
      </c>
      <c r="X354" s="576">
        <f t="shared" ref="X354:AJ354" si="127">(X94-X488)*X303+X484</f>
        <v>0</v>
      </c>
      <c r="Y354" s="576">
        <f t="shared" si="127"/>
        <v>0</v>
      </c>
      <c r="Z354" s="576">
        <f t="shared" si="127"/>
        <v>0</v>
      </c>
      <c r="AA354" s="576">
        <f t="shared" si="127"/>
        <v>0</v>
      </c>
      <c r="AB354" s="576">
        <f t="shared" si="127"/>
        <v>62.70000000000001</v>
      </c>
      <c r="AC354" s="576">
        <f t="shared" si="127"/>
        <v>62.7</v>
      </c>
      <c r="AD354" s="576">
        <f t="shared" si="127"/>
        <v>0</v>
      </c>
      <c r="AE354" s="576">
        <f t="shared" si="127"/>
        <v>0</v>
      </c>
      <c r="AF354" s="576">
        <f t="shared" si="127"/>
        <v>1.1083333333333336</v>
      </c>
      <c r="AG354" s="576">
        <f t="shared" si="127"/>
        <v>0</v>
      </c>
      <c r="AH354" s="576">
        <f t="shared" si="127"/>
        <v>0</v>
      </c>
      <c r="AI354" s="576">
        <f t="shared" si="127"/>
        <v>0</v>
      </c>
      <c r="AJ354" s="576">
        <f t="shared" si="127"/>
        <v>0</v>
      </c>
      <c r="AK354" s="3"/>
      <c r="AL354" s="3"/>
    </row>
    <row r="355" spans="1:38" s="28" customFormat="1" x14ac:dyDescent="0.4">
      <c r="A355" s="735" t="s">
        <v>1063</v>
      </c>
      <c r="B355" s="1202"/>
      <c r="C355" s="581"/>
      <c r="D355" s="89"/>
      <c r="E355" s="89"/>
      <c r="F355" s="89"/>
      <c r="G355" s="89"/>
      <c r="H355" s="89"/>
      <c r="I355" s="89"/>
      <c r="J355" s="89"/>
      <c r="K355" s="89"/>
      <c r="L355" s="89"/>
      <c r="M355" s="89"/>
      <c r="N355" s="89"/>
      <c r="O355" s="89"/>
      <c r="P355" s="89"/>
      <c r="Q355" s="89"/>
      <c r="R355" s="89"/>
      <c r="S355" s="89"/>
      <c r="T355" s="89"/>
      <c r="U355" s="89"/>
      <c r="V355" s="89"/>
      <c r="W355" s="89"/>
      <c r="X355" s="89"/>
      <c r="Y355" s="89"/>
      <c r="Z355" s="89"/>
      <c r="AA355" s="89"/>
      <c r="AB355" s="89"/>
      <c r="AC355" s="89"/>
      <c r="AD355" s="89"/>
      <c r="AE355" s="89"/>
      <c r="AF355" s="89"/>
      <c r="AG355" s="89"/>
      <c r="AH355" s="89"/>
      <c r="AI355" s="89"/>
      <c r="AJ355" s="89"/>
      <c r="AK355" s="3"/>
      <c r="AL355" s="3"/>
    </row>
    <row r="356" spans="1:38" s="28" customFormat="1" x14ac:dyDescent="0.4">
      <c r="A356" s="196"/>
      <c r="B356" s="88"/>
      <c r="C356" s="230"/>
      <c r="D356" s="230"/>
      <c r="E356" s="230"/>
      <c r="F356" s="230"/>
      <c r="G356" s="230"/>
      <c r="H356" s="230"/>
      <c r="I356" s="230"/>
      <c r="J356" s="230"/>
      <c r="K356" s="230"/>
      <c r="L356" s="230"/>
      <c r="M356" s="230"/>
      <c r="N356" s="230"/>
      <c r="O356" s="230"/>
      <c r="P356" s="230"/>
      <c r="Q356" s="230"/>
      <c r="R356" s="230"/>
      <c r="S356" s="230"/>
      <c r="T356" s="230"/>
      <c r="U356" s="230"/>
      <c r="V356" s="230"/>
      <c r="W356" s="230"/>
      <c r="X356" s="230"/>
      <c r="Y356" s="230"/>
      <c r="Z356" s="230"/>
      <c r="AA356" s="230"/>
      <c r="AB356" s="230"/>
      <c r="AC356" s="230"/>
      <c r="AD356" s="230"/>
      <c r="AE356" s="230"/>
      <c r="AF356" s="230"/>
      <c r="AG356" s="230"/>
      <c r="AH356" s="230"/>
      <c r="AI356" s="230"/>
      <c r="AJ356" s="230"/>
      <c r="AK356" s="3"/>
      <c r="AL356" s="3"/>
    </row>
    <row r="357" spans="1:38" s="28" customFormat="1" ht="17" x14ac:dyDescent="0.4">
      <c r="A357" s="1397" t="s">
        <v>1535</v>
      </c>
      <c r="B357" s="581"/>
      <c r="C357" s="89"/>
      <c r="D357" s="89"/>
      <c r="E357" s="89"/>
      <c r="F357" s="89"/>
      <c r="G357" s="89"/>
      <c r="H357" s="89"/>
      <c r="I357" s="89"/>
      <c r="J357" s="89"/>
      <c r="K357" s="89"/>
      <c r="L357" s="89"/>
      <c r="M357" s="89"/>
      <c r="N357" s="89"/>
      <c r="O357" s="89"/>
      <c r="P357" s="89"/>
      <c r="Q357" s="89"/>
      <c r="R357" s="89"/>
      <c r="S357" s="89"/>
      <c r="T357" s="89"/>
      <c r="U357" s="89"/>
      <c r="V357" s="89"/>
      <c r="W357" s="89"/>
      <c r="X357" s="89"/>
      <c r="Y357" s="89"/>
      <c r="Z357" s="89"/>
      <c r="AA357" s="89"/>
      <c r="AB357" s="89"/>
      <c r="AC357" s="89"/>
      <c r="AD357" s="89"/>
      <c r="AE357" s="89"/>
      <c r="AF357" s="89"/>
      <c r="AG357" s="89"/>
      <c r="AH357" s="89"/>
      <c r="AI357" s="89"/>
      <c r="AJ357" s="89"/>
      <c r="AK357" s="3"/>
      <c r="AL357" s="3"/>
    </row>
    <row r="358" spans="1:38" s="28" customFormat="1" ht="17" x14ac:dyDescent="0.4">
      <c r="A358" s="1397" t="s">
        <v>1536</v>
      </c>
      <c r="B358" s="581"/>
      <c r="C358" s="89"/>
      <c r="D358" s="89"/>
      <c r="E358" s="89"/>
      <c r="F358" s="89"/>
      <c r="G358" s="89"/>
      <c r="H358" s="89"/>
      <c r="I358" s="89"/>
      <c r="J358" s="89"/>
      <c r="K358" s="89"/>
      <c r="L358" s="89"/>
      <c r="M358" s="89"/>
      <c r="N358" s="89"/>
      <c r="O358" s="89"/>
      <c r="P358" s="89"/>
      <c r="Q358" s="89"/>
      <c r="R358" s="89"/>
      <c r="S358" s="89"/>
      <c r="T358" s="89"/>
      <c r="U358" s="89"/>
      <c r="V358" s="89"/>
      <c r="W358" s="89"/>
      <c r="X358" s="89"/>
      <c r="Y358" s="89"/>
      <c r="Z358" s="89"/>
      <c r="AA358" s="89"/>
      <c r="AB358" s="89"/>
      <c r="AC358" s="89"/>
      <c r="AD358" s="89"/>
      <c r="AE358" s="89"/>
      <c r="AF358" s="89"/>
      <c r="AG358" s="89"/>
      <c r="AH358" s="89"/>
      <c r="AI358" s="89"/>
      <c r="AJ358" s="89"/>
      <c r="AK358" s="3"/>
      <c r="AL358" s="3"/>
    </row>
    <row r="359" spans="1:38" s="28" customFormat="1" ht="17" x14ac:dyDescent="0.4">
      <c r="A359" s="1397" t="s">
        <v>1537</v>
      </c>
      <c r="B359" s="581"/>
      <c r="C359" s="89"/>
      <c r="D359" s="89"/>
      <c r="E359" s="89"/>
      <c r="F359" s="89"/>
      <c r="G359" s="89"/>
      <c r="H359" s="89"/>
      <c r="I359" s="89"/>
      <c r="J359" s="89"/>
      <c r="K359" s="89"/>
      <c r="L359" s="89"/>
      <c r="M359" s="89"/>
      <c r="N359" s="89"/>
      <c r="O359" s="89"/>
      <c r="P359" s="89"/>
      <c r="Q359" s="89"/>
      <c r="R359" s="89"/>
      <c r="S359" s="89"/>
      <c r="T359" s="89"/>
      <c r="U359" s="89"/>
      <c r="V359" s="89"/>
      <c r="W359" s="89"/>
      <c r="X359" s="89"/>
      <c r="Y359" s="89"/>
      <c r="Z359" s="89"/>
      <c r="AA359" s="89"/>
      <c r="AB359" s="89"/>
      <c r="AC359" s="89"/>
      <c r="AD359" s="89"/>
      <c r="AE359" s="89"/>
      <c r="AF359" s="89"/>
      <c r="AG359" s="89"/>
      <c r="AH359" s="89"/>
      <c r="AI359" s="89"/>
      <c r="AJ359" s="89"/>
      <c r="AK359" s="3"/>
      <c r="AL359" s="3"/>
    </row>
    <row r="360" spans="1:38" s="28" customFormat="1" x14ac:dyDescent="0.4">
      <c r="A360" s="660"/>
      <c r="B360" s="581"/>
      <c r="C360" s="89"/>
      <c r="D360" s="89"/>
      <c r="E360" s="89"/>
      <c r="F360" s="89"/>
      <c r="G360" s="89"/>
      <c r="H360" s="89"/>
      <c r="I360" s="89"/>
      <c r="J360" s="89"/>
      <c r="K360" s="89"/>
      <c r="L360" s="89"/>
      <c r="M360" s="89"/>
      <c r="N360" s="89"/>
      <c r="O360" s="89"/>
      <c r="P360" s="89"/>
      <c r="Q360" s="89"/>
      <c r="R360" s="89"/>
      <c r="S360" s="89"/>
      <c r="T360" s="89"/>
      <c r="U360" s="89"/>
      <c r="V360" s="89"/>
      <c r="W360" s="89"/>
      <c r="X360" s="89"/>
      <c r="Y360" s="89"/>
      <c r="Z360" s="89"/>
      <c r="AA360" s="89"/>
      <c r="AB360" s="89"/>
      <c r="AC360" s="89"/>
      <c r="AD360" s="89"/>
      <c r="AE360" s="89"/>
      <c r="AF360" s="89"/>
      <c r="AG360" s="89"/>
      <c r="AH360" s="89"/>
      <c r="AI360" s="89"/>
      <c r="AJ360" s="89"/>
      <c r="AK360" s="3"/>
      <c r="AL360" s="3"/>
    </row>
    <row r="361" spans="1:38" s="28" customFormat="1" ht="17" x14ac:dyDescent="0.45">
      <c r="A361" s="108" t="s">
        <v>1538</v>
      </c>
      <c r="B361" s="581"/>
      <c r="C361" s="89"/>
      <c r="D361" s="89"/>
      <c r="E361" s="89"/>
      <c r="F361" s="89"/>
      <c r="G361" s="89"/>
      <c r="H361" s="89"/>
      <c r="I361" s="89"/>
      <c r="J361" s="89"/>
      <c r="K361" s="89"/>
      <c r="L361" s="89"/>
      <c r="M361" s="89"/>
      <c r="N361" s="89"/>
      <c r="O361" s="89"/>
      <c r="P361" s="89"/>
      <c r="Q361" s="89"/>
      <c r="R361" s="89"/>
      <c r="S361" s="89"/>
      <c r="T361" s="89"/>
      <c r="U361" s="89"/>
      <c r="V361" s="89"/>
      <c r="W361" s="89"/>
      <c r="X361" s="89"/>
      <c r="Y361" s="89"/>
      <c r="Z361" s="89"/>
      <c r="AA361" s="89"/>
      <c r="AB361" s="89"/>
      <c r="AC361" s="89"/>
      <c r="AD361" s="89"/>
      <c r="AE361" s="89"/>
      <c r="AF361" s="89"/>
      <c r="AG361" s="89"/>
      <c r="AH361" s="89"/>
      <c r="AI361" s="89"/>
      <c r="AJ361" s="89"/>
      <c r="AK361" s="3"/>
      <c r="AL361" s="3"/>
    </row>
    <row r="362" spans="1:38" s="28" customFormat="1" ht="17" x14ac:dyDescent="0.45">
      <c r="A362" s="90" t="s">
        <v>1539</v>
      </c>
      <c r="B362" s="1140" t="s">
        <v>136</v>
      </c>
      <c r="C362" s="1159" t="s">
        <v>391</v>
      </c>
      <c r="D362" s="1159" t="s">
        <v>392</v>
      </c>
      <c r="E362" s="1159" t="s">
        <v>393</v>
      </c>
      <c r="F362" s="1159" t="s">
        <v>394</v>
      </c>
      <c r="G362" s="1159" t="s">
        <v>395</v>
      </c>
      <c r="H362" s="1159" t="s">
        <v>396</v>
      </c>
      <c r="I362" s="1159" t="s">
        <v>397</v>
      </c>
      <c r="J362" s="1159" t="s">
        <v>398</v>
      </c>
      <c r="K362" s="1159" t="s">
        <v>399</v>
      </c>
      <c r="L362" s="1159" t="s">
        <v>400</v>
      </c>
      <c r="M362" s="1159" t="s">
        <v>401</v>
      </c>
      <c r="N362" s="1159" t="s">
        <v>402</v>
      </c>
      <c r="O362" s="1159" t="s">
        <v>403</v>
      </c>
      <c r="P362" s="1159" t="s">
        <v>404</v>
      </c>
      <c r="Q362" s="1159" t="s">
        <v>405</v>
      </c>
      <c r="R362" s="1159" t="s">
        <v>406</v>
      </c>
      <c r="S362" s="1159" t="s">
        <v>407</v>
      </c>
      <c r="T362" s="1159" t="s">
        <v>408</v>
      </c>
      <c r="U362" s="1159" t="s">
        <v>409</v>
      </c>
      <c r="V362" s="1159" t="s">
        <v>410</v>
      </c>
      <c r="W362" s="1159" t="s">
        <v>411</v>
      </c>
      <c r="X362" s="1159" t="s">
        <v>412</v>
      </c>
      <c r="Y362" s="1159" t="s">
        <v>413</v>
      </c>
      <c r="Z362" s="1159" t="s">
        <v>414</v>
      </c>
      <c r="AA362" s="1159" t="s">
        <v>415</v>
      </c>
      <c r="AB362" s="1159" t="s">
        <v>416</v>
      </c>
      <c r="AC362" s="1159" t="s">
        <v>417</v>
      </c>
      <c r="AD362" s="1159" t="s">
        <v>418</v>
      </c>
      <c r="AE362" s="1159" t="s">
        <v>419</v>
      </c>
      <c r="AF362" s="1159" t="s">
        <v>420</v>
      </c>
      <c r="AG362" s="987" t="s">
        <v>421</v>
      </c>
      <c r="AH362" s="987" t="s">
        <v>422</v>
      </c>
      <c r="AI362" s="987" t="s">
        <v>423</v>
      </c>
      <c r="AJ362" s="987" t="s">
        <v>424</v>
      </c>
      <c r="AK362" s="3"/>
      <c r="AL362" s="3"/>
    </row>
    <row r="363" spans="1:38" s="28" customFormat="1" ht="17" x14ac:dyDescent="0.4">
      <c r="A363" s="1477" t="s">
        <v>1540</v>
      </c>
      <c r="B363" s="1474" t="s">
        <v>1390</v>
      </c>
      <c r="C363" s="89">
        <f>C309+C323+C338+C310+C345+C346+C353+C354</f>
        <v>219.95996695924646</v>
      </c>
      <c r="D363" s="89">
        <f t="shared" ref="D363:AJ363" si="128">D309+D323+D338+D310+D345+D346+D353+D354</f>
        <v>228.48987450676344</v>
      </c>
      <c r="E363" s="89">
        <f t="shared" si="128"/>
        <v>228.49900932114608</v>
      </c>
      <c r="F363" s="89">
        <f t="shared" si="128"/>
        <v>226.56845901505395</v>
      </c>
      <c r="G363" s="89">
        <f t="shared" si="128"/>
        <v>224.58858071129552</v>
      </c>
      <c r="H363" s="89">
        <f t="shared" si="128"/>
        <v>222.57399011288319</v>
      </c>
      <c r="I363" s="89">
        <f t="shared" si="128"/>
        <v>220.96315831018316</v>
      </c>
      <c r="J363" s="89">
        <f t="shared" si="128"/>
        <v>218.91385541711679</v>
      </c>
      <c r="K363" s="89">
        <f t="shared" si="128"/>
        <v>217.03628703444389</v>
      </c>
      <c r="L363" s="89">
        <f t="shared" si="128"/>
        <v>215.29462855257307</v>
      </c>
      <c r="M363" s="89">
        <f t="shared" si="128"/>
        <v>216.22399699287274</v>
      </c>
      <c r="N363" s="89">
        <f t="shared" si="128"/>
        <v>214.99611274630419</v>
      </c>
      <c r="O363" s="89">
        <f t="shared" si="128"/>
        <v>213.22140237357971</v>
      </c>
      <c r="P363" s="89">
        <f t="shared" si="128"/>
        <v>211.13654678293614</v>
      </c>
      <c r="Q363" s="89">
        <f t="shared" si="128"/>
        <v>209.92063127562602</v>
      </c>
      <c r="R363" s="89">
        <f t="shared" si="128"/>
        <v>207.9655996669884</v>
      </c>
      <c r="S363" s="89">
        <f t="shared" si="128"/>
        <v>205.81362146026123</v>
      </c>
      <c r="T363" s="89">
        <f t="shared" si="128"/>
        <v>204.08641212232646</v>
      </c>
      <c r="U363" s="89">
        <f t="shared" si="128"/>
        <v>8792.8325227584573</v>
      </c>
      <c r="V363" s="89">
        <f t="shared" si="128"/>
        <v>8790.8641543208214</v>
      </c>
      <c r="W363" s="89">
        <f t="shared" si="128"/>
        <v>17378.860479392428</v>
      </c>
      <c r="X363" s="89">
        <f t="shared" si="128"/>
        <v>132.56442874698578</v>
      </c>
      <c r="Y363" s="89">
        <f t="shared" si="128"/>
        <v>139.21132140242599</v>
      </c>
      <c r="Z363" s="89">
        <f t="shared" si="128"/>
        <v>138.31256158499554</v>
      </c>
      <c r="AA363" s="89">
        <f t="shared" si="128"/>
        <v>126.8475980325685</v>
      </c>
      <c r="AB363" s="89">
        <f t="shared" si="128"/>
        <v>8703.6060275731088</v>
      </c>
      <c r="AC363" s="89">
        <f t="shared" si="128"/>
        <v>8690.8140196188433</v>
      </c>
      <c r="AD363" s="89">
        <f t="shared" si="128"/>
        <v>92.151810526064082</v>
      </c>
      <c r="AE363" s="89">
        <f t="shared" si="128"/>
        <v>88.945134952639876</v>
      </c>
      <c r="AF363" s="89">
        <f t="shared" si="128"/>
        <v>3201.0573895692182</v>
      </c>
      <c r="AG363" s="89">
        <f t="shared" si="128"/>
        <v>89.630277313114789</v>
      </c>
      <c r="AH363" s="89">
        <f t="shared" si="128"/>
        <v>97.405968784941678</v>
      </c>
      <c r="AI363" s="89">
        <f t="shared" si="128"/>
        <v>1075.3139371477796</v>
      </c>
      <c r="AJ363" s="89">
        <f t="shared" si="128"/>
        <v>109.92661170122332</v>
      </c>
      <c r="AK363" s="3"/>
      <c r="AL363" s="3"/>
    </row>
    <row r="364" spans="1:38" s="28" customFormat="1" ht="17" x14ac:dyDescent="0.4">
      <c r="A364" s="1477" t="s">
        <v>1541</v>
      </c>
      <c r="B364" s="1474" t="s">
        <v>1475</v>
      </c>
      <c r="C364" s="572">
        <f>C363/1000000</f>
        <v>2.1995996695924646E-4</v>
      </c>
      <c r="D364" s="572">
        <f t="shared" ref="D364:AF364" si="129">D363/1000000</f>
        <v>2.2848987450676343E-4</v>
      </c>
      <c r="E364" s="572">
        <f t="shared" si="129"/>
        <v>2.2849900932114608E-4</v>
      </c>
      <c r="F364" s="572">
        <f t="shared" si="129"/>
        <v>2.2656845901505396E-4</v>
      </c>
      <c r="G364" s="572">
        <f t="shared" si="129"/>
        <v>2.2458858071129552E-4</v>
      </c>
      <c r="H364" s="572">
        <f t="shared" si="129"/>
        <v>2.225739901128832E-4</v>
      </c>
      <c r="I364" s="572">
        <f t="shared" si="129"/>
        <v>2.2096315831018315E-4</v>
      </c>
      <c r="J364" s="572">
        <f t="shared" si="129"/>
        <v>2.189138554171168E-4</v>
      </c>
      <c r="K364" s="572">
        <f t="shared" si="129"/>
        <v>2.1703628703444389E-4</v>
      </c>
      <c r="L364" s="572">
        <f t="shared" si="129"/>
        <v>2.1529462855257307E-4</v>
      </c>
      <c r="M364" s="572">
        <f t="shared" si="129"/>
        <v>2.1622399699287273E-4</v>
      </c>
      <c r="N364" s="572">
        <f t="shared" si="129"/>
        <v>2.1499611274630419E-4</v>
      </c>
      <c r="O364" s="572">
        <f t="shared" si="129"/>
        <v>2.132214023735797E-4</v>
      </c>
      <c r="P364" s="572">
        <f t="shared" si="129"/>
        <v>2.1113654678293613E-4</v>
      </c>
      <c r="Q364" s="572">
        <f t="shared" si="129"/>
        <v>2.0992063127562603E-4</v>
      </c>
      <c r="R364" s="572">
        <f t="shared" si="129"/>
        <v>2.0796559966698841E-4</v>
      </c>
      <c r="S364" s="572">
        <f t="shared" si="129"/>
        <v>2.0581362146026124E-4</v>
      </c>
      <c r="T364" s="572">
        <f t="shared" si="129"/>
        <v>2.0408641212232647E-4</v>
      </c>
      <c r="U364" s="572">
        <f t="shared" si="129"/>
        <v>8.7928325227584567E-3</v>
      </c>
      <c r="V364" s="572">
        <f t="shared" si="129"/>
        <v>8.7908641543208207E-3</v>
      </c>
      <c r="W364" s="572">
        <f t="shared" si="129"/>
        <v>1.7378860479392428E-2</v>
      </c>
      <c r="X364" s="572">
        <f t="shared" si="129"/>
        <v>1.3256442874698578E-4</v>
      </c>
      <c r="Y364" s="572">
        <f t="shared" si="129"/>
        <v>1.39211321402426E-4</v>
      </c>
      <c r="Z364" s="572">
        <f t="shared" si="129"/>
        <v>1.3831256158499555E-4</v>
      </c>
      <c r="AA364" s="572">
        <f t="shared" si="129"/>
        <v>1.2684759803256851E-4</v>
      </c>
      <c r="AB364" s="572">
        <f t="shared" si="129"/>
        <v>8.7036060275731096E-3</v>
      </c>
      <c r="AC364" s="572">
        <f t="shared" si="129"/>
        <v>8.6908140196188428E-3</v>
      </c>
      <c r="AD364" s="572">
        <f t="shared" si="129"/>
        <v>9.2151810526064078E-5</v>
      </c>
      <c r="AE364" s="572">
        <f t="shared" si="129"/>
        <v>8.894513495263988E-5</v>
      </c>
      <c r="AF364" s="572">
        <f t="shared" si="129"/>
        <v>3.2010573895692182E-3</v>
      </c>
      <c r="AG364" s="572">
        <f t="shared" ref="AG364:AH364" si="130">AG363/1000000</f>
        <v>8.9630277313114794E-5</v>
      </c>
      <c r="AH364" s="1237">
        <f t="shared" si="130"/>
        <v>9.7405968784941679E-5</v>
      </c>
      <c r="AI364" s="1237">
        <f t="shared" ref="AI364:AJ364" si="131">AI363/1000000</f>
        <v>1.0753139371477796E-3</v>
      </c>
      <c r="AJ364" s="1237">
        <f t="shared" si="131"/>
        <v>1.0992661170122332E-4</v>
      </c>
      <c r="AK364" s="3"/>
      <c r="AL364" s="3"/>
    </row>
    <row r="365" spans="1:38" s="28" customFormat="1" x14ac:dyDescent="0.4">
      <c r="A365" s="647" t="s">
        <v>1063</v>
      </c>
      <c r="B365" s="570"/>
      <c r="C365" s="565"/>
      <c r="D365" s="565"/>
      <c r="E365" s="565"/>
      <c r="F365" s="565"/>
      <c r="G365" s="565"/>
      <c r="H365" s="565"/>
      <c r="I365" s="565"/>
      <c r="J365" s="565"/>
      <c r="K365" s="565"/>
      <c r="L365" s="565"/>
      <c r="M365" s="565"/>
      <c r="N365" s="565"/>
      <c r="O365" s="565"/>
      <c r="P365" s="565"/>
      <c r="Q365" s="565"/>
      <c r="R365" s="565"/>
      <c r="S365" s="565"/>
      <c r="T365" s="565"/>
      <c r="U365" s="565"/>
      <c r="V365" s="565"/>
      <c r="W365" s="565"/>
      <c r="X365" s="565"/>
      <c r="Y365" s="565"/>
      <c r="Z365" s="565"/>
      <c r="AA365" s="565"/>
      <c r="AB365" s="565"/>
      <c r="AC365" s="565"/>
      <c r="AD365" s="565"/>
      <c r="AE365" s="565"/>
      <c r="AF365" s="565"/>
      <c r="AG365" s="565"/>
      <c r="AI365" s="1235"/>
      <c r="AJ365" s="59"/>
      <c r="AK365" s="3"/>
      <c r="AL365" s="3"/>
    </row>
    <row r="366" spans="1:38" s="28" customFormat="1" x14ac:dyDescent="0.4">
      <c r="A366" s="581"/>
      <c r="B366" s="581"/>
      <c r="C366" s="89"/>
      <c r="D366" s="89"/>
      <c r="E366" s="89"/>
      <c r="F366" s="89"/>
      <c r="G366" s="89"/>
      <c r="H366" s="89"/>
      <c r="I366" s="89"/>
      <c r="J366" s="89"/>
      <c r="K366" s="89"/>
      <c r="L366" s="89"/>
      <c r="M366" s="89"/>
      <c r="N366" s="89"/>
      <c r="O366" s="89"/>
      <c r="P366" s="89"/>
      <c r="Q366" s="89"/>
      <c r="R366" s="89"/>
      <c r="S366" s="89"/>
      <c r="T366" s="89"/>
      <c r="U366" s="89"/>
      <c r="V366" s="89"/>
      <c r="W366" s="89"/>
      <c r="X366" s="89"/>
      <c r="Y366" s="89"/>
      <c r="Z366" s="89"/>
      <c r="AA366" s="89"/>
      <c r="AB366" s="89"/>
      <c r="AC366" s="89"/>
      <c r="AD366" s="89"/>
      <c r="AE366" s="89"/>
      <c r="AF366" s="89"/>
      <c r="AG366" s="89"/>
      <c r="AI366" s="59"/>
      <c r="AJ366" s="59"/>
      <c r="AK366" s="3"/>
      <c r="AL366" s="3"/>
    </row>
    <row r="367" spans="1:38" s="28" customFormat="1" x14ac:dyDescent="0.4">
      <c r="A367" s="28" t="s">
        <v>728</v>
      </c>
      <c r="B367" s="581"/>
      <c r="C367" s="89"/>
      <c r="D367" s="89"/>
      <c r="E367" s="89"/>
      <c r="F367" s="89"/>
      <c r="G367" s="89"/>
      <c r="H367" s="89"/>
      <c r="I367" s="89"/>
      <c r="J367" s="89"/>
      <c r="K367" s="89"/>
      <c r="L367" s="89"/>
      <c r="M367" s="89"/>
      <c r="N367" s="89"/>
      <c r="O367" s="89"/>
      <c r="P367" s="89"/>
      <c r="Q367" s="89"/>
      <c r="R367" s="89"/>
      <c r="S367" s="89"/>
      <c r="T367" s="89"/>
      <c r="U367" s="89"/>
      <c r="V367" s="89"/>
      <c r="W367" s="89"/>
      <c r="X367" s="89"/>
      <c r="Y367" s="89"/>
      <c r="Z367" s="89"/>
      <c r="AA367" s="89"/>
      <c r="AB367" s="89"/>
      <c r="AC367" s="89"/>
      <c r="AD367" s="89"/>
      <c r="AE367" s="89"/>
      <c r="AF367" s="89"/>
      <c r="AG367" s="89"/>
      <c r="AI367" s="230"/>
      <c r="AJ367" s="230"/>
      <c r="AK367" s="3"/>
      <c r="AL367" s="3"/>
    </row>
    <row r="368" spans="1:38" s="28" customFormat="1" x14ac:dyDescent="0.4">
      <c r="B368" s="581"/>
      <c r="C368" s="89"/>
      <c r="D368" s="89"/>
      <c r="E368" s="89"/>
      <c r="F368" s="89"/>
      <c r="G368" s="89"/>
      <c r="H368" s="89"/>
      <c r="I368" s="89"/>
      <c r="J368" s="89"/>
      <c r="K368" s="89"/>
      <c r="L368" s="89"/>
      <c r="M368" s="89"/>
      <c r="N368" s="89"/>
      <c r="O368" s="89"/>
      <c r="P368" s="89"/>
      <c r="Q368" s="89"/>
      <c r="R368" s="89"/>
      <c r="S368" s="89"/>
      <c r="T368" s="89"/>
      <c r="U368" s="89"/>
      <c r="V368" s="89"/>
      <c r="W368" s="89"/>
      <c r="X368" s="89"/>
      <c r="Y368" s="89"/>
      <c r="Z368" s="89"/>
      <c r="AA368" s="89"/>
      <c r="AB368" s="89"/>
      <c r="AC368" s="89"/>
      <c r="AD368" s="89"/>
      <c r="AE368" s="89"/>
      <c r="AF368" s="89"/>
      <c r="AG368" s="89"/>
      <c r="AI368" s="580"/>
      <c r="AJ368" s="580"/>
      <c r="AK368" s="3"/>
      <c r="AL368" s="3"/>
    </row>
    <row r="369" spans="1:38" s="28" customFormat="1" x14ac:dyDescent="0.4">
      <c r="A369" s="1241" t="s">
        <v>572</v>
      </c>
      <c r="B369" s="951" t="s">
        <v>573</v>
      </c>
      <c r="C369" s="89"/>
      <c r="D369" s="89"/>
      <c r="E369" s="89"/>
      <c r="F369" s="89"/>
      <c r="G369" s="89"/>
      <c r="H369" s="89"/>
      <c r="I369" s="89"/>
      <c r="J369" s="89"/>
      <c r="K369" s="89"/>
      <c r="L369" s="89"/>
      <c r="M369" s="89"/>
      <c r="N369" s="89"/>
      <c r="O369" s="89"/>
      <c r="P369" s="89"/>
      <c r="Q369" s="89"/>
      <c r="R369" s="89"/>
      <c r="S369" s="89"/>
      <c r="T369" s="89"/>
      <c r="U369" s="89"/>
      <c r="V369" s="89"/>
      <c r="W369" s="89"/>
      <c r="X369" s="89"/>
      <c r="Y369" s="89"/>
      <c r="Z369" s="89"/>
      <c r="AA369" s="89"/>
      <c r="AB369" s="89"/>
      <c r="AC369" s="89"/>
      <c r="AD369" s="89"/>
      <c r="AE369" s="89"/>
      <c r="AF369" s="89"/>
      <c r="AG369" s="89"/>
      <c r="AI369" s="580"/>
      <c r="AJ369" s="580"/>
      <c r="AK369" s="3"/>
      <c r="AL369" s="3"/>
    </row>
    <row r="370" spans="1:38" s="28" customFormat="1" x14ac:dyDescent="0.4">
      <c r="A370" s="1148" t="s">
        <v>537</v>
      </c>
      <c r="B370" s="1149">
        <v>1E-3</v>
      </c>
      <c r="C370" s="89"/>
      <c r="F370" s="89"/>
      <c r="G370" s="89"/>
      <c r="H370" s="89"/>
      <c r="I370" s="89"/>
      <c r="J370" s="89"/>
      <c r="K370" s="89"/>
      <c r="L370" s="89"/>
      <c r="M370" s="89"/>
      <c r="N370" s="89"/>
      <c r="O370" s="89"/>
      <c r="P370" s="89"/>
      <c r="Q370" s="89"/>
      <c r="R370" s="89"/>
      <c r="S370" s="89"/>
      <c r="T370" s="89"/>
      <c r="U370" s="89"/>
      <c r="V370" s="89"/>
      <c r="W370" s="89"/>
      <c r="X370" s="89"/>
      <c r="Y370" s="89"/>
      <c r="Z370" s="89"/>
      <c r="AA370" s="89"/>
      <c r="AB370" s="89"/>
      <c r="AC370" s="89"/>
      <c r="AD370" s="89"/>
      <c r="AE370" s="89"/>
      <c r="AF370" s="89"/>
      <c r="AG370" s="89"/>
      <c r="AI370" s="580"/>
      <c r="AJ370" s="580"/>
      <c r="AK370" s="3"/>
      <c r="AL370" s="3"/>
    </row>
    <row r="371" spans="1:38" s="28" customFormat="1" x14ac:dyDescent="0.4">
      <c r="A371" s="280" t="s">
        <v>1063</v>
      </c>
      <c r="B371" s="1152"/>
      <c r="C371" s="89"/>
      <c r="D371" s="42"/>
      <c r="E371" s="42"/>
      <c r="F371" s="89"/>
      <c r="G371" s="89"/>
      <c r="H371" s="89"/>
      <c r="I371" s="89"/>
      <c r="J371" s="89"/>
      <c r="K371" s="89"/>
      <c r="L371" s="89"/>
      <c r="M371" s="89"/>
      <c r="N371" s="89"/>
      <c r="O371" s="89"/>
      <c r="P371" s="89"/>
      <c r="Q371" s="89"/>
      <c r="R371" s="89"/>
      <c r="S371" s="89"/>
      <c r="T371" s="89"/>
      <c r="U371" s="89"/>
      <c r="V371" s="89"/>
      <c r="W371" s="89"/>
      <c r="X371" s="89"/>
      <c r="Y371" s="89"/>
      <c r="Z371" s="89"/>
      <c r="AA371" s="89"/>
      <c r="AB371" s="89"/>
      <c r="AC371" s="89"/>
      <c r="AD371" s="89"/>
      <c r="AE371" s="89"/>
      <c r="AF371" s="89"/>
      <c r="AG371" s="89"/>
      <c r="AI371" s="580"/>
      <c r="AJ371" s="580"/>
      <c r="AK371" s="3"/>
      <c r="AL371" s="3"/>
    </row>
    <row r="372" spans="1:38" s="28" customFormat="1" x14ac:dyDescent="0.4">
      <c r="A372" s="581"/>
      <c r="B372" s="581"/>
      <c r="C372" s="89"/>
      <c r="D372" s="89"/>
      <c r="E372" s="89"/>
      <c r="F372" s="89"/>
      <c r="G372" s="89"/>
      <c r="H372" s="89"/>
      <c r="I372" s="89"/>
      <c r="J372" s="89"/>
      <c r="K372" s="89"/>
      <c r="L372" s="89"/>
      <c r="M372" s="89"/>
      <c r="N372" s="89"/>
      <c r="O372" s="89"/>
      <c r="P372" s="89"/>
      <c r="Q372" s="89"/>
      <c r="R372" s="89"/>
      <c r="S372" s="89"/>
      <c r="T372" s="89"/>
      <c r="U372" s="89"/>
      <c r="V372" s="89"/>
      <c r="W372" s="89"/>
      <c r="X372" s="89"/>
      <c r="Y372" s="89"/>
      <c r="Z372" s="89"/>
      <c r="AA372" s="89"/>
      <c r="AB372" s="89"/>
      <c r="AC372" s="89"/>
      <c r="AD372" s="89"/>
      <c r="AE372" s="89"/>
      <c r="AF372" s="89"/>
      <c r="AG372" s="89"/>
      <c r="AI372" s="580"/>
      <c r="AJ372" s="580"/>
      <c r="AK372" s="3"/>
      <c r="AL372" s="3"/>
    </row>
    <row r="373" spans="1:38" s="28" customFormat="1" ht="18.5" x14ac:dyDescent="0.45">
      <c r="A373" s="1153" t="s">
        <v>816</v>
      </c>
      <c r="B373" s="581"/>
      <c r="C373" s="89"/>
      <c r="D373" s="89"/>
      <c r="E373" s="89"/>
      <c r="F373" s="89"/>
      <c r="G373" s="89"/>
      <c r="H373" s="89"/>
      <c r="I373" s="89"/>
      <c r="J373" s="89"/>
      <c r="K373" s="89"/>
      <c r="L373" s="89"/>
      <c r="M373" s="89"/>
      <c r="N373" s="89"/>
      <c r="O373" s="89"/>
      <c r="P373" s="89"/>
      <c r="Q373" s="89"/>
      <c r="R373" s="89"/>
      <c r="S373" s="89"/>
      <c r="T373" s="89"/>
      <c r="U373" s="89"/>
      <c r="V373" s="89"/>
      <c r="W373" s="89"/>
      <c r="X373" s="89"/>
      <c r="Y373" s="89"/>
      <c r="Z373" s="89"/>
      <c r="AA373" s="89"/>
      <c r="AB373" s="89"/>
      <c r="AC373" s="89"/>
      <c r="AD373" s="89"/>
      <c r="AE373" s="89"/>
      <c r="AF373" s="89"/>
      <c r="AG373" s="89"/>
      <c r="AH373" s="89"/>
      <c r="AJ373" s="89"/>
      <c r="AK373" s="3"/>
      <c r="AL373" s="3"/>
    </row>
    <row r="374" spans="1:38" s="28" customFormat="1" x14ac:dyDescent="0.4">
      <c r="A374" s="1137" t="s">
        <v>820</v>
      </c>
      <c r="B374" s="597"/>
      <c r="C374" s="89"/>
      <c r="D374" s="89"/>
      <c r="E374" s="89"/>
      <c r="F374" s="89"/>
      <c r="G374" s="89"/>
      <c r="H374" s="89"/>
      <c r="I374" s="89"/>
      <c r="J374" s="89"/>
      <c r="K374" s="89"/>
      <c r="L374" s="89"/>
      <c r="M374" s="89"/>
      <c r="N374" s="89"/>
      <c r="O374" s="89"/>
      <c r="P374" s="89"/>
      <c r="Q374" s="89"/>
      <c r="R374" s="89"/>
      <c r="S374" s="89"/>
      <c r="T374" s="89"/>
      <c r="U374" s="89"/>
      <c r="V374" s="89"/>
      <c r="W374" s="89"/>
      <c r="X374" s="89"/>
      <c r="Y374" s="89"/>
      <c r="Z374" s="89"/>
      <c r="AA374" s="89"/>
      <c r="AB374" s="89"/>
      <c r="AC374" s="89"/>
      <c r="AD374" s="89"/>
      <c r="AE374" s="89"/>
      <c r="AF374" s="89"/>
      <c r="AG374" s="89"/>
      <c r="AH374" s="89"/>
      <c r="AI374" s="89"/>
      <c r="AJ374" s="89"/>
      <c r="AK374" s="3"/>
      <c r="AL374" s="3"/>
    </row>
    <row r="375" spans="1:38" s="28" customFormat="1" x14ac:dyDescent="0.4">
      <c r="A375" s="659" t="s">
        <v>715</v>
      </c>
      <c r="B375" s="597"/>
      <c r="C375" s="89"/>
      <c r="D375" s="89"/>
      <c r="E375" s="89"/>
      <c r="F375" s="89"/>
      <c r="G375" s="89"/>
      <c r="H375" s="89"/>
      <c r="I375" s="89"/>
      <c r="J375" s="89"/>
      <c r="K375" s="89"/>
      <c r="L375" s="89"/>
      <c r="M375" s="89"/>
      <c r="N375" s="89"/>
      <c r="O375" s="89"/>
      <c r="P375" s="89"/>
      <c r="Q375" s="89"/>
      <c r="R375" s="89"/>
      <c r="S375" s="89"/>
      <c r="T375" s="89"/>
      <c r="U375" s="89"/>
      <c r="V375" s="89"/>
      <c r="W375" s="89"/>
      <c r="X375" s="89"/>
      <c r="Y375" s="89"/>
      <c r="Z375" s="89"/>
      <c r="AA375" s="89"/>
      <c r="AB375" s="89"/>
      <c r="AC375" s="89"/>
      <c r="AD375" s="89"/>
      <c r="AE375" s="89"/>
      <c r="AF375" s="89"/>
      <c r="AG375" s="89"/>
      <c r="AH375" s="89"/>
      <c r="AI375" s="89"/>
      <c r="AJ375" s="89"/>
      <c r="AK375" s="3"/>
      <c r="AL375" s="3"/>
    </row>
    <row r="376" spans="1:38" s="28" customFormat="1" x14ac:dyDescent="0.4">
      <c r="A376" s="1139" t="s">
        <v>813</v>
      </c>
      <c r="B376" s="1124" t="s">
        <v>136</v>
      </c>
      <c r="C376" s="1135" t="s">
        <v>391</v>
      </c>
      <c r="D376" s="1125" t="s">
        <v>392</v>
      </c>
      <c r="E376" s="1125" t="s">
        <v>393</v>
      </c>
      <c r="F376" s="1125" t="s">
        <v>394</v>
      </c>
      <c r="G376" s="1125" t="s">
        <v>395</v>
      </c>
      <c r="H376" s="1125" t="s">
        <v>396</v>
      </c>
      <c r="I376" s="1125" t="s">
        <v>397</v>
      </c>
      <c r="J376" s="1125" t="s">
        <v>398</v>
      </c>
      <c r="K376" s="1125" t="s">
        <v>399</v>
      </c>
      <c r="L376" s="1125" t="s">
        <v>400</v>
      </c>
      <c r="M376" s="1125" t="s">
        <v>401</v>
      </c>
      <c r="N376" s="1125" t="s">
        <v>402</v>
      </c>
      <c r="O376" s="1125" t="s">
        <v>403</v>
      </c>
      <c r="P376" s="1125" t="s">
        <v>404</v>
      </c>
      <c r="Q376" s="1125" t="s">
        <v>405</v>
      </c>
      <c r="R376" s="1125" t="s">
        <v>406</v>
      </c>
      <c r="S376" s="1125" t="s">
        <v>407</v>
      </c>
      <c r="T376" s="1125" t="s">
        <v>408</v>
      </c>
      <c r="U376" s="1125" t="s">
        <v>409</v>
      </c>
      <c r="V376" s="1125" t="s">
        <v>410</v>
      </c>
      <c r="W376" s="1125" t="s">
        <v>411</v>
      </c>
      <c r="X376" s="1125" t="s">
        <v>412</v>
      </c>
      <c r="Y376" s="1125" t="s">
        <v>413</v>
      </c>
      <c r="Z376" s="1125" t="s">
        <v>414</v>
      </c>
      <c r="AA376" s="1125" t="s">
        <v>415</v>
      </c>
      <c r="AB376" s="1125" t="s">
        <v>416</v>
      </c>
      <c r="AC376" s="1125" t="s">
        <v>417</v>
      </c>
      <c r="AD376" s="1125" t="s">
        <v>418</v>
      </c>
      <c r="AE376" s="1125" t="s">
        <v>419</v>
      </c>
      <c r="AF376" s="1125" t="s">
        <v>420</v>
      </c>
      <c r="AG376" s="1126" t="s">
        <v>421</v>
      </c>
      <c r="AH376" s="1125" t="s">
        <v>422</v>
      </c>
      <c r="AI376" s="1126" t="s">
        <v>423</v>
      </c>
      <c r="AJ376" s="1125" t="s">
        <v>424</v>
      </c>
      <c r="AK376" s="3"/>
      <c r="AL376" s="3"/>
    </row>
    <row r="377" spans="1:38" x14ac:dyDescent="0.4">
      <c r="A377" s="1133" t="s">
        <v>160</v>
      </c>
      <c r="B377" s="1136" t="s">
        <v>170</v>
      </c>
      <c r="C377" s="565" t="s">
        <v>32</v>
      </c>
      <c r="D377" s="565" t="s">
        <v>32</v>
      </c>
      <c r="E377" s="565" t="s">
        <v>32</v>
      </c>
      <c r="F377" s="565" t="s">
        <v>32</v>
      </c>
      <c r="G377" s="565" t="s">
        <v>32</v>
      </c>
      <c r="H377" s="565" t="s">
        <v>32</v>
      </c>
      <c r="I377" s="565" t="s">
        <v>32</v>
      </c>
      <c r="J377" s="565" t="s">
        <v>32</v>
      </c>
      <c r="K377" s="565" t="s">
        <v>32</v>
      </c>
      <c r="L377" s="565" t="s">
        <v>32</v>
      </c>
      <c r="M377" s="565" t="s">
        <v>32</v>
      </c>
      <c r="N377" s="565" t="s">
        <v>32</v>
      </c>
      <c r="O377" s="565" t="s">
        <v>32</v>
      </c>
      <c r="P377" s="565" t="s">
        <v>32</v>
      </c>
      <c r="Q377" s="565" t="s">
        <v>32</v>
      </c>
      <c r="R377" s="565" t="s">
        <v>32</v>
      </c>
      <c r="S377" s="565" t="s">
        <v>32</v>
      </c>
      <c r="T377" s="565" t="s">
        <v>32</v>
      </c>
      <c r="U377" s="565" t="s">
        <v>32</v>
      </c>
      <c r="V377" s="565" t="s">
        <v>32</v>
      </c>
      <c r="W377" s="565" t="s">
        <v>32</v>
      </c>
      <c r="X377" s="565" t="s">
        <v>32</v>
      </c>
      <c r="Y377" s="565" t="s">
        <v>32</v>
      </c>
      <c r="Z377" s="565" t="s">
        <v>32</v>
      </c>
      <c r="AA377" s="565" t="s">
        <v>32</v>
      </c>
      <c r="AB377" s="565" t="s">
        <v>32</v>
      </c>
      <c r="AC377" s="565">
        <v>594.05999999999995</v>
      </c>
      <c r="AD377" s="565">
        <v>598.74</v>
      </c>
      <c r="AE377" s="565">
        <v>599.13</v>
      </c>
      <c r="AF377" s="565">
        <v>599.29999999999995</v>
      </c>
      <c r="AG377" s="565">
        <v>601.39698859999999</v>
      </c>
      <c r="AH377" s="565">
        <v>601.6</v>
      </c>
      <c r="AI377" s="565">
        <v>601.70000000000005</v>
      </c>
      <c r="AJ377" s="565">
        <v>603.44000000000005</v>
      </c>
    </row>
    <row r="378" spans="1:38" x14ac:dyDescent="0.4">
      <c r="A378" s="1133" t="s">
        <v>194</v>
      </c>
      <c r="B378" s="1136" t="s">
        <v>1307</v>
      </c>
      <c r="C378" s="565" t="s">
        <v>32</v>
      </c>
      <c r="D378" s="565" t="s">
        <v>32</v>
      </c>
      <c r="E378" s="565" t="s">
        <v>32</v>
      </c>
      <c r="F378" s="565" t="s">
        <v>32</v>
      </c>
      <c r="G378" s="565" t="s">
        <v>32</v>
      </c>
      <c r="H378" s="565" t="s">
        <v>32</v>
      </c>
      <c r="I378" s="565" t="s">
        <v>32</v>
      </c>
      <c r="J378" s="565" t="s">
        <v>32</v>
      </c>
      <c r="K378" s="565" t="s">
        <v>32</v>
      </c>
      <c r="L378" s="565" t="s">
        <v>32</v>
      </c>
      <c r="M378" s="565" t="s">
        <v>32</v>
      </c>
      <c r="N378" s="565" t="s">
        <v>32</v>
      </c>
      <c r="O378" s="565" t="s">
        <v>32</v>
      </c>
      <c r="P378" s="565" t="s">
        <v>32</v>
      </c>
      <c r="Q378" s="565" t="s">
        <v>32</v>
      </c>
      <c r="R378" s="565" t="s">
        <v>32</v>
      </c>
      <c r="S378" s="565" t="s">
        <v>32</v>
      </c>
      <c r="T378" s="565" t="s">
        <v>32</v>
      </c>
      <c r="U378" s="565" t="s">
        <v>32</v>
      </c>
      <c r="V378" s="565" t="s">
        <v>32</v>
      </c>
      <c r="W378" s="565" t="s">
        <v>32</v>
      </c>
      <c r="X378" s="565" t="s">
        <v>32</v>
      </c>
      <c r="Y378" s="565" t="s">
        <v>32</v>
      </c>
      <c r="Z378" s="565" t="s">
        <v>32</v>
      </c>
      <c r="AA378" s="565" t="s">
        <v>32</v>
      </c>
      <c r="AB378" s="565" t="s">
        <v>32</v>
      </c>
      <c r="AC378" s="566">
        <v>3</v>
      </c>
      <c r="AD378" s="566">
        <v>5</v>
      </c>
      <c r="AE378" s="566">
        <v>0</v>
      </c>
      <c r="AF378" s="566">
        <v>5</v>
      </c>
      <c r="AG378" s="566">
        <v>3</v>
      </c>
      <c r="AH378" s="566">
        <v>2</v>
      </c>
      <c r="AI378" s="566">
        <v>20</v>
      </c>
      <c r="AJ378" s="566">
        <v>37</v>
      </c>
    </row>
    <row r="379" spans="1:38" ht="17" x14ac:dyDescent="0.4">
      <c r="A379" s="1133" t="s">
        <v>195</v>
      </c>
      <c r="B379" s="1474" t="s">
        <v>1389</v>
      </c>
      <c r="C379" s="565" t="s">
        <v>32</v>
      </c>
      <c r="D379" s="565" t="s">
        <v>32</v>
      </c>
      <c r="E379" s="565" t="s">
        <v>32</v>
      </c>
      <c r="F379" s="565" t="s">
        <v>32</v>
      </c>
      <c r="G379" s="565" t="s">
        <v>32</v>
      </c>
      <c r="H379" s="565" t="s">
        <v>32</v>
      </c>
      <c r="I379" s="565" t="s">
        <v>32</v>
      </c>
      <c r="J379" s="565" t="s">
        <v>32</v>
      </c>
      <c r="K379" s="565" t="s">
        <v>32</v>
      </c>
      <c r="L379" s="565" t="s">
        <v>32</v>
      </c>
      <c r="M379" s="565" t="s">
        <v>32</v>
      </c>
      <c r="N379" s="565" t="s">
        <v>32</v>
      </c>
      <c r="O379" s="565" t="s">
        <v>32</v>
      </c>
      <c r="P379" s="565" t="s">
        <v>32</v>
      </c>
      <c r="Q379" s="565" t="s">
        <v>32</v>
      </c>
      <c r="R379" s="565" t="s">
        <v>32</v>
      </c>
      <c r="S379" s="565" t="s">
        <v>32</v>
      </c>
      <c r="T379" s="565" t="s">
        <v>32</v>
      </c>
      <c r="U379" s="565" t="s">
        <v>32</v>
      </c>
      <c r="V379" s="565" t="s">
        <v>32</v>
      </c>
      <c r="W379" s="565" t="s">
        <v>32</v>
      </c>
      <c r="X379" s="565" t="s">
        <v>32</v>
      </c>
      <c r="Y379" s="565" t="s">
        <v>32</v>
      </c>
      <c r="Z379" s="565" t="s">
        <v>32</v>
      </c>
      <c r="AA379" s="565" t="s">
        <v>32</v>
      </c>
      <c r="AB379" s="565" t="s">
        <v>32</v>
      </c>
      <c r="AC379" s="565">
        <v>0.54</v>
      </c>
      <c r="AD379" s="565">
        <v>72.84</v>
      </c>
      <c r="AE379" s="565">
        <v>0</v>
      </c>
      <c r="AF379" s="565">
        <v>21.02</v>
      </c>
      <c r="AG379" s="565">
        <v>47.185942500000003</v>
      </c>
      <c r="AH379" s="565">
        <v>0.15037239999999999</v>
      </c>
      <c r="AI379" s="565">
        <v>20.6886288</v>
      </c>
      <c r="AJ379" s="565">
        <v>158.90232</v>
      </c>
    </row>
    <row r="380" spans="1:38" ht="17" x14ac:dyDescent="0.4">
      <c r="A380" s="1134" t="s">
        <v>195</v>
      </c>
      <c r="B380" s="1475" t="s">
        <v>1390</v>
      </c>
      <c r="C380" s="565" t="s">
        <v>32</v>
      </c>
      <c r="D380" s="565" t="s">
        <v>32</v>
      </c>
      <c r="E380" s="565" t="s">
        <v>32</v>
      </c>
      <c r="F380" s="565" t="s">
        <v>32</v>
      </c>
      <c r="G380" s="565" t="s">
        <v>32</v>
      </c>
      <c r="H380" s="565" t="s">
        <v>32</v>
      </c>
      <c r="I380" s="565" t="s">
        <v>32</v>
      </c>
      <c r="J380" s="565" t="s">
        <v>32</v>
      </c>
      <c r="K380" s="565" t="s">
        <v>32</v>
      </c>
      <c r="L380" s="565" t="s">
        <v>32</v>
      </c>
      <c r="M380" s="565" t="s">
        <v>32</v>
      </c>
      <c r="N380" s="565" t="s">
        <v>32</v>
      </c>
      <c r="O380" s="565" t="s">
        <v>32</v>
      </c>
      <c r="P380" s="565" t="s">
        <v>32</v>
      </c>
      <c r="Q380" s="565" t="s">
        <v>32</v>
      </c>
      <c r="R380" s="565" t="s">
        <v>32</v>
      </c>
      <c r="S380" s="565" t="s">
        <v>32</v>
      </c>
      <c r="T380" s="565" t="s">
        <v>32</v>
      </c>
      <c r="U380" s="565" t="s">
        <v>32</v>
      </c>
      <c r="V380" s="565" t="s">
        <v>32</v>
      </c>
      <c r="W380" s="565" t="s">
        <v>32</v>
      </c>
      <c r="X380" s="565" t="s">
        <v>32</v>
      </c>
      <c r="Y380" s="565" t="s">
        <v>32</v>
      </c>
      <c r="Z380" s="565" t="s">
        <v>32</v>
      </c>
      <c r="AA380" s="565" t="s">
        <v>32</v>
      </c>
      <c r="AB380" s="565" t="s">
        <v>32</v>
      </c>
      <c r="AC380" s="592">
        <v>0</v>
      </c>
      <c r="AD380" s="592">
        <v>2.1</v>
      </c>
      <c r="AE380" s="592">
        <v>0</v>
      </c>
      <c r="AF380" s="592">
        <v>0.6</v>
      </c>
      <c r="AG380" s="592">
        <v>1.360735</v>
      </c>
      <c r="AH380" s="592">
        <v>4.3363999999999998E-3</v>
      </c>
      <c r="AI380" s="592">
        <v>0.5966129</v>
      </c>
      <c r="AJ380" s="592">
        <v>4.5823805000000002</v>
      </c>
    </row>
    <row r="381" spans="1:38" x14ac:dyDescent="0.4">
      <c r="A381" s="1188" t="s">
        <v>1063</v>
      </c>
      <c r="B381" s="1191"/>
      <c r="C381" s="1191"/>
      <c r="D381" s="1191"/>
      <c r="E381" s="1191"/>
      <c r="F381" s="1191"/>
      <c r="G381" s="1191"/>
      <c r="H381" s="1191"/>
      <c r="I381" s="1191"/>
      <c r="J381" s="1191"/>
      <c r="K381" s="1191"/>
      <c r="L381" s="1191"/>
      <c r="M381" s="1191"/>
      <c r="N381" s="1191"/>
      <c r="O381" s="1191"/>
      <c r="P381" s="1191"/>
      <c r="Q381" s="1191"/>
      <c r="R381" s="1191"/>
      <c r="S381" s="1191"/>
      <c r="T381" s="1191"/>
      <c r="U381" s="1191"/>
      <c r="V381" s="1191"/>
      <c r="W381" s="1191"/>
      <c r="X381" s="1191"/>
      <c r="Y381" s="1191"/>
      <c r="Z381" s="1191"/>
      <c r="AA381" s="1191"/>
      <c r="AB381" s="1191"/>
      <c r="AC381" s="1191"/>
      <c r="AD381" s="1191"/>
      <c r="AE381" s="1191"/>
      <c r="AF381" s="1191"/>
      <c r="AG381" s="1191"/>
      <c r="AH381" s="1191"/>
      <c r="AI381" s="1191"/>
      <c r="AJ381" s="1191"/>
    </row>
    <row r="382" spans="1:38" x14ac:dyDescent="0.4">
      <c r="A382" s="597"/>
      <c r="B382" s="597"/>
      <c r="C382" s="89"/>
      <c r="D382" s="89"/>
      <c r="E382" s="89"/>
      <c r="F382" s="89"/>
      <c r="G382" s="89"/>
      <c r="H382" s="89"/>
      <c r="I382" s="89"/>
      <c r="J382" s="89"/>
      <c r="K382" s="89"/>
      <c r="L382" s="89"/>
      <c r="M382" s="89"/>
      <c r="N382" s="89"/>
      <c r="O382" s="89"/>
      <c r="P382" s="89"/>
      <c r="Q382" s="89"/>
      <c r="R382" s="89"/>
      <c r="S382" s="89"/>
      <c r="T382" s="89"/>
      <c r="U382" s="89"/>
      <c r="V382" s="89"/>
      <c r="W382" s="89"/>
      <c r="X382" s="89"/>
      <c r="Y382" s="89"/>
      <c r="Z382" s="89"/>
      <c r="AA382" s="89"/>
      <c r="AB382" s="89"/>
      <c r="AC382" s="89"/>
      <c r="AD382" s="89"/>
      <c r="AE382" s="89"/>
      <c r="AF382" s="89"/>
      <c r="AG382" s="89"/>
      <c r="AH382" s="89"/>
      <c r="AI382" s="89"/>
      <c r="AJ382" s="89"/>
    </row>
    <row r="383" spans="1:38" x14ac:dyDescent="0.4">
      <c r="A383" s="659" t="s">
        <v>714</v>
      </c>
      <c r="B383" s="597"/>
      <c r="C383" s="89"/>
      <c r="D383" s="89"/>
      <c r="E383" s="89"/>
      <c r="F383" s="89"/>
      <c r="G383" s="89"/>
      <c r="H383" s="89"/>
      <c r="I383" s="89"/>
      <c r="J383" s="89"/>
      <c r="K383" s="89"/>
      <c r="L383" s="89"/>
      <c r="M383" s="89"/>
      <c r="N383" s="89"/>
      <c r="O383" s="89"/>
      <c r="P383" s="89"/>
      <c r="Q383" s="89"/>
      <c r="R383" s="89"/>
      <c r="S383" s="89"/>
      <c r="T383" s="89"/>
      <c r="U383" s="89"/>
      <c r="V383" s="89"/>
      <c r="W383" s="89"/>
      <c r="X383" s="89"/>
      <c r="Y383" s="89"/>
      <c r="Z383" s="89"/>
      <c r="AA383" s="89"/>
      <c r="AB383" s="89"/>
      <c r="AC383" s="89"/>
      <c r="AD383" s="89"/>
      <c r="AE383" s="89"/>
      <c r="AF383" s="89"/>
      <c r="AG383" s="89"/>
      <c r="AH383" s="89"/>
      <c r="AI383" s="89"/>
      <c r="AJ383" s="89"/>
    </row>
    <row r="384" spans="1:38" x14ac:dyDescent="0.4">
      <c r="A384" s="1139" t="s">
        <v>813</v>
      </c>
      <c r="B384" s="1124" t="s">
        <v>136</v>
      </c>
      <c r="C384" s="1125" t="s">
        <v>391</v>
      </c>
      <c r="D384" s="1125" t="s">
        <v>392</v>
      </c>
      <c r="E384" s="1125" t="s">
        <v>393</v>
      </c>
      <c r="F384" s="1125" t="s">
        <v>394</v>
      </c>
      <c r="G384" s="1125" t="s">
        <v>395</v>
      </c>
      <c r="H384" s="1125" t="s">
        <v>396</v>
      </c>
      <c r="I384" s="1125" t="s">
        <v>397</v>
      </c>
      <c r="J384" s="1125" t="s">
        <v>398</v>
      </c>
      <c r="K384" s="1125" t="s">
        <v>399</v>
      </c>
      <c r="L384" s="1125" t="s">
        <v>400</v>
      </c>
      <c r="M384" s="1125" t="s">
        <v>401</v>
      </c>
      <c r="N384" s="1125" t="s">
        <v>402</v>
      </c>
      <c r="O384" s="1125" t="s">
        <v>403</v>
      </c>
      <c r="P384" s="1125" t="s">
        <v>404</v>
      </c>
      <c r="Q384" s="1125" t="s">
        <v>405</v>
      </c>
      <c r="R384" s="1125" t="s">
        <v>406</v>
      </c>
      <c r="S384" s="1125" t="s">
        <v>407</v>
      </c>
      <c r="T384" s="1125" t="s">
        <v>408</v>
      </c>
      <c r="U384" s="1125" t="s">
        <v>409</v>
      </c>
      <c r="V384" s="1125" t="s">
        <v>410</v>
      </c>
      <c r="W384" s="1125" t="s">
        <v>411</v>
      </c>
      <c r="X384" s="1125" t="s">
        <v>412</v>
      </c>
      <c r="Y384" s="1125" t="s">
        <v>413</v>
      </c>
      <c r="Z384" s="1125" t="s">
        <v>414</v>
      </c>
      <c r="AA384" s="1125" t="s">
        <v>415</v>
      </c>
      <c r="AB384" s="1125" t="s">
        <v>416</v>
      </c>
      <c r="AC384" s="1125" t="s">
        <v>417</v>
      </c>
      <c r="AD384" s="1125" t="s">
        <v>418</v>
      </c>
      <c r="AE384" s="1125" t="s">
        <v>419</v>
      </c>
      <c r="AF384" s="1125" t="s">
        <v>420</v>
      </c>
      <c r="AG384" s="1126" t="s">
        <v>421</v>
      </c>
      <c r="AH384" s="1125" t="s">
        <v>422</v>
      </c>
      <c r="AI384" s="89"/>
    </row>
    <row r="385" spans="1:36" x14ac:dyDescent="0.4">
      <c r="A385" s="590" t="s">
        <v>160</v>
      </c>
      <c r="B385" s="590" t="s">
        <v>170</v>
      </c>
      <c r="C385" s="565" t="s">
        <v>32</v>
      </c>
      <c r="D385" s="565" t="s">
        <v>32</v>
      </c>
      <c r="E385" s="565" t="s">
        <v>32</v>
      </c>
      <c r="F385" s="565" t="s">
        <v>32</v>
      </c>
      <c r="G385" s="565" t="s">
        <v>32</v>
      </c>
      <c r="H385" s="565" t="s">
        <v>32</v>
      </c>
      <c r="I385" s="565" t="s">
        <v>32</v>
      </c>
      <c r="J385" s="565" t="s">
        <v>32</v>
      </c>
      <c r="K385" s="565" t="s">
        <v>32</v>
      </c>
      <c r="L385" s="565" t="s">
        <v>32</v>
      </c>
      <c r="M385" s="565" t="s">
        <v>32</v>
      </c>
      <c r="N385" s="565" t="s">
        <v>32</v>
      </c>
      <c r="O385" s="565" t="s">
        <v>32</v>
      </c>
      <c r="P385" s="565" t="s">
        <v>32</v>
      </c>
      <c r="Q385" s="565" t="s">
        <v>32</v>
      </c>
      <c r="R385" s="565" t="s">
        <v>32</v>
      </c>
      <c r="S385" s="565" t="s">
        <v>32</v>
      </c>
      <c r="T385" s="565" t="s">
        <v>32</v>
      </c>
      <c r="U385" s="565" t="s">
        <v>32</v>
      </c>
      <c r="V385" s="565" t="s">
        <v>32</v>
      </c>
      <c r="W385" s="565" t="s">
        <v>32</v>
      </c>
      <c r="X385" s="565" t="s">
        <v>32</v>
      </c>
      <c r="Y385" s="565" t="s">
        <v>32</v>
      </c>
      <c r="Z385" s="565" t="s">
        <v>32</v>
      </c>
      <c r="AA385" s="565" t="s">
        <v>32</v>
      </c>
      <c r="AB385" s="565" t="s">
        <v>32</v>
      </c>
      <c r="AC385" s="565">
        <v>465.87</v>
      </c>
      <c r="AD385" s="565">
        <v>459.87</v>
      </c>
      <c r="AE385" s="565">
        <v>460.12</v>
      </c>
      <c r="AF385" s="565">
        <v>456.79</v>
      </c>
      <c r="AG385" s="565">
        <v>456.79</v>
      </c>
      <c r="AH385" s="1130">
        <v>451.11</v>
      </c>
      <c r="AI385" s="89"/>
    </row>
    <row r="386" spans="1:36" x14ac:dyDescent="0.4">
      <c r="A386" s="590" t="s">
        <v>194</v>
      </c>
      <c r="B386" s="590" t="s">
        <v>1307</v>
      </c>
      <c r="C386" s="565" t="s">
        <v>32</v>
      </c>
      <c r="D386" s="565" t="s">
        <v>32</v>
      </c>
      <c r="E386" s="565" t="s">
        <v>32</v>
      </c>
      <c r="F386" s="565" t="s">
        <v>32</v>
      </c>
      <c r="G386" s="565" t="s">
        <v>32</v>
      </c>
      <c r="H386" s="565" t="s">
        <v>32</v>
      </c>
      <c r="I386" s="565" t="s">
        <v>32</v>
      </c>
      <c r="J386" s="565" t="s">
        <v>32</v>
      </c>
      <c r="K386" s="565" t="s">
        <v>32</v>
      </c>
      <c r="L386" s="565" t="s">
        <v>32</v>
      </c>
      <c r="M386" s="565" t="s">
        <v>32</v>
      </c>
      <c r="N386" s="565" t="s">
        <v>32</v>
      </c>
      <c r="O386" s="565" t="s">
        <v>32</v>
      </c>
      <c r="P386" s="565" t="s">
        <v>32</v>
      </c>
      <c r="Q386" s="565" t="s">
        <v>32</v>
      </c>
      <c r="R386" s="565" t="s">
        <v>32</v>
      </c>
      <c r="S386" s="565" t="s">
        <v>32</v>
      </c>
      <c r="T386" s="565" t="s">
        <v>32</v>
      </c>
      <c r="U386" s="565" t="s">
        <v>32</v>
      </c>
      <c r="V386" s="565" t="s">
        <v>32</v>
      </c>
      <c r="W386" s="565" t="s">
        <v>32</v>
      </c>
      <c r="X386" s="565" t="s">
        <v>32</v>
      </c>
      <c r="Y386" s="565" t="s">
        <v>32</v>
      </c>
      <c r="Z386" s="565" t="s">
        <v>32</v>
      </c>
      <c r="AA386" s="565" t="s">
        <v>32</v>
      </c>
      <c r="AB386" s="565" t="s">
        <v>32</v>
      </c>
      <c r="AC386" s="566">
        <v>85</v>
      </c>
      <c r="AD386" s="566">
        <v>19</v>
      </c>
      <c r="AE386" s="566">
        <v>2</v>
      </c>
      <c r="AF386" s="566">
        <v>0</v>
      </c>
      <c r="AG386" s="566">
        <v>7</v>
      </c>
      <c r="AH386" s="1131">
        <v>34</v>
      </c>
      <c r="AI386" s="89"/>
    </row>
    <row r="387" spans="1:36" ht="17" x14ac:dyDescent="0.4">
      <c r="A387" s="590" t="s">
        <v>195</v>
      </c>
      <c r="B387" s="1474" t="s">
        <v>1389</v>
      </c>
      <c r="C387" s="565" t="s">
        <v>32</v>
      </c>
      <c r="D387" s="565" t="s">
        <v>32</v>
      </c>
      <c r="E387" s="565" t="s">
        <v>32</v>
      </c>
      <c r="F387" s="565" t="s">
        <v>32</v>
      </c>
      <c r="G387" s="565" t="s">
        <v>32</v>
      </c>
      <c r="H387" s="565" t="s">
        <v>32</v>
      </c>
      <c r="I387" s="565" t="s">
        <v>32</v>
      </c>
      <c r="J387" s="565" t="s">
        <v>32</v>
      </c>
      <c r="K387" s="565" t="s">
        <v>32</v>
      </c>
      <c r="L387" s="565" t="s">
        <v>32</v>
      </c>
      <c r="M387" s="565" t="s">
        <v>32</v>
      </c>
      <c r="N387" s="565" t="s">
        <v>32</v>
      </c>
      <c r="O387" s="565" t="s">
        <v>32</v>
      </c>
      <c r="P387" s="565" t="s">
        <v>32</v>
      </c>
      <c r="Q387" s="565" t="s">
        <v>32</v>
      </c>
      <c r="R387" s="565" t="s">
        <v>32</v>
      </c>
      <c r="S387" s="565" t="s">
        <v>32</v>
      </c>
      <c r="T387" s="565" t="s">
        <v>32</v>
      </c>
      <c r="U387" s="565" t="s">
        <v>32</v>
      </c>
      <c r="V387" s="565" t="s">
        <v>32</v>
      </c>
      <c r="W387" s="565" t="s">
        <v>32</v>
      </c>
      <c r="X387" s="565" t="s">
        <v>32</v>
      </c>
      <c r="Y387" s="565" t="s">
        <v>32</v>
      </c>
      <c r="Z387" s="565" t="s">
        <v>32</v>
      </c>
      <c r="AA387" s="565" t="s">
        <v>32</v>
      </c>
      <c r="AB387" s="565" t="s">
        <v>32</v>
      </c>
      <c r="AC387" s="565">
        <v>300.27</v>
      </c>
      <c r="AD387" s="565">
        <v>10.57</v>
      </c>
      <c r="AE387" s="565">
        <v>0.92</v>
      </c>
      <c r="AF387" s="565">
        <v>133.75</v>
      </c>
      <c r="AG387" s="565">
        <v>13.48</v>
      </c>
      <c r="AH387" s="1130">
        <v>72.53</v>
      </c>
      <c r="AI387" s="89"/>
    </row>
    <row r="388" spans="1:36" ht="17" x14ac:dyDescent="0.4">
      <c r="A388" s="591" t="s">
        <v>195</v>
      </c>
      <c r="B388" s="1475" t="s">
        <v>1390</v>
      </c>
      <c r="C388" s="565" t="s">
        <v>32</v>
      </c>
      <c r="D388" s="565" t="s">
        <v>32</v>
      </c>
      <c r="E388" s="565" t="s">
        <v>32</v>
      </c>
      <c r="F388" s="565" t="s">
        <v>32</v>
      </c>
      <c r="G388" s="565" t="s">
        <v>32</v>
      </c>
      <c r="H388" s="565" t="s">
        <v>32</v>
      </c>
      <c r="I388" s="565" t="s">
        <v>32</v>
      </c>
      <c r="J388" s="565" t="s">
        <v>32</v>
      </c>
      <c r="K388" s="565" t="s">
        <v>32</v>
      </c>
      <c r="L388" s="565" t="s">
        <v>32</v>
      </c>
      <c r="M388" s="565" t="s">
        <v>32</v>
      </c>
      <c r="N388" s="565" t="s">
        <v>32</v>
      </c>
      <c r="O388" s="565" t="s">
        <v>32</v>
      </c>
      <c r="P388" s="565" t="s">
        <v>32</v>
      </c>
      <c r="Q388" s="565" t="s">
        <v>32</v>
      </c>
      <c r="R388" s="565" t="s">
        <v>32</v>
      </c>
      <c r="S388" s="565" t="s">
        <v>32</v>
      </c>
      <c r="T388" s="565" t="s">
        <v>32</v>
      </c>
      <c r="U388" s="565" t="s">
        <v>32</v>
      </c>
      <c r="V388" s="565" t="s">
        <v>32</v>
      </c>
      <c r="W388" s="565" t="s">
        <v>32</v>
      </c>
      <c r="X388" s="565" t="s">
        <v>32</v>
      </c>
      <c r="Y388" s="565" t="s">
        <v>32</v>
      </c>
      <c r="Z388" s="565" t="s">
        <v>32</v>
      </c>
      <c r="AA388" s="565" t="s">
        <v>32</v>
      </c>
      <c r="AB388" s="565" t="s">
        <v>32</v>
      </c>
      <c r="AC388" s="592">
        <v>8.6999999999999993</v>
      </c>
      <c r="AD388" s="592">
        <v>0.3</v>
      </c>
      <c r="AE388" s="592">
        <v>0</v>
      </c>
      <c r="AF388" s="592">
        <v>3.9</v>
      </c>
      <c r="AG388" s="592">
        <v>0.4</v>
      </c>
      <c r="AH388" s="1132">
        <v>2.1</v>
      </c>
      <c r="AI388" s="89"/>
    </row>
    <row r="389" spans="1:36" x14ac:dyDescent="0.4">
      <c r="A389" s="1188" t="s">
        <v>1063</v>
      </c>
      <c r="B389" s="1191"/>
      <c r="C389" s="1191"/>
      <c r="D389" s="1191"/>
      <c r="E389" s="1191"/>
      <c r="F389" s="1191"/>
      <c r="G389" s="1191"/>
      <c r="H389" s="1191"/>
      <c r="I389" s="1191"/>
      <c r="J389" s="1191"/>
      <c r="K389" s="1191"/>
      <c r="L389" s="1191"/>
      <c r="M389" s="1191"/>
      <c r="N389" s="1191"/>
      <c r="O389" s="1191"/>
      <c r="P389" s="1191"/>
      <c r="Q389" s="1191"/>
      <c r="R389" s="1191"/>
      <c r="S389" s="1191"/>
      <c r="T389" s="1191"/>
      <c r="U389" s="1191"/>
      <c r="V389" s="1191"/>
      <c r="W389" s="1191"/>
      <c r="X389" s="1191"/>
      <c r="Y389" s="1191"/>
      <c r="Z389" s="1191"/>
      <c r="AA389" s="1191"/>
      <c r="AB389" s="1191"/>
      <c r="AC389" s="1191"/>
      <c r="AD389" s="1191"/>
      <c r="AE389" s="1191"/>
      <c r="AF389" s="1191"/>
      <c r="AG389" s="1191"/>
      <c r="AH389" s="1191"/>
      <c r="AI389" s="89"/>
    </row>
    <row r="390" spans="1:36" x14ac:dyDescent="0.4">
      <c r="A390" s="581"/>
      <c r="B390" s="89"/>
      <c r="C390" s="89"/>
      <c r="D390" s="89"/>
      <c r="E390" s="89"/>
      <c r="F390" s="89"/>
      <c r="G390" s="89"/>
      <c r="H390" s="89"/>
      <c r="I390" s="89"/>
      <c r="J390" s="89"/>
      <c r="K390" s="89"/>
      <c r="L390" s="89"/>
      <c r="M390" s="89"/>
      <c r="N390" s="89"/>
      <c r="O390" s="89"/>
      <c r="P390" s="89"/>
      <c r="Q390" s="89"/>
      <c r="R390" s="89"/>
      <c r="S390" s="89"/>
      <c r="T390" s="89"/>
      <c r="U390" s="89"/>
      <c r="V390" s="89"/>
      <c r="W390" s="89"/>
      <c r="X390" s="89"/>
      <c r="Y390" s="89"/>
      <c r="Z390" s="89"/>
      <c r="AA390" s="89"/>
      <c r="AB390" s="89"/>
      <c r="AC390" s="89"/>
      <c r="AD390" s="89"/>
      <c r="AE390" s="89"/>
      <c r="AF390" s="89"/>
      <c r="AG390" s="89"/>
      <c r="AH390" s="89"/>
      <c r="AI390" s="89"/>
    </row>
    <row r="391" spans="1:36" x14ac:dyDescent="0.4">
      <c r="A391" s="1407" t="s">
        <v>1313</v>
      </c>
      <c r="C391" s="597"/>
      <c r="D391" s="89"/>
      <c r="E391" s="89"/>
      <c r="F391" s="89"/>
      <c r="G391" s="89"/>
      <c r="H391" s="89"/>
      <c r="I391" s="89"/>
      <c r="J391" s="89"/>
      <c r="K391" s="89"/>
      <c r="L391" s="89"/>
      <c r="M391" s="89"/>
      <c r="N391" s="89"/>
      <c r="O391" s="89"/>
      <c r="P391" s="89"/>
      <c r="Q391" s="89"/>
      <c r="R391" s="89"/>
      <c r="S391" s="89"/>
      <c r="T391" s="89"/>
      <c r="U391" s="89"/>
      <c r="V391" s="89"/>
      <c r="W391" s="89"/>
      <c r="X391" s="89"/>
      <c r="Y391" s="89"/>
      <c r="Z391" s="89"/>
      <c r="AA391" s="89"/>
      <c r="AB391" s="89"/>
      <c r="AC391" s="89"/>
      <c r="AD391" s="89"/>
      <c r="AE391" s="89"/>
      <c r="AF391" s="89"/>
      <c r="AG391" s="89"/>
      <c r="AH391" s="89"/>
      <c r="AI391" s="89"/>
    </row>
    <row r="392" spans="1:36" x14ac:dyDescent="0.4">
      <c r="A392" s="597" t="s">
        <v>713</v>
      </c>
      <c r="C392" s="597"/>
      <c r="D392" s="89"/>
      <c r="E392" s="89"/>
      <c r="F392" s="89"/>
      <c r="G392" s="89"/>
      <c r="H392" s="89"/>
      <c r="I392" s="89"/>
      <c r="J392" s="89"/>
      <c r="K392" s="89"/>
      <c r="L392" s="89"/>
      <c r="M392" s="89"/>
      <c r="N392" s="89"/>
      <c r="O392" s="89"/>
      <c r="P392" s="89"/>
      <c r="Q392" s="89"/>
      <c r="R392" s="89"/>
      <c r="S392" s="89"/>
      <c r="T392" s="89"/>
      <c r="U392" s="89"/>
      <c r="V392" s="89"/>
      <c r="W392" s="89"/>
      <c r="X392" s="89"/>
      <c r="Y392" s="89"/>
      <c r="Z392" s="89"/>
      <c r="AA392" s="89"/>
      <c r="AB392" s="89"/>
      <c r="AC392" s="89"/>
      <c r="AD392" s="89"/>
      <c r="AE392" s="89"/>
      <c r="AF392" s="89"/>
      <c r="AG392" s="89"/>
      <c r="AH392" s="89"/>
      <c r="AI392" s="89"/>
      <c r="AJ392" s="89"/>
    </row>
    <row r="393" spans="1:36" x14ac:dyDescent="0.4">
      <c r="B393" s="597"/>
      <c r="C393" s="89"/>
      <c r="D393" s="89"/>
      <c r="E393" s="89"/>
      <c r="F393" s="89"/>
      <c r="G393" s="89"/>
      <c r="H393" s="89"/>
      <c r="I393" s="89"/>
      <c r="J393" s="89"/>
      <c r="K393" s="89"/>
      <c r="L393" s="89"/>
      <c r="M393" s="89"/>
      <c r="N393" s="89"/>
      <c r="O393" s="89"/>
      <c r="P393" s="89"/>
      <c r="Q393" s="89"/>
      <c r="R393" s="89"/>
      <c r="S393" s="89"/>
      <c r="T393" s="89"/>
      <c r="U393" s="89"/>
      <c r="V393" s="89"/>
      <c r="W393" s="89"/>
      <c r="X393" s="89"/>
      <c r="Y393" s="89"/>
      <c r="Z393" s="89"/>
      <c r="AA393" s="89"/>
      <c r="AB393" s="89"/>
      <c r="AC393" s="89"/>
      <c r="AD393" s="89"/>
      <c r="AE393" s="89"/>
      <c r="AF393" s="89"/>
      <c r="AG393" s="89"/>
      <c r="AH393" s="89"/>
      <c r="AI393" s="89"/>
      <c r="AJ393" s="89"/>
    </row>
    <row r="394" spans="1:36" x14ac:dyDescent="0.4">
      <c r="A394" s="659" t="s">
        <v>716</v>
      </c>
      <c r="B394" s="597"/>
      <c r="C394" s="89"/>
      <c r="D394" s="89"/>
      <c r="E394" s="89"/>
      <c r="F394" s="89"/>
      <c r="G394" s="89"/>
      <c r="H394" s="89"/>
      <c r="I394" s="89"/>
      <c r="J394" s="89"/>
      <c r="K394" s="89"/>
      <c r="L394" s="89"/>
      <c r="M394" s="89"/>
      <c r="N394" s="89"/>
      <c r="O394" s="89"/>
      <c r="P394" s="89"/>
      <c r="Q394" s="89"/>
      <c r="R394" s="89"/>
      <c r="S394" s="89"/>
      <c r="T394" s="89"/>
      <c r="U394" s="89"/>
      <c r="V394" s="89"/>
      <c r="W394" s="89"/>
      <c r="X394" s="89"/>
      <c r="Y394" s="89"/>
      <c r="Z394" s="89"/>
      <c r="AA394" s="89"/>
      <c r="AB394" s="89"/>
      <c r="AC394" s="89"/>
      <c r="AD394" s="89"/>
      <c r="AE394" s="89"/>
      <c r="AF394" s="89"/>
      <c r="AG394" s="89"/>
      <c r="AH394" s="89"/>
      <c r="AI394" s="89"/>
      <c r="AJ394" s="89"/>
    </row>
    <row r="395" spans="1:36" x14ac:dyDescent="0.4">
      <c r="A395" s="1139" t="s">
        <v>813</v>
      </c>
      <c r="B395" s="1140" t="s">
        <v>136</v>
      </c>
      <c r="C395" s="1141" t="s">
        <v>391</v>
      </c>
      <c r="D395" s="1128" t="s">
        <v>392</v>
      </c>
      <c r="E395" s="1128" t="s">
        <v>393</v>
      </c>
      <c r="F395" s="1128" t="s">
        <v>394</v>
      </c>
      <c r="G395" s="1128" t="s">
        <v>395</v>
      </c>
      <c r="H395" s="1128" t="s">
        <v>396</v>
      </c>
      <c r="I395" s="1128" t="s">
        <v>397</v>
      </c>
      <c r="J395" s="1128" t="s">
        <v>398</v>
      </c>
      <c r="K395" s="1128" t="s">
        <v>399</v>
      </c>
      <c r="L395" s="1128" t="s">
        <v>400</v>
      </c>
      <c r="M395" s="1128" t="s">
        <v>401</v>
      </c>
      <c r="N395" s="1128" t="s">
        <v>402</v>
      </c>
      <c r="O395" s="1128" t="s">
        <v>403</v>
      </c>
      <c r="P395" s="1128" t="s">
        <v>404</v>
      </c>
      <c r="Q395" s="1128" t="s">
        <v>405</v>
      </c>
      <c r="R395" s="1128" t="s">
        <v>406</v>
      </c>
      <c r="S395" s="1128" t="s">
        <v>407</v>
      </c>
      <c r="T395" s="1128" t="s">
        <v>408</v>
      </c>
      <c r="U395" s="1128" t="s">
        <v>409</v>
      </c>
      <c r="V395" s="1128" t="s">
        <v>410</v>
      </c>
      <c r="W395" s="1128" t="s">
        <v>411</v>
      </c>
      <c r="X395" s="1128" t="s">
        <v>412</v>
      </c>
      <c r="Y395" s="1128" t="s">
        <v>413</v>
      </c>
      <c r="Z395" s="1128" t="s">
        <v>414</v>
      </c>
      <c r="AA395" s="1128" t="s">
        <v>415</v>
      </c>
      <c r="AB395" s="1128" t="s">
        <v>416</v>
      </c>
      <c r="AC395" s="1128" t="s">
        <v>417</v>
      </c>
      <c r="AD395" s="1128" t="s">
        <v>418</v>
      </c>
      <c r="AE395" s="1128" t="s">
        <v>419</v>
      </c>
      <c r="AF395" s="1128" t="s">
        <v>420</v>
      </c>
      <c r="AG395" s="1129" t="s">
        <v>421</v>
      </c>
      <c r="AH395" s="1128" t="s">
        <v>422</v>
      </c>
      <c r="AI395" s="1129" t="s">
        <v>423</v>
      </c>
      <c r="AJ395" s="1128" t="s">
        <v>424</v>
      </c>
    </row>
    <row r="396" spans="1:36" x14ac:dyDescent="0.4">
      <c r="A396" s="1138" t="s">
        <v>160</v>
      </c>
      <c r="B396" s="1138" t="s">
        <v>170</v>
      </c>
      <c r="C396" s="565" t="s">
        <v>32</v>
      </c>
      <c r="D396" s="565" t="s">
        <v>32</v>
      </c>
      <c r="E396" s="565" t="s">
        <v>32</v>
      </c>
      <c r="F396" s="565" t="s">
        <v>32</v>
      </c>
      <c r="G396" s="565" t="s">
        <v>32</v>
      </c>
      <c r="H396" s="565" t="s">
        <v>32</v>
      </c>
      <c r="I396" s="565" t="s">
        <v>32</v>
      </c>
      <c r="J396" s="565" t="s">
        <v>32</v>
      </c>
      <c r="K396" s="565" t="s">
        <v>32</v>
      </c>
      <c r="L396" s="565" t="s">
        <v>32</v>
      </c>
      <c r="M396" s="565" t="s">
        <v>32</v>
      </c>
      <c r="N396" s="565" t="s">
        <v>32</v>
      </c>
      <c r="O396" s="565" t="s">
        <v>32</v>
      </c>
      <c r="P396" s="565" t="s">
        <v>32</v>
      </c>
      <c r="Q396" s="565" t="s">
        <v>32</v>
      </c>
      <c r="R396" s="565" t="s">
        <v>32</v>
      </c>
      <c r="S396" s="565" t="s">
        <v>32</v>
      </c>
      <c r="T396" s="565" t="s">
        <v>32</v>
      </c>
      <c r="U396" s="565" t="s">
        <v>32</v>
      </c>
      <c r="V396" s="565" t="s">
        <v>32</v>
      </c>
      <c r="W396" s="565" t="s">
        <v>32</v>
      </c>
      <c r="X396" s="565" t="s">
        <v>32</v>
      </c>
      <c r="Y396" s="565" t="s">
        <v>32</v>
      </c>
      <c r="Z396" s="565" t="s">
        <v>32</v>
      </c>
      <c r="AA396" s="565" t="s">
        <v>32</v>
      </c>
      <c r="AB396" s="565" t="s">
        <v>32</v>
      </c>
      <c r="AC396" s="1245">
        <f t="shared" ref="AC396:AJ399" si="132">AC377+AC385</f>
        <v>1059.9299999999998</v>
      </c>
      <c r="AD396" s="1245">
        <f t="shared" si="132"/>
        <v>1058.6100000000001</v>
      </c>
      <c r="AE396" s="1245">
        <f t="shared" si="132"/>
        <v>1059.25</v>
      </c>
      <c r="AF396" s="1245">
        <f t="shared" si="132"/>
        <v>1056.0899999999999</v>
      </c>
      <c r="AG396" s="1245">
        <f t="shared" si="132"/>
        <v>1058.1869885999999</v>
      </c>
      <c r="AH396" s="1245">
        <f t="shared" si="132"/>
        <v>1052.71</v>
      </c>
      <c r="AI396" s="1245">
        <f t="shared" si="132"/>
        <v>601.70000000000005</v>
      </c>
      <c r="AJ396" s="1245">
        <f t="shared" si="132"/>
        <v>603.44000000000005</v>
      </c>
    </row>
    <row r="397" spans="1:36" x14ac:dyDescent="0.4">
      <c r="A397" s="1138" t="s">
        <v>194</v>
      </c>
      <c r="B397" s="1138" t="s">
        <v>1307</v>
      </c>
      <c r="C397" s="565" t="s">
        <v>32</v>
      </c>
      <c r="D397" s="565" t="s">
        <v>32</v>
      </c>
      <c r="E397" s="565" t="s">
        <v>32</v>
      </c>
      <c r="F397" s="565" t="s">
        <v>32</v>
      </c>
      <c r="G397" s="565" t="s">
        <v>32</v>
      </c>
      <c r="H397" s="565" t="s">
        <v>32</v>
      </c>
      <c r="I397" s="565" t="s">
        <v>32</v>
      </c>
      <c r="J397" s="565" t="s">
        <v>32</v>
      </c>
      <c r="K397" s="565" t="s">
        <v>32</v>
      </c>
      <c r="L397" s="565" t="s">
        <v>32</v>
      </c>
      <c r="M397" s="565" t="s">
        <v>32</v>
      </c>
      <c r="N397" s="565" t="s">
        <v>32</v>
      </c>
      <c r="O397" s="565" t="s">
        <v>32</v>
      </c>
      <c r="P397" s="565" t="s">
        <v>32</v>
      </c>
      <c r="Q397" s="565" t="s">
        <v>32</v>
      </c>
      <c r="R397" s="565" t="s">
        <v>32</v>
      </c>
      <c r="S397" s="565" t="s">
        <v>32</v>
      </c>
      <c r="T397" s="565" t="s">
        <v>32</v>
      </c>
      <c r="U397" s="565" t="s">
        <v>32</v>
      </c>
      <c r="V397" s="565" t="s">
        <v>32</v>
      </c>
      <c r="W397" s="565" t="s">
        <v>32</v>
      </c>
      <c r="X397" s="565" t="s">
        <v>32</v>
      </c>
      <c r="Y397" s="565" t="s">
        <v>32</v>
      </c>
      <c r="Z397" s="565" t="s">
        <v>32</v>
      </c>
      <c r="AA397" s="565" t="s">
        <v>32</v>
      </c>
      <c r="AB397" s="565" t="s">
        <v>32</v>
      </c>
      <c r="AC397" s="1246">
        <f t="shared" si="132"/>
        <v>88</v>
      </c>
      <c r="AD397" s="1246">
        <f t="shared" si="132"/>
        <v>24</v>
      </c>
      <c r="AE397" s="1246">
        <f t="shared" si="132"/>
        <v>2</v>
      </c>
      <c r="AF397" s="1246">
        <f t="shared" si="132"/>
        <v>5</v>
      </c>
      <c r="AG397" s="1246">
        <f t="shared" si="132"/>
        <v>10</v>
      </c>
      <c r="AH397" s="1246">
        <f t="shared" si="132"/>
        <v>36</v>
      </c>
      <c r="AI397" s="1246">
        <f t="shared" si="132"/>
        <v>20</v>
      </c>
      <c r="AJ397" s="1246">
        <f t="shared" si="132"/>
        <v>37</v>
      </c>
    </row>
    <row r="398" spans="1:36" ht="17" x14ac:dyDescent="0.4">
      <c r="A398" s="1138" t="s">
        <v>195</v>
      </c>
      <c r="B398" s="1138" t="s">
        <v>1389</v>
      </c>
      <c r="C398" s="565" t="s">
        <v>32</v>
      </c>
      <c r="D398" s="565" t="s">
        <v>32</v>
      </c>
      <c r="E398" s="565" t="s">
        <v>32</v>
      </c>
      <c r="F398" s="565" t="s">
        <v>32</v>
      </c>
      <c r="G398" s="565" t="s">
        <v>32</v>
      </c>
      <c r="H398" s="565" t="s">
        <v>32</v>
      </c>
      <c r="I398" s="565" t="s">
        <v>32</v>
      </c>
      <c r="J398" s="565" t="s">
        <v>32</v>
      </c>
      <c r="K398" s="565" t="s">
        <v>32</v>
      </c>
      <c r="L398" s="565" t="s">
        <v>32</v>
      </c>
      <c r="M398" s="565" t="s">
        <v>32</v>
      </c>
      <c r="N398" s="565" t="s">
        <v>32</v>
      </c>
      <c r="O398" s="565" t="s">
        <v>32</v>
      </c>
      <c r="P398" s="565" t="s">
        <v>32</v>
      </c>
      <c r="Q398" s="565" t="s">
        <v>32</v>
      </c>
      <c r="R398" s="565" t="s">
        <v>32</v>
      </c>
      <c r="S398" s="565" t="s">
        <v>32</v>
      </c>
      <c r="T398" s="565" t="s">
        <v>32</v>
      </c>
      <c r="U398" s="565" t="s">
        <v>32</v>
      </c>
      <c r="V398" s="565" t="s">
        <v>32</v>
      </c>
      <c r="W398" s="565" t="s">
        <v>32</v>
      </c>
      <c r="X398" s="565" t="s">
        <v>32</v>
      </c>
      <c r="Y398" s="565" t="s">
        <v>32</v>
      </c>
      <c r="Z398" s="565" t="s">
        <v>32</v>
      </c>
      <c r="AA398" s="565" t="s">
        <v>32</v>
      </c>
      <c r="AB398" s="565" t="s">
        <v>32</v>
      </c>
      <c r="AC398" s="1245">
        <f t="shared" si="132"/>
        <v>300.81</v>
      </c>
      <c r="AD398" s="1245">
        <f t="shared" si="132"/>
        <v>83.41</v>
      </c>
      <c r="AE398" s="1245">
        <f t="shared" si="132"/>
        <v>0.92</v>
      </c>
      <c r="AF398" s="1245">
        <f t="shared" si="132"/>
        <v>154.77000000000001</v>
      </c>
      <c r="AG398" s="1245">
        <f t="shared" si="132"/>
        <v>60.6659425</v>
      </c>
      <c r="AH398" s="1245">
        <f t="shared" si="132"/>
        <v>72.680372399999996</v>
      </c>
      <c r="AI398" s="1245">
        <f t="shared" si="132"/>
        <v>20.6886288</v>
      </c>
      <c r="AJ398" s="1245">
        <f t="shared" si="132"/>
        <v>158.90232</v>
      </c>
    </row>
    <row r="399" spans="1:36" ht="17" x14ac:dyDescent="0.4">
      <c r="A399" s="1138" t="s">
        <v>195</v>
      </c>
      <c r="B399" s="1476" t="s">
        <v>1390</v>
      </c>
      <c r="C399" s="592" t="s">
        <v>32</v>
      </c>
      <c r="D399" s="592" t="s">
        <v>32</v>
      </c>
      <c r="E399" s="592" t="s">
        <v>32</v>
      </c>
      <c r="F399" s="592" t="s">
        <v>32</v>
      </c>
      <c r="G399" s="592" t="s">
        <v>32</v>
      </c>
      <c r="H399" s="592" t="s">
        <v>32</v>
      </c>
      <c r="I399" s="592" t="s">
        <v>32</v>
      </c>
      <c r="J399" s="592" t="s">
        <v>32</v>
      </c>
      <c r="K399" s="592" t="s">
        <v>32</v>
      </c>
      <c r="L399" s="592" t="s">
        <v>32</v>
      </c>
      <c r="M399" s="592" t="s">
        <v>32</v>
      </c>
      <c r="N399" s="592" t="s">
        <v>32</v>
      </c>
      <c r="O399" s="592" t="s">
        <v>32</v>
      </c>
      <c r="P399" s="592" t="s">
        <v>32</v>
      </c>
      <c r="Q399" s="592" t="s">
        <v>32</v>
      </c>
      <c r="R399" s="592" t="s">
        <v>32</v>
      </c>
      <c r="S399" s="592" t="s">
        <v>32</v>
      </c>
      <c r="T399" s="592" t="s">
        <v>32</v>
      </c>
      <c r="U399" s="592" t="s">
        <v>32</v>
      </c>
      <c r="V399" s="592" t="s">
        <v>32</v>
      </c>
      <c r="W399" s="592" t="s">
        <v>32</v>
      </c>
      <c r="X399" s="592" t="s">
        <v>32</v>
      </c>
      <c r="Y399" s="592" t="s">
        <v>32</v>
      </c>
      <c r="Z399" s="592" t="s">
        <v>32</v>
      </c>
      <c r="AA399" s="592" t="s">
        <v>32</v>
      </c>
      <c r="AB399" s="592" t="s">
        <v>32</v>
      </c>
      <c r="AC399" s="1247">
        <f t="shared" si="132"/>
        <v>8.6999999999999993</v>
      </c>
      <c r="AD399" s="1247">
        <f t="shared" si="132"/>
        <v>2.4</v>
      </c>
      <c r="AE399" s="1247">
        <f t="shared" si="132"/>
        <v>0</v>
      </c>
      <c r="AF399" s="1247">
        <f t="shared" si="132"/>
        <v>4.5</v>
      </c>
      <c r="AG399" s="1247">
        <f t="shared" si="132"/>
        <v>1.7607349999999999</v>
      </c>
      <c r="AH399" s="1247">
        <f t="shared" si="132"/>
        <v>2.1043364000000002</v>
      </c>
      <c r="AI399" s="1247">
        <f t="shared" si="132"/>
        <v>0.5966129</v>
      </c>
      <c r="AJ399" s="1247">
        <f t="shared" si="132"/>
        <v>4.5823805000000002</v>
      </c>
    </row>
    <row r="400" spans="1:36" x14ac:dyDescent="0.4">
      <c r="A400" s="597" t="s">
        <v>1063</v>
      </c>
      <c r="B400" s="597"/>
      <c r="C400" s="89"/>
      <c r="D400" s="89"/>
      <c r="E400" s="89"/>
      <c r="F400" s="89"/>
      <c r="G400" s="89"/>
      <c r="H400" s="89"/>
      <c r="I400" s="89"/>
      <c r="J400" s="89"/>
      <c r="K400" s="89"/>
      <c r="L400" s="89"/>
      <c r="M400" s="89"/>
      <c r="N400" s="89"/>
      <c r="O400" s="89"/>
      <c r="P400" s="89"/>
      <c r="Q400" s="89"/>
      <c r="R400" s="89"/>
      <c r="S400" s="89"/>
      <c r="T400" s="89"/>
      <c r="U400" s="89"/>
      <c r="V400" s="89"/>
      <c r="W400" s="89"/>
      <c r="X400" s="89"/>
      <c r="Y400" s="89"/>
      <c r="Z400" s="89"/>
      <c r="AA400" s="89"/>
      <c r="AB400" s="89"/>
      <c r="AC400" s="89"/>
      <c r="AD400" s="89"/>
      <c r="AE400" s="89"/>
      <c r="AF400" s="89"/>
      <c r="AG400" s="89"/>
      <c r="AH400" s="89"/>
      <c r="AI400" s="89"/>
      <c r="AJ400" s="89"/>
    </row>
    <row r="401" spans="1:38" s="28" customFormat="1" x14ac:dyDescent="0.4">
      <c r="A401" s="597"/>
      <c r="B401" s="597"/>
      <c r="C401" s="89"/>
      <c r="D401" s="89"/>
      <c r="E401" s="89"/>
      <c r="F401" s="89"/>
      <c r="G401" s="89"/>
      <c r="H401" s="89"/>
      <c r="I401" s="89"/>
      <c r="J401" s="89"/>
      <c r="K401" s="89"/>
      <c r="L401" s="89"/>
      <c r="M401" s="89"/>
      <c r="N401" s="89"/>
      <c r="O401" s="89"/>
      <c r="P401" s="89"/>
      <c r="Q401" s="89"/>
      <c r="R401" s="89"/>
      <c r="S401" s="89"/>
      <c r="T401" s="89"/>
      <c r="U401" s="89"/>
      <c r="V401" s="89"/>
      <c r="W401" s="89"/>
      <c r="X401" s="89"/>
      <c r="Y401" s="89"/>
      <c r="Z401" s="89"/>
      <c r="AA401" s="89"/>
      <c r="AB401" s="89"/>
      <c r="AC401" s="89"/>
      <c r="AD401" s="89"/>
      <c r="AE401" s="89"/>
      <c r="AF401" s="89"/>
      <c r="AG401" s="89"/>
      <c r="AH401" s="89"/>
      <c r="AI401" s="89"/>
      <c r="AJ401" s="89"/>
      <c r="AK401" s="3"/>
      <c r="AL401" s="3"/>
    </row>
    <row r="402" spans="1:38" x14ac:dyDescent="0.4">
      <c r="A402" s="1137" t="s">
        <v>821</v>
      </c>
      <c r="B402" s="88"/>
      <c r="C402" s="230"/>
      <c r="D402" s="230"/>
      <c r="E402" s="230"/>
      <c r="F402" s="230"/>
      <c r="G402" s="230"/>
      <c r="H402" s="230"/>
      <c r="I402" s="230"/>
      <c r="J402" s="230"/>
      <c r="K402" s="230"/>
      <c r="L402" s="230"/>
      <c r="M402" s="230"/>
      <c r="N402" s="230"/>
      <c r="O402" s="230"/>
      <c r="P402" s="230"/>
      <c r="Q402" s="230"/>
      <c r="R402" s="230"/>
      <c r="S402" s="230"/>
      <c r="T402" s="230"/>
      <c r="U402" s="230"/>
      <c r="V402" s="230"/>
      <c r="W402" s="230"/>
      <c r="X402" s="230"/>
      <c r="Y402" s="230"/>
      <c r="Z402" s="230"/>
      <c r="AA402" s="230"/>
      <c r="AB402" s="230"/>
      <c r="AC402" s="230"/>
      <c r="AD402" s="230"/>
      <c r="AE402" s="230"/>
      <c r="AF402" s="230"/>
      <c r="AG402" s="230"/>
      <c r="AH402" s="230"/>
      <c r="AI402" s="230"/>
      <c r="AJ402" s="230"/>
    </row>
    <row r="403" spans="1:38" x14ac:dyDescent="0.4">
      <c r="A403" s="1238" t="s">
        <v>719</v>
      </c>
      <c r="B403" s="88"/>
      <c r="C403" s="230"/>
      <c r="D403" s="230"/>
      <c r="E403" s="230"/>
      <c r="F403" s="230"/>
      <c r="G403" s="230"/>
      <c r="H403" s="230"/>
      <c r="I403" s="230"/>
      <c r="J403" s="230"/>
      <c r="K403" s="230"/>
      <c r="L403" s="230"/>
      <c r="M403" s="230"/>
      <c r="N403" s="230"/>
      <c r="O403" s="230"/>
      <c r="P403" s="230"/>
      <c r="Q403" s="230"/>
      <c r="R403" s="230"/>
      <c r="S403" s="230"/>
      <c r="T403" s="230"/>
      <c r="U403" s="230"/>
      <c r="V403" s="230"/>
      <c r="W403" s="230"/>
      <c r="X403" s="230"/>
      <c r="Y403" s="230"/>
      <c r="Z403" s="230"/>
      <c r="AA403" s="230"/>
      <c r="AB403" s="230"/>
      <c r="AC403" s="230"/>
      <c r="AD403" s="230"/>
      <c r="AE403" s="230"/>
      <c r="AF403" s="230"/>
      <c r="AG403" s="230"/>
      <c r="AH403" s="230"/>
      <c r="AI403" s="230"/>
      <c r="AJ403" s="230"/>
    </row>
    <row r="404" spans="1:38" x14ac:dyDescent="0.4">
      <c r="A404" s="1158" t="s">
        <v>814</v>
      </c>
      <c r="B404" s="1140" t="s">
        <v>136</v>
      </c>
      <c r="C404" s="1159" t="s">
        <v>391</v>
      </c>
      <c r="D404" s="1159" t="s">
        <v>392</v>
      </c>
      <c r="E404" s="1159" t="s">
        <v>393</v>
      </c>
      <c r="F404" s="1159" t="s">
        <v>394</v>
      </c>
      <c r="G404" s="1159" t="s">
        <v>395</v>
      </c>
      <c r="H404" s="1159" t="s">
        <v>396</v>
      </c>
      <c r="I404" s="1159" t="s">
        <v>397</v>
      </c>
      <c r="J404" s="1159" t="s">
        <v>398</v>
      </c>
      <c r="K404" s="1159" t="s">
        <v>399</v>
      </c>
      <c r="L404" s="1159" t="s">
        <v>400</v>
      </c>
      <c r="M404" s="1159" t="s">
        <v>401</v>
      </c>
      <c r="N404" s="1159" t="s">
        <v>402</v>
      </c>
      <c r="O404" s="1159" t="s">
        <v>403</v>
      </c>
      <c r="P404" s="1159" t="s">
        <v>404</v>
      </c>
      <c r="Q404" s="1159" t="s">
        <v>405</v>
      </c>
      <c r="R404" s="1159" t="s">
        <v>406</v>
      </c>
      <c r="S404" s="1159" t="s">
        <v>407</v>
      </c>
      <c r="T404" s="1159" t="s">
        <v>408</v>
      </c>
      <c r="U404" s="1159" t="s">
        <v>409</v>
      </c>
      <c r="V404" s="1159" t="s">
        <v>410</v>
      </c>
      <c r="W404" s="1159" t="s">
        <v>411</v>
      </c>
      <c r="X404" s="1159" t="s">
        <v>412</v>
      </c>
      <c r="Y404" s="1159" t="s">
        <v>413</v>
      </c>
      <c r="Z404" s="1159" t="s">
        <v>414</v>
      </c>
      <c r="AA404" s="1159" t="s">
        <v>415</v>
      </c>
      <c r="AB404" s="1159" t="s">
        <v>416</v>
      </c>
      <c r="AC404" s="1159" t="s">
        <v>417</v>
      </c>
      <c r="AD404" s="1159" t="s">
        <v>418</v>
      </c>
      <c r="AE404" s="1159" t="s">
        <v>419</v>
      </c>
      <c r="AF404" s="1159" t="s">
        <v>420</v>
      </c>
      <c r="AG404" s="1159" t="s">
        <v>421</v>
      </c>
      <c r="AH404" s="1159" t="s">
        <v>422</v>
      </c>
      <c r="AI404" s="1159" t="s">
        <v>423</v>
      </c>
      <c r="AJ404" s="1159" t="s">
        <v>424</v>
      </c>
    </row>
    <row r="405" spans="1:38" ht="17" x14ac:dyDescent="0.4">
      <c r="A405" s="568" t="s">
        <v>172</v>
      </c>
      <c r="B405" s="1474" t="s">
        <v>1389</v>
      </c>
      <c r="C405" s="599" t="s">
        <v>32</v>
      </c>
      <c r="D405" s="599" t="s">
        <v>32</v>
      </c>
      <c r="E405" s="599" t="s">
        <v>32</v>
      </c>
      <c r="F405" s="599" t="s">
        <v>32</v>
      </c>
      <c r="G405" s="599" t="s">
        <v>32</v>
      </c>
      <c r="H405" s="599" t="s">
        <v>32</v>
      </c>
      <c r="I405" s="599" t="s">
        <v>32</v>
      </c>
      <c r="J405" s="599" t="s">
        <v>32</v>
      </c>
      <c r="K405" s="599" t="s">
        <v>32</v>
      </c>
      <c r="L405" s="599" t="s">
        <v>32</v>
      </c>
      <c r="M405" s="599" t="s">
        <v>32</v>
      </c>
      <c r="N405" s="599" t="s">
        <v>32</v>
      </c>
      <c r="O405" s="599" t="s">
        <v>32</v>
      </c>
      <c r="P405" s="599" t="s">
        <v>32</v>
      </c>
      <c r="Q405" s="599" t="s">
        <v>32</v>
      </c>
      <c r="R405" s="599" t="s">
        <v>32</v>
      </c>
      <c r="S405" s="599" t="s">
        <v>32</v>
      </c>
      <c r="T405" s="599" t="s">
        <v>32</v>
      </c>
      <c r="U405" s="599" t="s">
        <v>32</v>
      </c>
      <c r="V405" s="599" t="s">
        <v>32</v>
      </c>
      <c r="W405" s="599" t="s">
        <v>32</v>
      </c>
      <c r="X405" s="599" t="s">
        <v>32</v>
      </c>
      <c r="Y405" s="599" t="s">
        <v>32</v>
      </c>
      <c r="Z405" s="599" t="s">
        <v>32</v>
      </c>
      <c r="AA405" s="599" t="s">
        <v>32</v>
      </c>
      <c r="AB405" s="599">
        <v>2.76</v>
      </c>
      <c r="AC405" s="599">
        <v>5.94</v>
      </c>
      <c r="AD405" s="599">
        <v>0.94</v>
      </c>
      <c r="AE405" s="599">
        <v>1.87</v>
      </c>
      <c r="AF405" s="599">
        <v>0.81</v>
      </c>
      <c r="AG405" s="599">
        <v>0</v>
      </c>
      <c r="AH405" s="599">
        <v>16.91</v>
      </c>
      <c r="AI405" s="599">
        <v>21.06</v>
      </c>
      <c r="AJ405" s="599">
        <v>96.28</v>
      </c>
    </row>
    <row r="406" spans="1:38" ht="17" x14ac:dyDescent="0.4">
      <c r="A406" s="568" t="s">
        <v>172</v>
      </c>
      <c r="B406" s="1475" t="s">
        <v>1390</v>
      </c>
      <c r="C406" s="592" t="s">
        <v>32</v>
      </c>
      <c r="D406" s="592" t="s">
        <v>32</v>
      </c>
      <c r="E406" s="592" t="s">
        <v>32</v>
      </c>
      <c r="F406" s="592" t="s">
        <v>32</v>
      </c>
      <c r="G406" s="592" t="s">
        <v>32</v>
      </c>
      <c r="H406" s="592" t="s">
        <v>32</v>
      </c>
      <c r="I406" s="592" t="s">
        <v>32</v>
      </c>
      <c r="J406" s="592" t="s">
        <v>32</v>
      </c>
      <c r="K406" s="592" t="s">
        <v>32</v>
      </c>
      <c r="L406" s="592" t="s">
        <v>32</v>
      </c>
      <c r="M406" s="592" t="s">
        <v>32</v>
      </c>
      <c r="N406" s="592" t="s">
        <v>32</v>
      </c>
      <c r="O406" s="592" t="s">
        <v>32</v>
      </c>
      <c r="P406" s="592" t="s">
        <v>32</v>
      </c>
      <c r="Q406" s="592" t="s">
        <v>32</v>
      </c>
      <c r="R406" s="592" t="s">
        <v>32</v>
      </c>
      <c r="S406" s="592" t="s">
        <v>32</v>
      </c>
      <c r="T406" s="592" t="s">
        <v>32</v>
      </c>
      <c r="U406" s="592" t="s">
        <v>32</v>
      </c>
      <c r="V406" s="592" t="s">
        <v>32</v>
      </c>
      <c r="W406" s="592" t="s">
        <v>32</v>
      </c>
      <c r="X406" s="592" t="s">
        <v>32</v>
      </c>
      <c r="Y406" s="592" t="s">
        <v>32</v>
      </c>
      <c r="Z406" s="592" t="s">
        <v>32</v>
      </c>
      <c r="AA406" s="592" t="s">
        <v>32</v>
      </c>
      <c r="AB406" s="599">
        <v>0.1</v>
      </c>
      <c r="AC406" s="599">
        <v>0.2</v>
      </c>
      <c r="AD406" s="599">
        <v>0</v>
      </c>
      <c r="AE406" s="599">
        <v>0.1</v>
      </c>
      <c r="AF406" s="599">
        <v>0</v>
      </c>
      <c r="AG406" s="599">
        <v>0</v>
      </c>
      <c r="AH406" s="599">
        <v>0.5</v>
      </c>
      <c r="AI406" s="599">
        <v>0.7</v>
      </c>
      <c r="AJ406" s="599">
        <v>2.8</v>
      </c>
    </row>
    <row r="407" spans="1:38" x14ac:dyDescent="0.4">
      <c r="A407" s="568" t="s">
        <v>173</v>
      </c>
      <c r="B407" s="600" t="s">
        <v>1308</v>
      </c>
      <c r="C407" s="592" t="s">
        <v>32</v>
      </c>
      <c r="D407" s="592" t="s">
        <v>32</v>
      </c>
      <c r="E407" s="592" t="s">
        <v>32</v>
      </c>
      <c r="F407" s="592" t="s">
        <v>32</v>
      </c>
      <c r="G407" s="592" t="s">
        <v>32</v>
      </c>
      <c r="H407" s="592" t="s">
        <v>32</v>
      </c>
      <c r="I407" s="592" t="s">
        <v>32</v>
      </c>
      <c r="J407" s="592" t="s">
        <v>32</v>
      </c>
      <c r="K407" s="592" t="s">
        <v>32</v>
      </c>
      <c r="L407" s="592" t="s">
        <v>32</v>
      </c>
      <c r="M407" s="592" t="s">
        <v>32</v>
      </c>
      <c r="N407" s="592" t="s">
        <v>32</v>
      </c>
      <c r="O407" s="592" t="s">
        <v>32</v>
      </c>
      <c r="P407" s="592" t="s">
        <v>32</v>
      </c>
      <c r="Q407" s="592" t="s">
        <v>32</v>
      </c>
      <c r="R407" s="592" t="s">
        <v>32</v>
      </c>
      <c r="S407" s="592" t="s">
        <v>32</v>
      </c>
      <c r="T407" s="592" t="s">
        <v>32</v>
      </c>
      <c r="U407" s="592" t="s">
        <v>32</v>
      </c>
      <c r="V407" s="592" t="s">
        <v>32</v>
      </c>
      <c r="W407" s="592" t="s">
        <v>32</v>
      </c>
      <c r="X407" s="592" t="s">
        <v>32</v>
      </c>
      <c r="Y407" s="592" t="s">
        <v>32</v>
      </c>
      <c r="Z407" s="592" t="s">
        <v>32</v>
      </c>
      <c r="AA407" s="592" t="s">
        <v>32</v>
      </c>
      <c r="AB407" s="601">
        <v>1</v>
      </c>
      <c r="AC407" s="601">
        <v>1</v>
      </c>
      <c r="AD407" s="601">
        <v>1</v>
      </c>
      <c r="AE407" s="601">
        <v>1</v>
      </c>
      <c r="AF407" s="601">
        <v>1</v>
      </c>
      <c r="AG407" s="601">
        <v>1</v>
      </c>
      <c r="AH407" s="601">
        <v>1</v>
      </c>
      <c r="AI407" s="601">
        <v>1</v>
      </c>
      <c r="AJ407" s="601">
        <v>1</v>
      </c>
    </row>
    <row r="408" spans="1:38" ht="17" x14ac:dyDescent="0.4">
      <c r="A408" s="568" t="s">
        <v>173</v>
      </c>
      <c r="B408" s="1474" t="s">
        <v>1389</v>
      </c>
      <c r="C408" s="592" t="s">
        <v>32</v>
      </c>
      <c r="D408" s="592" t="s">
        <v>32</v>
      </c>
      <c r="E408" s="592" t="s">
        <v>32</v>
      </c>
      <c r="F408" s="592" t="s">
        <v>32</v>
      </c>
      <c r="G408" s="592" t="s">
        <v>32</v>
      </c>
      <c r="H408" s="592" t="s">
        <v>32</v>
      </c>
      <c r="I408" s="592" t="s">
        <v>32</v>
      </c>
      <c r="J408" s="592" t="s">
        <v>32</v>
      </c>
      <c r="K408" s="592" t="s">
        <v>32</v>
      </c>
      <c r="L408" s="592" t="s">
        <v>32</v>
      </c>
      <c r="M408" s="592" t="s">
        <v>32</v>
      </c>
      <c r="N408" s="592" t="s">
        <v>32</v>
      </c>
      <c r="O408" s="592" t="s">
        <v>32</v>
      </c>
      <c r="P408" s="592" t="s">
        <v>32</v>
      </c>
      <c r="Q408" s="592" t="s">
        <v>32</v>
      </c>
      <c r="R408" s="592" t="s">
        <v>32</v>
      </c>
      <c r="S408" s="592" t="s">
        <v>32</v>
      </c>
      <c r="T408" s="592" t="s">
        <v>32</v>
      </c>
      <c r="U408" s="592" t="s">
        <v>32</v>
      </c>
      <c r="V408" s="592" t="s">
        <v>32</v>
      </c>
      <c r="W408" s="592" t="s">
        <v>32</v>
      </c>
      <c r="X408" s="592" t="s">
        <v>32</v>
      </c>
      <c r="Y408" s="592" t="s">
        <v>32</v>
      </c>
      <c r="Z408" s="592" t="s">
        <v>32</v>
      </c>
      <c r="AA408" s="592" t="s">
        <v>32</v>
      </c>
      <c r="AB408" s="599">
        <v>15.39</v>
      </c>
      <c r="AC408" s="599">
        <v>20.43</v>
      </c>
      <c r="AD408" s="599">
        <v>12.5</v>
      </c>
      <c r="AE408" s="599">
        <v>1.17</v>
      </c>
      <c r="AF408" s="599">
        <v>6.63</v>
      </c>
      <c r="AG408" s="599">
        <v>8.85</v>
      </c>
      <c r="AH408" s="599">
        <v>0.37</v>
      </c>
      <c r="AI408" s="599">
        <v>22.8</v>
      </c>
      <c r="AJ408" s="599">
        <v>1.1399999999999999</v>
      </c>
    </row>
    <row r="409" spans="1:38" ht="17" x14ac:dyDescent="0.4">
      <c r="A409" s="568" t="s">
        <v>173</v>
      </c>
      <c r="B409" s="1475" t="s">
        <v>1390</v>
      </c>
      <c r="C409" s="592" t="s">
        <v>32</v>
      </c>
      <c r="D409" s="592" t="s">
        <v>32</v>
      </c>
      <c r="E409" s="592" t="s">
        <v>32</v>
      </c>
      <c r="F409" s="592" t="s">
        <v>32</v>
      </c>
      <c r="G409" s="592" t="s">
        <v>32</v>
      </c>
      <c r="H409" s="592" t="s">
        <v>32</v>
      </c>
      <c r="I409" s="592" t="s">
        <v>32</v>
      </c>
      <c r="J409" s="592" t="s">
        <v>32</v>
      </c>
      <c r="K409" s="592" t="s">
        <v>32</v>
      </c>
      <c r="L409" s="592" t="s">
        <v>32</v>
      </c>
      <c r="M409" s="592" t="s">
        <v>32</v>
      </c>
      <c r="N409" s="592" t="s">
        <v>32</v>
      </c>
      <c r="O409" s="592" t="s">
        <v>32</v>
      </c>
      <c r="P409" s="592" t="s">
        <v>32</v>
      </c>
      <c r="Q409" s="592" t="s">
        <v>32</v>
      </c>
      <c r="R409" s="592" t="s">
        <v>32</v>
      </c>
      <c r="S409" s="592" t="s">
        <v>32</v>
      </c>
      <c r="T409" s="592" t="s">
        <v>32</v>
      </c>
      <c r="U409" s="592" t="s">
        <v>32</v>
      </c>
      <c r="V409" s="592" t="s">
        <v>32</v>
      </c>
      <c r="W409" s="592" t="s">
        <v>32</v>
      </c>
      <c r="X409" s="592" t="s">
        <v>32</v>
      </c>
      <c r="Y409" s="592" t="s">
        <v>32</v>
      </c>
      <c r="Z409" s="592" t="s">
        <v>32</v>
      </c>
      <c r="AA409" s="592" t="s">
        <v>32</v>
      </c>
      <c r="AB409" s="599">
        <v>0.4</v>
      </c>
      <c r="AC409" s="599">
        <v>0.6</v>
      </c>
      <c r="AD409" s="599">
        <v>0.35599999999999998</v>
      </c>
      <c r="AE409" s="599">
        <v>0</v>
      </c>
      <c r="AF409" s="599">
        <v>0.2</v>
      </c>
      <c r="AG409" s="599">
        <v>0.3</v>
      </c>
      <c r="AH409" s="599">
        <v>0</v>
      </c>
      <c r="AI409" s="599">
        <v>0.7</v>
      </c>
      <c r="AJ409" s="599">
        <v>0</v>
      </c>
    </row>
    <row r="410" spans="1:38" x14ac:dyDescent="0.4">
      <c r="A410" s="568" t="s">
        <v>175</v>
      </c>
      <c r="B410" s="600" t="s">
        <v>1308</v>
      </c>
      <c r="C410" s="592" t="s">
        <v>32</v>
      </c>
      <c r="D410" s="592" t="s">
        <v>32</v>
      </c>
      <c r="E410" s="592" t="s">
        <v>32</v>
      </c>
      <c r="F410" s="592" t="s">
        <v>32</v>
      </c>
      <c r="G410" s="592" t="s">
        <v>32</v>
      </c>
      <c r="H410" s="592" t="s">
        <v>32</v>
      </c>
      <c r="I410" s="592" t="s">
        <v>32</v>
      </c>
      <c r="J410" s="592" t="s">
        <v>32</v>
      </c>
      <c r="K410" s="592" t="s">
        <v>32</v>
      </c>
      <c r="L410" s="592" t="s">
        <v>32</v>
      </c>
      <c r="M410" s="592" t="s">
        <v>32</v>
      </c>
      <c r="N410" s="592" t="s">
        <v>32</v>
      </c>
      <c r="O410" s="592" t="s">
        <v>32</v>
      </c>
      <c r="P410" s="592" t="s">
        <v>32</v>
      </c>
      <c r="Q410" s="592" t="s">
        <v>32</v>
      </c>
      <c r="R410" s="592" t="s">
        <v>32</v>
      </c>
      <c r="S410" s="592" t="s">
        <v>32</v>
      </c>
      <c r="T410" s="592" t="s">
        <v>32</v>
      </c>
      <c r="U410" s="592" t="s">
        <v>32</v>
      </c>
      <c r="V410" s="592" t="s">
        <v>32</v>
      </c>
      <c r="W410" s="592" t="s">
        <v>32</v>
      </c>
      <c r="X410" s="592" t="s">
        <v>32</v>
      </c>
      <c r="Y410" s="592" t="s">
        <v>32</v>
      </c>
      <c r="Z410" s="592" t="s">
        <v>32</v>
      </c>
      <c r="AA410" s="592" t="s">
        <v>32</v>
      </c>
      <c r="AB410" s="601">
        <v>2</v>
      </c>
      <c r="AC410" s="601">
        <v>2</v>
      </c>
      <c r="AD410" s="601">
        <v>2</v>
      </c>
      <c r="AE410" s="601">
        <v>2</v>
      </c>
      <c r="AF410" s="601">
        <v>2</v>
      </c>
      <c r="AG410" s="601">
        <v>2</v>
      </c>
      <c r="AH410" s="601">
        <v>2</v>
      </c>
      <c r="AI410" s="601">
        <v>2</v>
      </c>
      <c r="AJ410" s="601">
        <v>2</v>
      </c>
    </row>
    <row r="411" spans="1:38" ht="17" x14ac:dyDescent="0.4">
      <c r="A411" s="568" t="s">
        <v>175</v>
      </c>
      <c r="B411" s="1474" t="s">
        <v>1389</v>
      </c>
      <c r="C411" s="592" t="s">
        <v>32</v>
      </c>
      <c r="D411" s="592" t="s">
        <v>32</v>
      </c>
      <c r="E411" s="592" t="s">
        <v>32</v>
      </c>
      <c r="F411" s="592" t="s">
        <v>32</v>
      </c>
      <c r="G411" s="592" t="s">
        <v>32</v>
      </c>
      <c r="H411" s="592" t="s">
        <v>32</v>
      </c>
      <c r="I411" s="592" t="s">
        <v>32</v>
      </c>
      <c r="J411" s="592" t="s">
        <v>32</v>
      </c>
      <c r="K411" s="592" t="s">
        <v>32</v>
      </c>
      <c r="L411" s="592" t="s">
        <v>32</v>
      </c>
      <c r="M411" s="592" t="s">
        <v>32</v>
      </c>
      <c r="N411" s="592" t="s">
        <v>32</v>
      </c>
      <c r="O411" s="592" t="s">
        <v>32</v>
      </c>
      <c r="P411" s="592" t="s">
        <v>32</v>
      </c>
      <c r="Q411" s="592" t="s">
        <v>32</v>
      </c>
      <c r="R411" s="592" t="s">
        <v>32</v>
      </c>
      <c r="S411" s="592" t="s">
        <v>32</v>
      </c>
      <c r="T411" s="592" t="s">
        <v>32</v>
      </c>
      <c r="U411" s="592" t="s">
        <v>32</v>
      </c>
      <c r="V411" s="592" t="s">
        <v>32</v>
      </c>
      <c r="W411" s="592" t="s">
        <v>32</v>
      </c>
      <c r="X411" s="592" t="s">
        <v>32</v>
      </c>
      <c r="Y411" s="592" t="s">
        <v>32</v>
      </c>
      <c r="Z411" s="592" t="s">
        <v>32</v>
      </c>
      <c r="AA411" s="592" t="s">
        <v>32</v>
      </c>
      <c r="AB411" s="599">
        <v>58.673853700000002</v>
      </c>
      <c r="AC411" s="599">
        <v>40.125</v>
      </c>
      <c r="AD411" s="599">
        <v>18.597346399999999</v>
      </c>
      <c r="AE411" s="599">
        <f>14.85</f>
        <v>14.85</v>
      </c>
      <c r="AF411" s="599">
        <v>9.31</v>
      </c>
      <c r="AG411" s="599">
        <v>13.21</v>
      </c>
      <c r="AH411" s="599">
        <v>172.92500000000001</v>
      </c>
      <c r="AI411" s="599">
        <v>1.48</v>
      </c>
      <c r="AJ411" s="599">
        <v>0.8120733</v>
      </c>
    </row>
    <row r="412" spans="1:38" ht="17" x14ac:dyDescent="0.4">
      <c r="A412" s="568" t="s">
        <v>175</v>
      </c>
      <c r="B412" s="1475" t="s">
        <v>1390</v>
      </c>
      <c r="C412" s="592" t="s">
        <v>32</v>
      </c>
      <c r="D412" s="592" t="s">
        <v>32</v>
      </c>
      <c r="E412" s="592" t="s">
        <v>32</v>
      </c>
      <c r="F412" s="592" t="s">
        <v>32</v>
      </c>
      <c r="G412" s="592" t="s">
        <v>32</v>
      </c>
      <c r="H412" s="592" t="s">
        <v>32</v>
      </c>
      <c r="I412" s="592" t="s">
        <v>32</v>
      </c>
      <c r="J412" s="592" t="s">
        <v>32</v>
      </c>
      <c r="K412" s="592" t="s">
        <v>32</v>
      </c>
      <c r="L412" s="592" t="s">
        <v>32</v>
      </c>
      <c r="M412" s="592" t="s">
        <v>32</v>
      </c>
      <c r="N412" s="592" t="s">
        <v>32</v>
      </c>
      <c r="O412" s="592" t="s">
        <v>32</v>
      </c>
      <c r="P412" s="592" t="s">
        <v>32</v>
      </c>
      <c r="Q412" s="592" t="s">
        <v>32</v>
      </c>
      <c r="R412" s="592" t="s">
        <v>32</v>
      </c>
      <c r="S412" s="592" t="s">
        <v>32</v>
      </c>
      <c r="T412" s="592" t="s">
        <v>32</v>
      </c>
      <c r="U412" s="592" t="s">
        <v>32</v>
      </c>
      <c r="V412" s="592" t="s">
        <v>32</v>
      </c>
      <c r="W412" s="592" t="s">
        <v>32</v>
      </c>
      <c r="X412" s="592" t="s">
        <v>32</v>
      </c>
      <c r="Y412" s="592" t="s">
        <v>32</v>
      </c>
      <c r="Z412" s="592" t="s">
        <v>32</v>
      </c>
      <c r="AA412" s="592" t="s">
        <v>32</v>
      </c>
      <c r="AB412" s="599">
        <v>1.65</v>
      </c>
      <c r="AC412" s="599">
        <v>1.125</v>
      </c>
      <c r="AD412" s="599">
        <v>0.48</v>
      </c>
      <c r="AE412" s="599">
        <v>0.4118</v>
      </c>
      <c r="AF412" s="599">
        <v>0.27</v>
      </c>
      <c r="AG412" s="599">
        <v>0.38</v>
      </c>
      <c r="AH412" s="599">
        <v>4.9870000000000001</v>
      </c>
      <c r="AI412" s="599">
        <v>0.04</v>
      </c>
      <c r="AJ412" s="599">
        <v>2.34183E-2</v>
      </c>
    </row>
    <row r="413" spans="1:38" x14ac:dyDescent="0.4">
      <c r="A413" s="568" t="s">
        <v>176</v>
      </c>
      <c r="B413" s="600" t="s">
        <v>1308</v>
      </c>
      <c r="C413" s="592" t="s">
        <v>32</v>
      </c>
      <c r="D413" s="592" t="s">
        <v>32</v>
      </c>
      <c r="E413" s="592" t="s">
        <v>32</v>
      </c>
      <c r="F413" s="592" t="s">
        <v>32</v>
      </c>
      <c r="G413" s="592" t="s">
        <v>32</v>
      </c>
      <c r="H413" s="592" t="s">
        <v>32</v>
      </c>
      <c r="I413" s="592" t="s">
        <v>32</v>
      </c>
      <c r="J413" s="592" t="s">
        <v>32</v>
      </c>
      <c r="K413" s="592" t="s">
        <v>32</v>
      </c>
      <c r="L413" s="592" t="s">
        <v>32</v>
      </c>
      <c r="M413" s="592" t="s">
        <v>32</v>
      </c>
      <c r="N413" s="592" t="s">
        <v>32</v>
      </c>
      <c r="O413" s="592" t="s">
        <v>32</v>
      </c>
      <c r="P413" s="592" t="s">
        <v>32</v>
      </c>
      <c r="Q413" s="592" t="s">
        <v>32</v>
      </c>
      <c r="R413" s="592" t="s">
        <v>32</v>
      </c>
      <c r="S413" s="592" t="s">
        <v>32</v>
      </c>
      <c r="T413" s="592" t="s">
        <v>32</v>
      </c>
      <c r="U413" s="592" t="s">
        <v>32</v>
      </c>
      <c r="V413" s="592" t="s">
        <v>32</v>
      </c>
      <c r="W413" s="592" t="s">
        <v>32</v>
      </c>
      <c r="X413" s="592" t="s">
        <v>32</v>
      </c>
      <c r="Y413" s="592" t="s">
        <v>32</v>
      </c>
      <c r="Z413" s="592" t="s">
        <v>32</v>
      </c>
      <c r="AA413" s="592" t="s">
        <v>32</v>
      </c>
      <c r="AB413" s="601">
        <v>2</v>
      </c>
      <c r="AC413" s="601">
        <v>2</v>
      </c>
      <c r="AD413" s="601">
        <v>2</v>
      </c>
      <c r="AE413" s="601">
        <v>2</v>
      </c>
      <c r="AF413" s="601">
        <v>2</v>
      </c>
      <c r="AG413" s="601">
        <v>2</v>
      </c>
      <c r="AH413" s="601">
        <v>1</v>
      </c>
      <c r="AI413" s="601">
        <v>1</v>
      </c>
      <c r="AJ413" s="601">
        <v>1</v>
      </c>
    </row>
    <row r="414" spans="1:38" ht="17" x14ac:dyDescent="0.4">
      <c r="A414" s="568" t="s">
        <v>176</v>
      </c>
      <c r="B414" s="1474" t="s">
        <v>1389</v>
      </c>
      <c r="C414" s="592" t="s">
        <v>32</v>
      </c>
      <c r="D414" s="592" t="s">
        <v>32</v>
      </c>
      <c r="E414" s="592" t="s">
        <v>32</v>
      </c>
      <c r="F414" s="592" t="s">
        <v>32</v>
      </c>
      <c r="G414" s="592" t="s">
        <v>32</v>
      </c>
      <c r="H414" s="592" t="s">
        <v>32</v>
      </c>
      <c r="I414" s="592" t="s">
        <v>32</v>
      </c>
      <c r="J414" s="592" t="s">
        <v>32</v>
      </c>
      <c r="K414" s="592" t="s">
        <v>32</v>
      </c>
      <c r="L414" s="592" t="s">
        <v>32</v>
      </c>
      <c r="M414" s="592" t="s">
        <v>32</v>
      </c>
      <c r="N414" s="592" t="s">
        <v>32</v>
      </c>
      <c r="O414" s="592" t="s">
        <v>32</v>
      </c>
      <c r="P414" s="592" t="s">
        <v>32</v>
      </c>
      <c r="Q414" s="592" t="s">
        <v>32</v>
      </c>
      <c r="R414" s="592" t="s">
        <v>32</v>
      </c>
      <c r="S414" s="592" t="s">
        <v>32</v>
      </c>
      <c r="T414" s="592" t="s">
        <v>32</v>
      </c>
      <c r="U414" s="592" t="s">
        <v>32</v>
      </c>
      <c r="V414" s="592" t="s">
        <v>32</v>
      </c>
      <c r="W414" s="592" t="s">
        <v>32</v>
      </c>
      <c r="X414" s="592" t="s">
        <v>32</v>
      </c>
      <c r="Y414" s="592" t="s">
        <v>32</v>
      </c>
      <c r="Z414" s="592" t="s">
        <v>32</v>
      </c>
      <c r="AA414" s="592" t="s">
        <v>32</v>
      </c>
      <c r="AB414" s="599">
        <f>7.24+1.3961463</f>
        <v>8.6361463000000001</v>
      </c>
      <c r="AC414" s="599">
        <v>9.5352023999999993</v>
      </c>
      <c r="AD414" s="599">
        <v>0.35265360000000001</v>
      </c>
      <c r="AE414" s="599">
        <v>0.60894999999999999</v>
      </c>
      <c r="AF414" s="599">
        <v>38.43</v>
      </c>
      <c r="AG414" s="599">
        <v>9.73</v>
      </c>
      <c r="AH414" s="599">
        <v>13.39</v>
      </c>
      <c r="AI414" s="599">
        <v>9.8000000000000007</v>
      </c>
      <c r="AJ414" s="599">
        <v>36.872108900000001</v>
      </c>
    </row>
    <row r="415" spans="1:38" ht="17" x14ac:dyDescent="0.4">
      <c r="A415" s="568" t="s">
        <v>176</v>
      </c>
      <c r="B415" s="1475" t="s">
        <v>1390</v>
      </c>
      <c r="C415" s="592" t="s">
        <v>32</v>
      </c>
      <c r="D415" s="592" t="s">
        <v>32</v>
      </c>
      <c r="E415" s="592" t="s">
        <v>32</v>
      </c>
      <c r="F415" s="592" t="s">
        <v>32</v>
      </c>
      <c r="G415" s="592" t="s">
        <v>32</v>
      </c>
      <c r="H415" s="592" t="s">
        <v>32</v>
      </c>
      <c r="I415" s="592" t="s">
        <v>32</v>
      </c>
      <c r="J415" s="592" t="s">
        <v>32</v>
      </c>
      <c r="K415" s="592" t="s">
        <v>32</v>
      </c>
      <c r="L415" s="592" t="s">
        <v>32</v>
      </c>
      <c r="M415" s="592" t="s">
        <v>32</v>
      </c>
      <c r="N415" s="592" t="s">
        <v>32</v>
      </c>
      <c r="O415" s="592" t="s">
        <v>32</v>
      </c>
      <c r="P415" s="592" t="s">
        <v>32</v>
      </c>
      <c r="Q415" s="592" t="s">
        <v>32</v>
      </c>
      <c r="R415" s="592" t="s">
        <v>32</v>
      </c>
      <c r="S415" s="592" t="s">
        <v>32</v>
      </c>
      <c r="T415" s="592" t="s">
        <v>32</v>
      </c>
      <c r="U415" s="592" t="s">
        <v>32</v>
      </c>
      <c r="V415" s="592" t="s">
        <v>32</v>
      </c>
      <c r="W415" s="592" t="s">
        <v>32</v>
      </c>
      <c r="X415" s="592" t="s">
        <v>32</v>
      </c>
      <c r="Y415" s="592" t="s">
        <v>32</v>
      </c>
      <c r="Z415" s="592" t="s">
        <v>32</v>
      </c>
      <c r="AA415" s="592" t="s">
        <v>32</v>
      </c>
      <c r="AB415" s="599">
        <v>0.25</v>
      </c>
      <c r="AC415" s="599">
        <v>0.27497349999999998</v>
      </c>
      <c r="AD415" s="599">
        <v>1.9E-2</v>
      </c>
      <c r="AE415" s="599">
        <v>1.7999999999999999E-2</v>
      </c>
      <c r="AF415" s="599">
        <v>1.1000000000000001</v>
      </c>
      <c r="AG415" s="599">
        <v>0.28000000000000003</v>
      </c>
      <c r="AH415" s="599">
        <v>0.38600000000000001</v>
      </c>
      <c r="AI415" s="599">
        <v>0.3</v>
      </c>
      <c r="AJ415" s="599">
        <v>1.0633075000000001</v>
      </c>
    </row>
    <row r="416" spans="1:38" x14ac:dyDescent="0.4">
      <c r="A416" s="591" t="s">
        <v>196</v>
      </c>
      <c r="B416" s="591" t="s">
        <v>1307</v>
      </c>
      <c r="C416" s="592" t="s">
        <v>32</v>
      </c>
      <c r="D416" s="592" t="s">
        <v>32</v>
      </c>
      <c r="E416" s="592" t="s">
        <v>32</v>
      </c>
      <c r="F416" s="592" t="s">
        <v>32</v>
      </c>
      <c r="G416" s="592" t="s">
        <v>32</v>
      </c>
      <c r="H416" s="592" t="s">
        <v>32</v>
      </c>
      <c r="I416" s="592" t="s">
        <v>32</v>
      </c>
      <c r="J416" s="592" t="s">
        <v>32</v>
      </c>
      <c r="K416" s="592" t="s">
        <v>32</v>
      </c>
      <c r="L416" s="592" t="s">
        <v>32</v>
      </c>
      <c r="M416" s="592" t="s">
        <v>32</v>
      </c>
      <c r="N416" s="592" t="s">
        <v>32</v>
      </c>
      <c r="O416" s="592" t="s">
        <v>32</v>
      </c>
      <c r="P416" s="592" t="s">
        <v>32</v>
      </c>
      <c r="Q416" s="592" t="s">
        <v>32</v>
      </c>
      <c r="R416" s="592" t="s">
        <v>32</v>
      </c>
      <c r="S416" s="592" t="s">
        <v>32</v>
      </c>
      <c r="T416" s="592" t="s">
        <v>32</v>
      </c>
      <c r="U416" s="592" t="s">
        <v>32</v>
      </c>
      <c r="V416" s="592" t="s">
        <v>32</v>
      </c>
      <c r="W416" s="592" t="s">
        <v>32</v>
      </c>
      <c r="X416" s="592" t="s">
        <v>32</v>
      </c>
      <c r="Y416" s="592" t="s">
        <v>32</v>
      </c>
      <c r="Z416" s="592" t="s">
        <v>32</v>
      </c>
      <c r="AA416" s="592" t="s">
        <v>32</v>
      </c>
      <c r="AB416" s="601">
        <v>277</v>
      </c>
      <c r="AC416" s="601">
        <v>340</v>
      </c>
      <c r="AD416" s="601">
        <v>312</v>
      </c>
      <c r="AE416" s="601">
        <v>333</v>
      </c>
      <c r="AF416" s="601">
        <v>192</v>
      </c>
      <c r="AG416" s="601">
        <v>178</v>
      </c>
      <c r="AH416" s="601">
        <v>206</v>
      </c>
      <c r="AI416" s="601">
        <v>122</v>
      </c>
      <c r="AJ416" s="601">
        <v>94</v>
      </c>
    </row>
    <row r="417" spans="1:36" ht="17" x14ac:dyDescent="0.4">
      <c r="A417" s="598" t="s">
        <v>197</v>
      </c>
      <c r="B417" s="1474" t="s">
        <v>1389</v>
      </c>
      <c r="C417" s="592" t="s">
        <v>32</v>
      </c>
      <c r="D417" s="592" t="s">
        <v>32</v>
      </c>
      <c r="E417" s="592" t="s">
        <v>32</v>
      </c>
      <c r="F417" s="592" t="s">
        <v>32</v>
      </c>
      <c r="G417" s="592" t="s">
        <v>32</v>
      </c>
      <c r="H417" s="592" t="s">
        <v>32</v>
      </c>
      <c r="I417" s="592" t="s">
        <v>32</v>
      </c>
      <c r="J417" s="592" t="s">
        <v>32</v>
      </c>
      <c r="K417" s="592" t="s">
        <v>32</v>
      </c>
      <c r="L417" s="592" t="s">
        <v>32</v>
      </c>
      <c r="M417" s="592" t="s">
        <v>32</v>
      </c>
      <c r="N417" s="592" t="s">
        <v>32</v>
      </c>
      <c r="O417" s="592" t="s">
        <v>32</v>
      </c>
      <c r="P417" s="592" t="s">
        <v>32</v>
      </c>
      <c r="Q417" s="592" t="s">
        <v>32</v>
      </c>
      <c r="R417" s="592" t="s">
        <v>32</v>
      </c>
      <c r="S417" s="592" t="s">
        <v>32</v>
      </c>
      <c r="T417" s="592" t="s">
        <v>32</v>
      </c>
      <c r="U417" s="592" t="s">
        <v>32</v>
      </c>
      <c r="V417" s="592" t="s">
        <v>32</v>
      </c>
      <c r="W417" s="592" t="s">
        <v>32</v>
      </c>
      <c r="X417" s="592" t="s">
        <v>32</v>
      </c>
      <c r="Y417" s="592" t="s">
        <v>32</v>
      </c>
      <c r="Z417" s="592" t="s">
        <v>32</v>
      </c>
      <c r="AA417" s="592" t="s">
        <v>32</v>
      </c>
      <c r="AB417" s="599">
        <v>112.35</v>
      </c>
      <c r="AC417" s="599">
        <v>102.18</v>
      </c>
      <c r="AD417" s="599">
        <v>67.59</v>
      </c>
      <c r="AE417" s="599">
        <v>89.69</v>
      </c>
      <c r="AF417" s="599">
        <v>40.479999999999997</v>
      </c>
      <c r="AG417" s="599">
        <v>31.22</v>
      </c>
      <c r="AH417" s="599">
        <v>42.53</v>
      </c>
      <c r="AI417" s="599">
        <v>42.39</v>
      </c>
      <c r="AJ417" s="599">
        <v>20.440000000000001</v>
      </c>
    </row>
    <row r="418" spans="1:36" ht="17" x14ac:dyDescent="0.4">
      <c r="A418" s="591" t="s">
        <v>197</v>
      </c>
      <c r="B418" s="1475" t="s">
        <v>1390</v>
      </c>
      <c r="C418" s="592" t="s">
        <v>32</v>
      </c>
      <c r="D418" s="592" t="s">
        <v>32</v>
      </c>
      <c r="E418" s="592" t="s">
        <v>32</v>
      </c>
      <c r="F418" s="592" t="s">
        <v>32</v>
      </c>
      <c r="G418" s="592" t="s">
        <v>32</v>
      </c>
      <c r="H418" s="592" t="s">
        <v>32</v>
      </c>
      <c r="I418" s="592" t="s">
        <v>32</v>
      </c>
      <c r="J418" s="592" t="s">
        <v>32</v>
      </c>
      <c r="K418" s="592" t="s">
        <v>32</v>
      </c>
      <c r="L418" s="592" t="s">
        <v>32</v>
      </c>
      <c r="M418" s="592" t="s">
        <v>32</v>
      </c>
      <c r="N418" s="592" t="s">
        <v>32</v>
      </c>
      <c r="O418" s="592" t="s">
        <v>32</v>
      </c>
      <c r="P418" s="592" t="s">
        <v>32</v>
      </c>
      <c r="Q418" s="592" t="s">
        <v>32</v>
      </c>
      <c r="R418" s="592" t="s">
        <v>32</v>
      </c>
      <c r="S418" s="592" t="s">
        <v>32</v>
      </c>
      <c r="T418" s="592" t="s">
        <v>32</v>
      </c>
      <c r="U418" s="592" t="s">
        <v>32</v>
      </c>
      <c r="V418" s="592" t="s">
        <v>32</v>
      </c>
      <c r="W418" s="592" t="s">
        <v>32</v>
      </c>
      <c r="X418" s="592" t="s">
        <v>32</v>
      </c>
      <c r="Y418" s="592" t="s">
        <v>32</v>
      </c>
      <c r="Z418" s="592" t="s">
        <v>32</v>
      </c>
      <c r="AA418" s="592" t="s">
        <v>32</v>
      </c>
      <c r="AB418" s="592">
        <v>2.7</v>
      </c>
      <c r="AC418" s="592">
        <v>2.9</v>
      </c>
      <c r="AD418" s="592">
        <v>1.9</v>
      </c>
      <c r="AE418" s="592">
        <v>2.6</v>
      </c>
      <c r="AF418" s="592">
        <v>1.2</v>
      </c>
      <c r="AG418" s="592">
        <v>0.9</v>
      </c>
      <c r="AH418" s="592">
        <v>1.23</v>
      </c>
      <c r="AI418" s="592">
        <v>1.2</v>
      </c>
      <c r="AJ418" s="592">
        <v>0.58951450000000005</v>
      </c>
    </row>
    <row r="419" spans="1:36" x14ac:dyDescent="0.4">
      <c r="A419" s="1188" t="s">
        <v>1063</v>
      </c>
      <c r="B419" s="1191"/>
      <c r="C419" s="1191"/>
      <c r="D419" s="1191"/>
      <c r="E419" s="1191"/>
      <c r="F419" s="1191"/>
      <c r="G419" s="1191"/>
      <c r="H419" s="1191"/>
      <c r="I419" s="1191"/>
      <c r="J419" s="1191"/>
      <c r="K419" s="1191"/>
      <c r="L419" s="1191"/>
      <c r="M419" s="1191"/>
      <c r="N419" s="1191"/>
      <c r="O419" s="1191"/>
      <c r="P419" s="1191"/>
      <c r="Q419" s="1191"/>
      <c r="R419" s="1191"/>
      <c r="S419" s="1191"/>
      <c r="T419" s="1191"/>
      <c r="U419" s="1191"/>
      <c r="V419" s="1191"/>
      <c r="W419" s="1191"/>
      <c r="X419" s="1191"/>
      <c r="Y419" s="1191"/>
      <c r="Z419" s="1191"/>
      <c r="AA419" s="1191"/>
      <c r="AB419" s="1191"/>
      <c r="AC419" s="1191"/>
      <c r="AD419" s="1191"/>
      <c r="AE419" s="1191"/>
      <c r="AF419" s="1191"/>
      <c r="AG419" s="1191"/>
      <c r="AH419" s="1191"/>
      <c r="AI419" s="1191"/>
      <c r="AJ419" s="1191"/>
    </row>
    <row r="420" spans="1:36" x14ac:dyDescent="0.4">
      <c r="A420" s="581"/>
      <c r="B420" s="89"/>
      <c r="C420" s="89"/>
      <c r="D420" s="89"/>
      <c r="E420" s="89"/>
      <c r="F420" s="89"/>
      <c r="G420" s="89"/>
      <c r="H420" s="89"/>
      <c r="I420" s="89"/>
      <c r="J420" s="89"/>
      <c r="K420" s="89"/>
      <c r="L420" s="89"/>
      <c r="M420" s="89"/>
      <c r="N420" s="89"/>
      <c r="O420" s="89"/>
      <c r="P420" s="89"/>
      <c r="Q420" s="89"/>
      <c r="R420" s="89"/>
      <c r="S420" s="89"/>
      <c r="T420" s="89"/>
      <c r="U420" s="89"/>
      <c r="V420" s="89"/>
      <c r="W420" s="89"/>
      <c r="X420" s="89"/>
      <c r="Y420" s="89"/>
      <c r="Z420" s="89"/>
      <c r="AA420" s="89"/>
      <c r="AB420" s="89"/>
      <c r="AC420" s="89"/>
      <c r="AD420" s="89"/>
      <c r="AE420" s="89"/>
      <c r="AF420" s="89"/>
      <c r="AG420" s="89"/>
      <c r="AH420" s="89"/>
      <c r="AI420" s="89"/>
      <c r="AJ420" s="89"/>
    </row>
    <row r="421" spans="1:36" x14ac:dyDescent="0.4">
      <c r="A421" s="1339" t="s">
        <v>1159</v>
      </c>
      <c r="B421" s="597"/>
      <c r="C421" s="597"/>
      <c r="D421" s="597"/>
      <c r="E421" s="597"/>
      <c r="F421" s="597"/>
      <c r="G421" s="597"/>
      <c r="H421" s="597"/>
      <c r="I421" s="597"/>
      <c r="J421" s="597"/>
      <c r="K421" s="597"/>
      <c r="L421" s="597"/>
      <c r="M421" s="597"/>
      <c r="N421" s="597"/>
      <c r="O421" s="597"/>
      <c r="P421" s="597"/>
      <c r="Q421" s="597"/>
      <c r="R421" s="597"/>
      <c r="S421" s="597"/>
      <c r="T421" s="597"/>
      <c r="U421" s="597"/>
      <c r="V421" s="597"/>
      <c r="W421" s="597"/>
      <c r="X421" s="597"/>
      <c r="Y421" s="597"/>
      <c r="Z421" s="597"/>
      <c r="AA421" s="597"/>
      <c r="AB421" s="597"/>
      <c r="AC421" s="597"/>
      <c r="AD421" s="597"/>
      <c r="AE421" s="597"/>
      <c r="AF421" s="597"/>
      <c r="AG421" s="597"/>
      <c r="AH421" s="597"/>
      <c r="AI421" s="597"/>
      <c r="AJ421" s="597"/>
    </row>
    <row r="422" spans="1:36" x14ac:dyDescent="0.4">
      <c r="A422" s="597"/>
      <c r="B422" s="597"/>
      <c r="C422" s="89"/>
      <c r="D422" s="89"/>
      <c r="E422" s="89"/>
      <c r="F422" s="89"/>
      <c r="G422" s="89"/>
      <c r="H422" s="89"/>
      <c r="I422" s="89"/>
      <c r="J422" s="89"/>
      <c r="K422" s="89"/>
      <c r="L422" s="89"/>
      <c r="M422" s="89"/>
      <c r="N422" s="89"/>
      <c r="O422" s="89"/>
      <c r="P422" s="89"/>
      <c r="Q422" s="89"/>
      <c r="R422" s="89"/>
      <c r="S422" s="89"/>
      <c r="T422" s="89"/>
      <c r="U422" s="89"/>
      <c r="V422" s="89"/>
      <c r="W422" s="89"/>
      <c r="X422" s="89"/>
      <c r="Y422" s="89"/>
      <c r="Z422" s="89"/>
      <c r="AA422" s="89"/>
      <c r="AB422" s="89"/>
      <c r="AC422" s="89"/>
      <c r="AD422" s="89"/>
      <c r="AE422" s="89"/>
      <c r="AF422" s="89"/>
      <c r="AG422" s="89"/>
      <c r="AH422" s="89"/>
      <c r="AI422" s="89"/>
      <c r="AJ422" s="89"/>
    </row>
    <row r="423" spans="1:36" x14ac:dyDescent="0.4">
      <c r="A423" s="1238" t="s">
        <v>720</v>
      </c>
      <c r="B423" s="597"/>
      <c r="C423" s="89"/>
      <c r="D423" s="89"/>
      <c r="E423" s="89"/>
      <c r="F423" s="89"/>
      <c r="G423" s="89"/>
      <c r="H423" s="89"/>
      <c r="I423" s="89"/>
      <c r="J423" s="89"/>
      <c r="K423" s="89"/>
      <c r="L423" s="89"/>
      <c r="M423" s="89"/>
      <c r="N423" s="89"/>
      <c r="O423" s="89"/>
      <c r="P423" s="89"/>
      <c r="Q423" s="89"/>
      <c r="R423" s="89"/>
      <c r="S423" s="89"/>
      <c r="T423" s="89"/>
      <c r="U423" s="89"/>
      <c r="V423" s="89"/>
      <c r="W423" s="89"/>
      <c r="X423" s="89"/>
      <c r="Y423" s="89"/>
      <c r="Z423" s="89"/>
      <c r="AA423" s="89"/>
      <c r="AB423" s="89"/>
      <c r="AC423" s="89"/>
      <c r="AD423" s="89"/>
      <c r="AE423" s="89"/>
      <c r="AF423" s="89"/>
      <c r="AG423" s="89"/>
      <c r="AH423" s="89"/>
      <c r="AI423" s="89"/>
      <c r="AJ423" s="89"/>
    </row>
    <row r="424" spans="1:36" x14ac:dyDescent="0.4">
      <c r="A424" s="1158" t="s">
        <v>814</v>
      </c>
      <c r="B424" s="1140" t="s">
        <v>136</v>
      </c>
      <c r="C424" s="1159" t="s">
        <v>391</v>
      </c>
      <c r="D424" s="1159" t="s">
        <v>392</v>
      </c>
      <c r="E424" s="1159" t="s">
        <v>393</v>
      </c>
      <c r="F424" s="1159" t="s">
        <v>394</v>
      </c>
      <c r="G424" s="1159" t="s">
        <v>395</v>
      </c>
      <c r="H424" s="1159" t="s">
        <v>396</v>
      </c>
      <c r="I424" s="1159" t="s">
        <v>397</v>
      </c>
      <c r="J424" s="1159" t="s">
        <v>398</v>
      </c>
      <c r="K424" s="1159" t="s">
        <v>399</v>
      </c>
      <c r="L424" s="1159" t="s">
        <v>400</v>
      </c>
      <c r="M424" s="1159" t="s">
        <v>401</v>
      </c>
      <c r="N424" s="1159" t="s">
        <v>402</v>
      </c>
      <c r="O424" s="1159" t="s">
        <v>403</v>
      </c>
      <c r="P424" s="1159" t="s">
        <v>404</v>
      </c>
      <c r="Q424" s="1159" t="s">
        <v>405</v>
      </c>
      <c r="R424" s="1159" t="s">
        <v>406</v>
      </c>
      <c r="S424" s="1159" t="s">
        <v>407</v>
      </c>
      <c r="T424" s="1159" t="s">
        <v>408</v>
      </c>
      <c r="U424" s="1159" t="s">
        <v>409</v>
      </c>
      <c r="V424" s="1159" t="s">
        <v>410</v>
      </c>
      <c r="W424" s="1159" t="s">
        <v>411</v>
      </c>
      <c r="X424" s="1159" t="s">
        <v>412</v>
      </c>
      <c r="Y424" s="1159" t="s">
        <v>413</v>
      </c>
      <c r="Z424" s="1159" t="s">
        <v>414</v>
      </c>
      <c r="AA424" s="1159" t="s">
        <v>415</v>
      </c>
      <c r="AB424" s="1159" t="s">
        <v>416</v>
      </c>
      <c r="AC424" s="1159" t="s">
        <v>417</v>
      </c>
      <c r="AD424" s="1159" t="s">
        <v>418</v>
      </c>
      <c r="AE424" s="1159" t="s">
        <v>419</v>
      </c>
      <c r="AF424" s="1159" t="s">
        <v>420</v>
      </c>
      <c r="AG424" s="1159" t="s">
        <v>421</v>
      </c>
      <c r="AH424" s="1159" t="s">
        <v>422</v>
      </c>
      <c r="AI424" s="1159" t="s">
        <v>423</v>
      </c>
      <c r="AJ424" s="1159" t="s">
        <v>424</v>
      </c>
    </row>
    <row r="425" spans="1:36" ht="17" x14ac:dyDescent="0.4">
      <c r="A425" s="568" t="s">
        <v>172</v>
      </c>
      <c r="B425" s="1474" t="s">
        <v>1389</v>
      </c>
      <c r="C425" s="592" t="s">
        <v>32</v>
      </c>
      <c r="D425" s="592" t="s">
        <v>32</v>
      </c>
      <c r="E425" s="592" t="s">
        <v>32</v>
      </c>
      <c r="F425" s="592" t="s">
        <v>32</v>
      </c>
      <c r="G425" s="592" t="s">
        <v>32</v>
      </c>
      <c r="H425" s="592" t="s">
        <v>32</v>
      </c>
      <c r="I425" s="592" t="s">
        <v>32</v>
      </c>
      <c r="J425" s="592" t="s">
        <v>32</v>
      </c>
      <c r="K425" s="592" t="s">
        <v>32</v>
      </c>
      <c r="L425" s="592" t="s">
        <v>32</v>
      </c>
      <c r="M425" s="592" t="s">
        <v>32</v>
      </c>
      <c r="N425" s="592" t="s">
        <v>32</v>
      </c>
      <c r="O425" s="592" t="s">
        <v>32</v>
      </c>
      <c r="P425" s="592" t="s">
        <v>32</v>
      </c>
      <c r="Q425" s="592" t="s">
        <v>32</v>
      </c>
      <c r="R425" s="592" t="s">
        <v>32</v>
      </c>
      <c r="S425" s="592" t="s">
        <v>32</v>
      </c>
      <c r="T425" s="592" t="s">
        <v>32</v>
      </c>
      <c r="U425" s="592" t="s">
        <v>32</v>
      </c>
      <c r="V425" s="592" t="s">
        <v>32</v>
      </c>
      <c r="W425" s="592" t="s">
        <v>32</v>
      </c>
      <c r="X425" s="592" t="s">
        <v>32</v>
      </c>
      <c r="Y425" s="592" t="s">
        <v>32</v>
      </c>
      <c r="Z425" s="592" t="s">
        <v>32</v>
      </c>
      <c r="AA425" s="592" t="s">
        <v>32</v>
      </c>
      <c r="AB425" s="599">
        <v>1.05</v>
      </c>
      <c r="AC425" s="599">
        <v>2.93</v>
      </c>
      <c r="AD425" s="599">
        <v>7.77</v>
      </c>
      <c r="AE425" s="599">
        <v>2.11</v>
      </c>
      <c r="AF425" s="599">
        <v>0</v>
      </c>
      <c r="AG425" s="599">
        <v>3.05</v>
      </c>
      <c r="AH425" s="599">
        <v>0</v>
      </c>
      <c r="AI425" s="599">
        <v>3.36</v>
      </c>
      <c r="AJ425" s="599">
        <v>27.69</v>
      </c>
    </row>
    <row r="426" spans="1:36" ht="17" x14ac:dyDescent="0.4">
      <c r="A426" s="568" t="s">
        <v>172</v>
      </c>
      <c r="B426" s="1475" t="s">
        <v>1390</v>
      </c>
      <c r="C426" s="592" t="s">
        <v>32</v>
      </c>
      <c r="D426" s="592" t="s">
        <v>32</v>
      </c>
      <c r="E426" s="592" t="s">
        <v>32</v>
      </c>
      <c r="F426" s="592" t="s">
        <v>32</v>
      </c>
      <c r="G426" s="592" t="s">
        <v>32</v>
      </c>
      <c r="H426" s="592" t="s">
        <v>32</v>
      </c>
      <c r="I426" s="592" t="s">
        <v>32</v>
      </c>
      <c r="J426" s="592" t="s">
        <v>32</v>
      </c>
      <c r="K426" s="592" t="s">
        <v>32</v>
      </c>
      <c r="L426" s="592" t="s">
        <v>32</v>
      </c>
      <c r="M426" s="592" t="s">
        <v>32</v>
      </c>
      <c r="N426" s="592" t="s">
        <v>32</v>
      </c>
      <c r="O426" s="592" t="s">
        <v>32</v>
      </c>
      <c r="P426" s="592" t="s">
        <v>32</v>
      </c>
      <c r="Q426" s="592" t="s">
        <v>32</v>
      </c>
      <c r="R426" s="592" t="s">
        <v>32</v>
      </c>
      <c r="S426" s="592" t="s">
        <v>32</v>
      </c>
      <c r="T426" s="592" t="s">
        <v>32</v>
      </c>
      <c r="U426" s="592" t="s">
        <v>32</v>
      </c>
      <c r="V426" s="592" t="s">
        <v>32</v>
      </c>
      <c r="W426" s="592" t="s">
        <v>32</v>
      </c>
      <c r="X426" s="592" t="s">
        <v>32</v>
      </c>
      <c r="Y426" s="592" t="s">
        <v>32</v>
      </c>
      <c r="Z426" s="592" t="s">
        <v>32</v>
      </c>
      <c r="AA426" s="592" t="s">
        <v>32</v>
      </c>
      <c r="AB426" s="599">
        <v>0</v>
      </c>
      <c r="AC426" s="599">
        <v>0.1</v>
      </c>
      <c r="AD426" s="599">
        <v>0.2</v>
      </c>
      <c r="AE426" s="599">
        <v>0.1</v>
      </c>
      <c r="AF426" s="599">
        <v>0</v>
      </c>
      <c r="AG426" s="599">
        <v>0.1</v>
      </c>
      <c r="AH426" s="599">
        <v>0</v>
      </c>
      <c r="AI426" s="599">
        <v>0.1</v>
      </c>
      <c r="AJ426" s="599">
        <v>0.8</v>
      </c>
    </row>
    <row r="427" spans="1:36" x14ac:dyDescent="0.4">
      <c r="A427" s="1295" t="s">
        <v>173</v>
      </c>
      <c r="B427" s="600" t="s">
        <v>1308</v>
      </c>
      <c r="C427" s="592" t="s">
        <v>32</v>
      </c>
      <c r="D427" s="592" t="s">
        <v>32</v>
      </c>
      <c r="E427" s="592" t="s">
        <v>32</v>
      </c>
      <c r="F427" s="592" t="s">
        <v>32</v>
      </c>
      <c r="G427" s="592" t="s">
        <v>32</v>
      </c>
      <c r="H427" s="592" t="s">
        <v>32</v>
      </c>
      <c r="I427" s="592" t="s">
        <v>32</v>
      </c>
      <c r="J427" s="592" t="s">
        <v>32</v>
      </c>
      <c r="K427" s="592" t="s">
        <v>32</v>
      </c>
      <c r="L427" s="592" t="s">
        <v>32</v>
      </c>
      <c r="M427" s="592" t="s">
        <v>32</v>
      </c>
      <c r="N427" s="592" t="s">
        <v>32</v>
      </c>
      <c r="O427" s="592" t="s">
        <v>32</v>
      </c>
      <c r="P427" s="592" t="s">
        <v>32</v>
      </c>
      <c r="Q427" s="592" t="s">
        <v>32</v>
      </c>
      <c r="R427" s="592" t="s">
        <v>32</v>
      </c>
      <c r="S427" s="592" t="s">
        <v>32</v>
      </c>
      <c r="T427" s="592" t="s">
        <v>32</v>
      </c>
      <c r="U427" s="592" t="s">
        <v>32</v>
      </c>
      <c r="V427" s="592" t="s">
        <v>32</v>
      </c>
      <c r="W427" s="592" t="s">
        <v>32</v>
      </c>
      <c r="X427" s="592" t="s">
        <v>32</v>
      </c>
      <c r="Y427" s="592" t="s">
        <v>32</v>
      </c>
      <c r="Z427" s="592" t="s">
        <v>32</v>
      </c>
      <c r="AA427" s="592" t="s">
        <v>32</v>
      </c>
      <c r="AB427" s="601">
        <v>0</v>
      </c>
      <c r="AC427" s="601">
        <v>0</v>
      </c>
      <c r="AD427" s="601">
        <v>0</v>
      </c>
      <c r="AE427" s="601">
        <v>0</v>
      </c>
      <c r="AF427" s="601">
        <v>0</v>
      </c>
      <c r="AG427" s="601">
        <v>0</v>
      </c>
      <c r="AH427" s="601">
        <v>0</v>
      </c>
      <c r="AI427" s="601">
        <v>0</v>
      </c>
      <c r="AJ427" s="601">
        <v>0</v>
      </c>
    </row>
    <row r="428" spans="1:36" ht="17" x14ac:dyDescent="0.4">
      <c r="A428" s="568" t="s">
        <v>173</v>
      </c>
      <c r="B428" s="1474" t="s">
        <v>1389</v>
      </c>
      <c r="C428" s="592" t="s">
        <v>32</v>
      </c>
      <c r="D428" s="592" t="s">
        <v>32</v>
      </c>
      <c r="E428" s="592" t="s">
        <v>32</v>
      </c>
      <c r="F428" s="592" t="s">
        <v>32</v>
      </c>
      <c r="G428" s="592" t="s">
        <v>32</v>
      </c>
      <c r="H428" s="592" t="s">
        <v>32</v>
      </c>
      <c r="I428" s="592" t="s">
        <v>32</v>
      </c>
      <c r="J428" s="592" t="s">
        <v>32</v>
      </c>
      <c r="K428" s="592" t="s">
        <v>32</v>
      </c>
      <c r="L428" s="592" t="s">
        <v>32</v>
      </c>
      <c r="M428" s="592" t="s">
        <v>32</v>
      </c>
      <c r="N428" s="592" t="s">
        <v>32</v>
      </c>
      <c r="O428" s="592" t="s">
        <v>32</v>
      </c>
      <c r="P428" s="592" t="s">
        <v>32</v>
      </c>
      <c r="Q428" s="592" t="s">
        <v>32</v>
      </c>
      <c r="R428" s="592" t="s">
        <v>32</v>
      </c>
      <c r="S428" s="592" t="s">
        <v>32</v>
      </c>
      <c r="T428" s="592" t="s">
        <v>32</v>
      </c>
      <c r="U428" s="592" t="s">
        <v>32</v>
      </c>
      <c r="V428" s="592" t="s">
        <v>32</v>
      </c>
      <c r="W428" s="592" t="s">
        <v>32</v>
      </c>
      <c r="X428" s="592" t="s">
        <v>32</v>
      </c>
      <c r="Y428" s="592" t="s">
        <v>32</v>
      </c>
      <c r="Z428" s="592" t="s">
        <v>32</v>
      </c>
      <c r="AA428" s="592" t="s">
        <v>32</v>
      </c>
      <c r="AB428" s="601">
        <v>0</v>
      </c>
      <c r="AC428" s="601">
        <v>0</v>
      </c>
      <c r="AD428" s="601">
        <v>0</v>
      </c>
      <c r="AE428" s="601">
        <v>0</v>
      </c>
      <c r="AF428" s="601">
        <v>0</v>
      </c>
      <c r="AG428" s="601">
        <v>0</v>
      </c>
      <c r="AH428" s="601">
        <v>0</v>
      </c>
      <c r="AI428" s="601">
        <v>0</v>
      </c>
      <c r="AJ428" s="601">
        <v>0</v>
      </c>
    </row>
    <row r="429" spans="1:36" ht="17" x14ac:dyDescent="0.4">
      <c r="A429" s="568" t="s">
        <v>173</v>
      </c>
      <c r="B429" s="1475" t="s">
        <v>1390</v>
      </c>
      <c r="C429" s="592" t="s">
        <v>32</v>
      </c>
      <c r="D429" s="592" t="s">
        <v>32</v>
      </c>
      <c r="E429" s="592" t="s">
        <v>32</v>
      </c>
      <c r="F429" s="592" t="s">
        <v>32</v>
      </c>
      <c r="G429" s="592" t="s">
        <v>32</v>
      </c>
      <c r="H429" s="592" t="s">
        <v>32</v>
      </c>
      <c r="I429" s="592" t="s">
        <v>32</v>
      </c>
      <c r="J429" s="592" t="s">
        <v>32</v>
      </c>
      <c r="K429" s="592" t="s">
        <v>32</v>
      </c>
      <c r="L429" s="592" t="s">
        <v>32</v>
      </c>
      <c r="M429" s="592" t="s">
        <v>32</v>
      </c>
      <c r="N429" s="592" t="s">
        <v>32</v>
      </c>
      <c r="O429" s="592" t="s">
        <v>32</v>
      </c>
      <c r="P429" s="592" t="s">
        <v>32</v>
      </c>
      <c r="Q429" s="592" t="s">
        <v>32</v>
      </c>
      <c r="R429" s="592" t="s">
        <v>32</v>
      </c>
      <c r="S429" s="592" t="s">
        <v>32</v>
      </c>
      <c r="T429" s="592" t="s">
        <v>32</v>
      </c>
      <c r="U429" s="592" t="s">
        <v>32</v>
      </c>
      <c r="V429" s="592" t="s">
        <v>32</v>
      </c>
      <c r="W429" s="592" t="s">
        <v>32</v>
      </c>
      <c r="X429" s="592" t="s">
        <v>32</v>
      </c>
      <c r="Y429" s="592" t="s">
        <v>32</v>
      </c>
      <c r="Z429" s="592" t="s">
        <v>32</v>
      </c>
      <c r="AA429" s="592" t="s">
        <v>32</v>
      </c>
      <c r="AB429" s="601">
        <v>0</v>
      </c>
      <c r="AC429" s="601">
        <v>0</v>
      </c>
      <c r="AD429" s="601">
        <v>0</v>
      </c>
      <c r="AE429" s="601">
        <v>0</v>
      </c>
      <c r="AF429" s="601">
        <v>0</v>
      </c>
      <c r="AG429" s="601">
        <v>0</v>
      </c>
      <c r="AH429" s="601">
        <v>0</v>
      </c>
      <c r="AI429" s="601">
        <v>0</v>
      </c>
      <c r="AJ429" s="601">
        <v>0</v>
      </c>
    </row>
    <row r="430" spans="1:36" x14ac:dyDescent="0.4">
      <c r="A430" s="568" t="s">
        <v>175</v>
      </c>
      <c r="B430" s="600" t="s">
        <v>1308</v>
      </c>
      <c r="C430" s="592" t="s">
        <v>32</v>
      </c>
      <c r="D430" s="592" t="s">
        <v>32</v>
      </c>
      <c r="E430" s="592" t="s">
        <v>32</v>
      </c>
      <c r="F430" s="592" t="s">
        <v>32</v>
      </c>
      <c r="G430" s="592" t="s">
        <v>32</v>
      </c>
      <c r="H430" s="592" t="s">
        <v>32</v>
      </c>
      <c r="I430" s="592" t="s">
        <v>32</v>
      </c>
      <c r="J430" s="592" t="s">
        <v>32</v>
      </c>
      <c r="K430" s="592" t="s">
        <v>32</v>
      </c>
      <c r="L430" s="592" t="s">
        <v>32</v>
      </c>
      <c r="M430" s="592" t="s">
        <v>32</v>
      </c>
      <c r="N430" s="592" t="s">
        <v>32</v>
      </c>
      <c r="O430" s="592" t="s">
        <v>32</v>
      </c>
      <c r="P430" s="592" t="s">
        <v>32</v>
      </c>
      <c r="Q430" s="592" t="s">
        <v>32</v>
      </c>
      <c r="R430" s="592" t="s">
        <v>32</v>
      </c>
      <c r="S430" s="592" t="s">
        <v>32</v>
      </c>
      <c r="T430" s="592" t="s">
        <v>32</v>
      </c>
      <c r="U430" s="592" t="s">
        <v>32</v>
      </c>
      <c r="V430" s="592" t="s">
        <v>32</v>
      </c>
      <c r="W430" s="592" t="s">
        <v>32</v>
      </c>
      <c r="X430" s="592" t="s">
        <v>32</v>
      </c>
      <c r="Y430" s="592" t="s">
        <v>32</v>
      </c>
      <c r="Z430" s="592" t="s">
        <v>32</v>
      </c>
      <c r="AA430" s="592" t="s">
        <v>32</v>
      </c>
      <c r="AB430" s="601">
        <v>0</v>
      </c>
      <c r="AC430" s="601">
        <v>0</v>
      </c>
      <c r="AD430" s="601">
        <v>0</v>
      </c>
      <c r="AE430" s="601">
        <v>0</v>
      </c>
      <c r="AF430" s="601">
        <v>0</v>
      </c>
      <c r="AG430" s="601">
        <v>0</v>
      </c>
      <c r="AH430" s="601">
        <v>0</v>
      </c>
      <c r="AI430" s="601">
        <v>0</v>
      </c>
      <c r="AJ430" s="601">
        <v>0</v>
      </c>
    </row>
    <row r="431" spans="1:36" ht="17" x14ac:dyDescent="0.4">
      <c r="A431" s="568" t="s">
        <v>175</v>
      </c>
      <c r="B431" s="1474" t="s">
        <v>1389</v>
      </c>
      <c r="C431" s="592" t="s">
        <v>32</v>
      </c>
      <c r="D431" s="592" t="s">
        <v>32</v>
      </c>
      <c r="E431" s="592" t="s">
        <v>32</v>
      </c>
      <c r="F431" s="592" t="s">
        <v>32</v>
      </c>
      <c r="G431" s="592" t="s">
        <v>32</v>
      </c>
      <c r="H431" s="592" t="s">
        <v>32</v>
      </c>
      <c r="I431" s="592" t="s">
        <v>32</v>
      </c>
      <c r="J431" s="592" t="s">
        <v>32</v>
      </c>
      <c r="K431" s="592" t="s">
        <v>32</v>
      </c>
      <c r="L431" s="592" t="s">
        <v>32</v>
      </c>
      <c r="M431" s="592" t="s">
        <v>32</v>
      </c>
      <c r="N431" s="592" t="s">
        <v>32</v>
      </c>
      <c r="O431" s="592" t="s">
        <v>32</v>
      </c>
      <c r="P431" s="592" t="s">
        <v>32</v>
      </c>
      <c r="Q431" s="592" t="s">
        <v>32</v>
      </c>
      <c r="R431" s="592" t="s">
        <v>32</v>
      </c>
      <c r="S431" s="592" t="s">
        <v>32</v>
      </c>
      <c r="T431" s="592" t="s">
        <v>32</v>
      </c>
      <c r="U431" s="592" t="s">
        <v>32</v>
      </c>
      <c r="V431" s="592" t="s">
        <v>32</v>
      </c>
      <c r="W431" s="592" t="s">
        <v>32</v>
      </c>
      <c r="X431" s="592" t="s">
        <v>32</v>
      </c>
      <c r="Y431" s="592" t="s">
        <v>32</v>
      </c>
      <c r="Z431" s="592" t="s">
        <v>32</v>
      </c>
      <c r="AA431" s="592" t="s">
        <v>32</v>
      </c>
      <c r="AB431" s="601">
        <v>0</v>
      </c>
      <c r="AC431" s="601">
        <v>0</v>
      </c>
      <c r="AD431" s="601">
        <v>0</v>
      </c>
      <c r="AE431" s="601">
        <v>0</v>
      </c>
      <c r="AF431" s="601">
        <v>0</v>
      </c>
      <c r="AG431" s="601">
        <v>0</v>
      </c>
      <c r="AH431" s="601">
        <v>0</v>
      </c>
      <c r="AI431" s="601">
        <v>0</v>
      </c>
      <c r="AJ431" s="601">
        <v>0</v>
      </c>
    </row>
    <row r="432" spans="1:36" ht="17" x14ac:dyDescent="0.4">
      <c r="A432" s="568" t="s">
        <v>175</v>
      </c>
      <c r="B432" s="1475" t="s">
        <v>1390</v>
      </c>
      <c r="C432" s="592" t="s">
        <v>32</v>
      </c>
      <c r="D432" s="592" t="s">
        <v>32</v>
      </c>
      <c r="E432" s="592" t="s">
        <v>32</v>
      </c>
      <c r="F432" s="592" t="s">
        <v>32</v>
      </c>
      <c r="G432" s="592" t="s">
        <v>32</v>
      </c>
      <c r="H432" s="592" t="s">
        <v>32</v>
      </c>
      <c r="I432" s="592" t="s">
        <v>32</v>
      </c>
      <c r="J432" s="592" t="s">
        <v>32</v>
      </c>
      <c r="K432" s="592" t="s">
        <v>32</v>
      </c>
      <c r="L432" s="592" t="s">
        <v>32</v>
      </c>
      <c r="M432" s="592" t="s">
        <v>32</v>
      </c>
      <c r="N432" s="592" t="s">
        <v>32</v>
      </c>
      <c r="O432" s="592" t="s">
        <v>32</v>
      </c>
      <c r="P432" s="592" t="s">
        <v>32</v>
      </c>
      <c r="Q432" s="592" t="s">
        <v>32</v>
      </c>
      <c r="R432" s="592" t="s">
        <v>32</v>
      </c>
      <c r="S432" s="592" t="s">
        <v>32</v>
      </c>
      <c r="T432" s="592" t="s">
        <v>32</v>
      </c>
      <c r="U432" s="592" t="s">
        <v>32</v>
      </c>
      <c r="V432" s="592" t="s">
        <v>32</v>
      </c>
      <c r="W432" s="592" t="s">
        <v>32</v>
      </c>
      <c r="X432" s="592" t="s">
        <v>32</v>
      </c>
      <c r="Y432" s="592" t="s">
        <v>32</v>
      </c>
      <c r="Z432" s="592" t="s">
        <v>32</v>
      </c>
      <c r="AA432" s="592" t="s">
        <v>32</v>
      </c>
      <c r="AB432" s="601">
        <v>0</v>
      </c>
      <c r="AC432" s="601">
        <v>0</v>
      </c>
      <c r="AD432" s="601">
        <v>0</v>
      </c>
      <c r="AE432" s="601">
        <v>0</v>
      </c>
      <c r="AF432" s="601">
        <v>0</v>
      </c>
      <c r="AG432" s="601">
        <v>0</v>
      </c>
      <c r="AH432" s="601">
        <v>0</v>
      </c>
      <c r="AI432" s="601">
        <v>0</v>
      </c>
      <c r="AJ432" s="601">
        <v>0</v>
      </c>
    </row>
    <row r="433" spans="1:36" x14ac:dyDescent="0.4">
      <c r="A433" s="568" t="s">
        <v>176</v>
      </c>
      <c r="B433" s="600" t="s">
        <v>1308</v>
      </c>
      <c r="C433" s="592" t="s">
        <v>32</v>
      </c>
      <c r="D433" s="592" t="s">
        <v>32</v>
      </c>
      <c r="E433" s="592" t="s">
        <v>32</v>
      </c>
      <c r="F433" s="592" t="s">
        <v>32</v>
      </c>
      <c r="G433" s="592" t="s">
        <v>32</v>
      </c>
      <c r="H433" s="592" t="s">
        <v>32</v>
      </c>
      <c r="I433" s="592" t="s">
        <v>32</v>
      </c>
      <c r="J433" s="592" t="s">
        <v>32</v>
      </c>
      <c r="K433" s="592" t="s">
        <v>32</v>
      </c>
      <c r="L433" s="592" t="s">
        <v>32</v>
      </c>
      <c r="M433" s="592" t="s">
        <v>32</v>
      </c>
      <c r="N433" s="592" t="s">
        <v>32</v>
      </c>
      <c r="O433" s="592" t="s">
        <v>32</v>
      </c>
      <c r="P433" s="592" t="s">
        <v>32</v>
      </c>
      <c r="Q433" s="592" t="s">
        <v>32</v>
      </c>
      <c r="R433" s="592" t="s">
        <v>32</v>
      </c>
      <c r="S433" s="592" t="s">
        <v>32</v>
      </c>
      <c r="T433" s="592" t="s">
        <v>32</v>
      </c>
      <c r="U433" s="592" t="s">
        <v>32</v>
      </c>
      <c r="V433" s="592" t="s">
        <v>32</v>
      </c>
      <c r="W433" s="592" t="s">
        <v>32</v>
      </c>
      <c r="X433" s="592" t="s">
        <v>32</v>
      </c>
      <c r="Y433" s="592" t="s">
        <v>32</v>
      </c>
      <c r="Z433" s="592" t="s">
        <v>32</v>
      </c>
      <c r="AA433" s="592" t="s">
        <v>32</v>
      </c>
      <c r="AB433" s="601">
        <v>2</v>
      </c>
      <c r="AC433" s="601">
        <v>2</v>
      </c>
      <c r="AD433" s="601">
        <v>2</v>
      </c>
      <c r="AE433" s="601">
        <v>2</v>
      </c>
      <c r="AF433" s="601">
        <v>2</v>
      </c>
      <c r="AG433" s="601">
        <v>2</v>
      </c>
      <c r="AH433" s="601">
        <v>2</v>
      </c>
      <c r="AI433" s="601">
        <v>2</v>
      </c>
      <c r="AJ433" s="601">
        <v>2</v>
      </c>
    </row>
    <row r="434" spans="1:36" ht="17" x14ac:dyDescent="0.4">
      <c r="A434" s="568" t="s">
        <v>176</v>
      </c>
      <c r="B434" s="1474" t="s">
        <v>1389</v>
      </c>
      <c r="C434" s="592" t="s">
        <v>32</v>
      </c>
      <c r="D434" s="592" t="s">
        <v>32</v>
      </c>
      <c r="E434" s="592" t="s">
        <v>32</v>
      </c>
      <c r="F434" s="592" t="s">
        <v>32</v>
      </c>
      <c r="G434" s="592" t="s">
        <v>32</v>
      </c>
      <c r="H434" s="592" t="s">
        <v>32</v>
      </c>
      <c r="I434" s="592" t="s">
        <v>32</v>
      </c>
      <c r="J434" s="592" t="s">
        <v>32</v>
      </c>
      <c r="K434" s="592" t="s">
        <v>32</v>
      </c>
      <c r="L434" s="592" t="s">
        <v>32</v>
      </c>
      <c r="M434" s="592" t="s">
        <v>32</v>
      </c>
      <c r="N434" s="592" t="s">
        <v>32</v>
      </c>
      <c r="O434" s="592" t="s">
        <v>32</v>
      </c>
      <c r="P434" s="592" t="s">
        <v>32</v>
      </c>
      <c r="Q434" s="592" t="s">
        <v>32</v>
      </c>
      <c r="R434" s="592" t="s">
        <v>32</v>
      </c>
      <c r="S434" s="592" t="s">
        <v>32</v>
      </c>
      <c r="T434" s="592" t="s">
        <v>32</v>
      </c>
      <c r="U434" s="592" t="s">
        <v>32</v>
      </c>
      <c r="V434" s="592" t="s">
        <v>32</v>
      </c>
      <c r="W434" s="592" t="s">
        <v>32</v>
      </c>
      <c r="X434" s="592" t="s">
        <v>32</v>
      </c>
      <c r="Y434" s="592" t="s">
        <v>32</v>
      </c>
      <c r="Z434" s="592" t="s">
        <v>32</v>
      </c>
      <c r="AA434" s="592" t="s">
        <v>32</v>
      </c>
      <c r="AB434" s="599">
        <v>19.62</v>
      </c>
      <c r="AC434" s="599">
        <v>16.46</v>
      </c>
      <c r="AD434" s="599">
        <v>5.88</v>
      </c>
      <c r="AE434" s="599">
        <v>4.0599999999999996</v>
      </c>
      <c r="AF434" s="599">
        <v>1.04</v>
      </c>
      <c r="AG434" s="599">
        <v>2.83</v>
      </c>
      <c r="AH434" s="599">
        <v>12.1</v>
      </c>
      <c r="AI434" s="599">
        <v>9.73</v>
      </c>
      <c r="AJ434" s="599">
        <f>1.7249209+2.7882814</f>
        <v>4.5132022999999997</v>
      </c>
    </row>
    <row r="435" spans="1:36" ht="17" x14ac:dyDescent="0.4">
      <c r="A435" s="568" t="s">
        <v>176</v>
      </c>
      <c r="B435" s="1475" t="s">
        <v>1390</v>
      </c>
      <c r="C435" s="592" t="s">
        <v>32</v>
      </c>
      <c r="D435" s="592" t="s">
        <v>32</v>
      </c>
      <c r="E435" s="592" t="s">
        <v>32</v>
      </c>
      <c r="F435" s="592" t="s">
        <v>32</v>
      </c>
      <c r="G435" s="592" t="s">
        <v>32</v>
      </c>
      <c r="H435" s="592" t="s">
        <v>32</v>
      </c>
      <c r="I435" s="592" t="s">
        <v>32</v>
      </c>
      <c r="J435" s="592" t="s">
        <v>32</v>
      </c>
      <c r="K435" s="592" t="s">
        <v>32</v>
      </c>
      <c r="L435" s="592" t="s">
        <v>32</v>
      </c>
      <c r="M435" s="592" t="s">
        <v>32</v>
      </c>
      <c r="N435" s="592" t="s">
        <v>32</v>
      </c>
      <c r="O435" s="592" t="s">
        <v>32</v>
      </c>
      <c r="P435" s="592" t="s">
        <v>32</v>
      </c>
      <c r="Q435" s="592" t="s">
        <v>32</v>
      </c>
      <c r="R435" s="592" t="s">
        <v>32</v>
      </c>
      <c r="S435" s="592" t="s">
        <v>32</v>
      </c>
      <c r="T435" s="592" t="s">
        <v>32</v>
      </c>
      <c r="U435" s="592" t="s">
        <v>32</v>
      </c>
      <c r="V435" s="592" t="s">
        <v>32</v>
      </c>
      <c r="W435" s="592" t="s">
        <v>32</v>
      </c>
      <c r="X435" s="592" t="s">
        <v>32</v>
      </c>
      <c r="Y435" s="592" t="s">
        <v>32</v>
      </c>
      <c r="Z435" s="592" t="s">
        <v>32</v>
      </c>
      <c r="AA435" s="592" t="s">
        <v>32</v>
      </c>
      <c r="AB435" s="599">
        <v>0.6</v>
      </c>
      <c r="AC435" s="599">
        <v>0.5</v>
      </c>
      <c r="AD435" s="599">
        <v>0.2</v>
      </c>
      <c r="AE435" s="599">
        <v>0.1</v>
      </c>
      <c r="AF435" s="599">
        <v>0</v>
      </c>
      <c r="AG435" s="599">
        <v>0.1</v>
      </c>
      <c r="AH435" s="599">
        <v>0.3</v>
      </c>
      <c r="AI435" s="599">
        <v>0.3</v>
      </c>
      <c r="AJ435" s="599">
        <f>0.0177001+0.0497428</f>
        <v>6.74429E-2</v>
      </c>
    </row>
    <row r="436" spans="1:36" x14ac:dyDescent="0.4">
      <c r="A436" s="591" t="s">
        <v>198</v>
      </c>
      <c r="B436" s="591" t="s">
        <v>1307</v>
      </c>
      <c r="C436" s="592" t="s">
        <v>32</v>
      </c>
      <c r="D436" s="592" t="s">
        <v>32</v>
      </c>
      <c r="E436" s="592" t="s">
        <v>32</v>
      </c>
      <c r="F436" s="592" t="s">
        <v>32</v>
      </c>
      <c r="G436" s="592" t="s">
        <v>32</v>
      </c>
      <c r="H436" s="592" t="s">
        <v>32</v>
      </c>
      <c r="I436" s="592" t="s">
        <v>32</v>
      </c>
      <c r="J436" s="592" t="s">
        <v>32</v>
      </c>
      <c r="K436" s="592" t="s">
        <v>32</v>
      </c>
      <c r="L436" s="592" t="s">
        <v>32</v>
      </c>
      <c r="M436" s="592" t="s">
        <v>32</v>
      </c>
      <c r="N436" s="592" t="s">
        <v>32</v>
      </c>
      <c r="O436" s="592" t="s">
        <v>32</v>
      </c>
      <c r="P436" s="592" t="s">
        <v>32</v>
      </c>
      <c r="Q436" s="592" t="s">
        <v>32</v>
      </c>
      <c r="R436" s="592" t="s">
        <v>32</v>
      </c>
      <c r="S436" s="592" t="s">
        <v>32</v>
      </c>
      <c r="T436" s="592" t="s">
        <v>32</v>
      </c>
      <c r="U436" s="592" t="s">
        <v>32</v>
      </c>
      <c r="V436" s="592" t="s">
        <v>32</v>
      </c>
      <c r="W436" s="592" t="s">
        <v>32</v>
      </c>
      <c r="X436" s="592" t="s">
        <v>32</v>
      </c>
      <c r="Y436" s="592" t="s">
        <v>32</v>
      </c>
      <c r="Z436" s="592" t="s">
        <v>32</v>
      </c>
      <c r="AA436" s="592" t="s">
        <v>32</v>
      </c>
      <c r="AB436" s="601">
        <v>70</v>
      </c>
      <c r="AC436" s="601">
        <v>28</v>
      </c>
      <c r="AD436" s="601">
        <v>62</v>
      </c>
      <c r="AE436" s="601">
        <v>82</v>
      </c>
      <c r="AF436" s="601">
        <v>58</v>
      </c>
      <c r="AG436" s="601">
        <v>77</v>
      </c>
      <c r="AH436" s="601">
        <v>73</v>
      </c>
      <c r="AI436" s="601">
        <v>86</v>
      </c>
      <c r="AJ436" s="601">
        <v>70</v>
      </c>
    </row>
    <row r="437" spans="1:36" ht="17" x14ac:dyDescent="0.4">
      <c r="A437" s="591" t="s">
        <v>197</v>
      </c>
      <c r="B437" s="1474" t="s">
        <v>1389</v>
      </c>
      <c r="C437" s="592" t="s">
        <v>32</v>
      </c>
      <c r="D437" s="592" t="s">
        <v>32</v>
      </c>
      <c r="E437" s="592" t="s">
        <v>32</v>
      </c>
      <c r="F437" s="592" t="s">
        <v>32</v>
      </c>
      <c r="G437" s="592" t="s">
        <v>32</v>
      </c>
      <c r="H437" s="592" t="s">
        <v>32</v>
      </c>
      <c r="I437" s="592" t="s">
        <v>32</v>
      </c>
      <c r="J437" s="592" t="s">
        <v>32</v>
      </c>
      <c r="K437" s="592" t="s">
        <v>32</v>
      </c>
      <c r="L437" s="592" t="s">
        <v>32</v>
      </c>
      <c r="M437" s="592" t="s">
        <v>32</v>
      </c>
      <c r="N437" s="592" t="s">
        <v>32</v>
      </c>
      <c r="O437" s="592" t="s">
        <v>32</v>
      </c>
      <c r="P437" s="592" t="s">
        <v>32</v>
      </c>
      <c r="Q437" s="592" t="s">
        <v>32</v>
      </c>
      <c r="R437" s="592" t="s">
        <v>32</v>
      </c>
      <c r="S437" s="592" t="s">
        <v>32</v>
      </c>
      <c r="T437" s="592" t="s">
        <v>32</v>
      </c>
      <c r="U437" s="592" t="s">
        <v>32</v>
      </c>
      <c r="V437" s="592" t="s">
        <v>32</v>
      </c>
      <c r="W437" s="592" t="s">
        <v>32</v>
      </c>
      <c r="X437" s="592" t="s">
        <v>32</v>
      </c>
      <c r="Y437" s="592" t="s">
        <v>32</v>
      </c>
      <c r="Z437" s="592" t="s">
        <v>32</v>
      </c>
      <c r="AA437" s="592" t="s">
        <v>32</v>
      </c>
      <c r="AB437" s="599">
        <v>17.440000000000001</v>
      </c>
      <c r="AC437" s="599">
        <v>5.32</v>
      </c>
      <c r="AD437" s="599">
        <v>11.04</v>
      </c>
      <c r="AE437" s="599">
        <v>14.21</v>
      </c>
      <c r="AF437" s="599">
        <v>10.55</v>
      </c>
      <c r="AG437" s="599">
        <v>11.5</v>
      </c>
      <c r="AH437" s="599">
        <v>11.8</v>
      </c>
      <c r="AI437" s="599">
        <v>13.7</v>
      </c>
      <c r="AJ437" s="599">
        <v>11.4627456</v>
      </c>
    </row>
    <row r="438" spans="1:36" ht="17" x14ac:dyDescent="0.4">
      <c r="A438" s="591" t="s">
        <v>197</v>
      </c>
      <c r="B438" s="1475" t="s">
        <v>1390</v>
      </c>
      <c r="C438" s="592" t="s">
        <v>32</v>
      </c>
      <c r="D438" s="592" t="s">
        <v>32</v>
      </c>
      <c r="E438" s="592" t="s">
        <v>32</v>
      </c>
      <c r="F438" s="592" t="s">
        <v>32</v>
      </c>
      <c r="G438" s="592" t="s">
        <v>32</v>
      </c>
      <c r="H438" s="592" t="s">
        <v>32</v>
      </c>
      <c r="I438" s="592" t="s">
        <v>32</v>
      </c>
      <c r="J438" s="592" t="s">
        <v>32</v>
      </c>
      <c r="K438" s="592" t="s">
        <v>32</v>
      </c>
      <c r="L438" s="592" t="s">
        <v>32</v>
      </c>
      <c r="M438" s="592" t="s">
        <v>32</v>
      </c>
      <c r="N438" s="592" t="s">
        <v>32</v>
      </c>
      <c r="O438" s="592" t="s">
        <v>32</v>
      </c>
      <c r="P438" s="592" t="s">
        <v>32</v>
      </c>
      <c r="Q438" s="592" t="s">
        <v>32</v>
      </c>
      <c r="R438" s="592" t="s">
        <v>32</v>
      </c>
      <c r="S438" s="592" t="s">
        <v>32</v>
      </c>
      <c r="T438" s="592" t="s">
        <v>32</v>
      </c>
      <c r="U438" s="592" t="s">
        <v>32</v>
      </c>
      <c r="V438" s="592" t="s">
        <v>32</v>
      </c>
      <c r="W438" s="592" t="s">
        <v>32</v>
      </c>
      <c r="X438" s="592" t="s">
        <v>32</v>
      </c>
      <c r="Y438" s="592" t="s">
        <v>32</v>
      </c>
      <c r="Z438" s="592" t="s">
        <v>32</v>
      </c>
      <c r="AA438" s="592" t="s">
        <v>32</v>
      </c>
      <c r="AB438" s="592">
        <v>0.5</v>
      </c>
      <c r="AC438" s="599">
        <v>0.2</v>
      </c>
      <c r="AD438" s="599">
        <v>0.3</v>
      </c>
      <c r="AE438" s="599">
        <v>0.4</v>
      </c>
      <c r="AF438" s="599">
        <v>0.3</v>
      </c>
      <c r="AG438" s="599">
        <v>0.3</v>
      </c>
      <c r="AH438" s="599">
        <v>0.3</v>
      </c>
      <c r="AI438" s="599">
        <v>0.4</v>
      </c>
      <c r="AJ438" s="599">
        <v>0.3305594</v>
      </c>
    </row>
    <row r="439" spans="1:36" x14ac:dyDescent="0.4">
      <c r="A439" s="1188" t="s">
        <v>1063</v>
      </c>
      <c r="B439" s="1191"/>
      <c r="C439" s="1191"/>
      <c r="D439" s="1191"/>
      <c r="E439" s="1191"/>
      <c r="F439" s="1191"/>
      <c r="G439" s="1191"/>
      <c r="H439" s="1191"/>
      <c r="I439" s="1191"/>
      <c r="J439" s="1191"/>
      <c r="K439" s="1191"/>
      <c r="L439" s="1191"/>
      <c r="M439" s="1191"/>
      <c r="N439" s="1191"/>
      <c r="O439" s="1191"/>
      <c r="P439" s="1191"/>
      <c r="Q439" s="1191"/>
      <c r="R439" s="1191"/>
      <c r="S439" s="1191"/>
      <c r="T439" s="1191"/>
      <c r="U439" s="1191"/>
      <c r="V439" s="1191"/>
      <c r="W439" s="1191"/>
      <c r="X439" s="1191"/>
      <c r="Y439" s="1191"/>
      <c r="Z439" s="1191"/>
      <c r="AA439" s="1191"/>
      <c r="AB439" s="1191"/>
      <c r="AC439" s="1191"/>
      <c r="AD439" s="1191"/>
      <c r="AE439" s="1191"/>
      <c r="AF439" s="1191"/>
      <c r="AG439" s="1191"/>
      <c r="AH439" s="1191"/>
      <c r="AI439" s="1191"/>
      <c r="AJ439" s="1191"/>
    </row>
    <row r="440" spans="1:36" x14ac:dyDescent="0.4">
      <c r="A440" s="570"/>
      <c r="B440" s="89"/>
      <c r="C440" s="89"/>
      <c r="D440" s="89"/>
      <c r="E440" s="89"/>
      <c r="F440" s="89"/>
      <c r="G440" s="89"/>
      <c r="H440" s="89"/>
      <c r="I440" s="89"/>
      <c r="J440" s="89"/>
      <c r="K440" s="89"/>
      <c r="L440" s="89"/>
      <c r="M440" s="89"/>
      <c r="N440" s="89"/>
      <c r="O440" s="89"/>
      <c r="P440" s="89"/>
      <c r="Q440" s="89"/>
      <c r="R440" s="89"/>
      <c r="S440" s="89"/>
      <c r="T440" s="89"/>
      <c r="U440" s="89"/>
      <c r="V440" s="89"/>
      <c r="W440" s="89"/>
      <c r="X440" s="89"/>
      <c r="Y440" s="89"/>
      <c r="Z440" s="89"/>
      <c r="AA440" s="89"/>
      <c r="AB440" s="89"/>
      <c r="AC440" s="89"/>
      <c r="AD440" s="89"/>
      <c r="AE440" s="89"/>
      <c r="AF440" s="89"/>
      <c r="AG440" s="89"/>
      <c r="AH440" s="89"/>
      <c r="AI440" s="89"/>
      <c r="AJ440" s="89"/>
    </row>
    <row r="441" spans="1:36" x14ac:dyDescent="0.4">
      <c r="A441" s="1294" t="s">
        <v>1003</v>
      </c>
      <c r="B441" s="1294"/>
      <c r="C441" s="1293"/>
      <c r="D441" s="1293"/>
      <c r="E441" s="1293"/>
      <c r="F441" s="1293"/>
      <c r="G441" s="1293"/>
      <c r="H441" s="1293"/>
      <c r="I441" s="1293"/>
      <c r="J441" s="1293"/>
      <c r="K441" s="1293"/>
      <c r="L441" s="1293"/>
      <c r="M441" s="1293"/>
      <c r="N441" s="1293"/>
      <c r="O441" s="1293"/>
      <c r="P441" s="1293"/>
      <c r="Q441" s="1293"/>
      <c r="R441" s="1293"/>
      <c r="S441" s="1293"/>
      <c r="T441" s="1293"/>
      <c r="U441" s="1293"/>
      <c r="V441" s="1293"/>
      <c r="W441" s="1293"/>
      <c r="X441" s="1293"/>
      <c r="Y441" s="1293"/>
      <c r="Z441" s="1293"/>
      <c r="AA441" s="1293"/>
      <c r="AB441" s="1293"/>
      <c r="AC441" s="1293"/>
      <c r="AD441" s="1293"/>
      <c r="AE441" s="1293"/>
      <c r="AF441" s="1293"/>
      <c r="AG441" s="1293"/>
      <c r="AH441" s="1293"/>
      <c r="AI441" s="1293"/>
      <c r="AJ441" s="1293"/>
    </row>
    <row r="442" spans="1:36" x14ac:dyDescent="0.4">
      <c r="A442" s="597"/>
      <c r="B442" s="597"/>
      <c r="C442" s="89"/>
      <c r="D442" s="89"/>
      <c r="E442" s="89"/>
      <c r="F442" s="89"/>
      <c r="G442" s="89"/>
      <c r="H442" s="89"/>
      <c r="I442" s="89"/>
      <c r="J442" s="89"/>
      <c r="K442" s="89"/>
      <c r="L442" s="89"/>
      <c r="M442" s="89"/>
      <c r="N442" s="89"/>
      <c r="O442" s="89"/>
      <c r="P442" s="89"/>
      <c r="Q442" s="89"/>
      <c r="R442" s="89"/>
      <c r="S442" s="89"/>
      <c r="T442" s="89"/>
      <c r="U442" s="89"/>
      <c r="V442" s="89"/>
      <c r="W442" s="89"/>
      <c r="X442" s="89"/>
      <c r="Y442" s="89"/>
      <c r="Z442" s="89"/>
      <c r="AA442" s="89"/>
      <c r="AB442" s="89"/>
      <c r="AC442" s="89"/>
      <c r="AD442" s="89"/>
      <c r="AE442" s="89"/>
      <c r="AF442" s="89"/>
      <c r="AG442" s="89"/>
      <c r="AH442" s="89"/>
      <c r="AI442" s="89"/>
      <c r="AJ442" s="89"/>
    </row>
    <row r="443" spans="1:36" x14ac:dyDescent="0.4">
      <c r="A443" s="1238" t="s">
        <v>721</v>
      </c>
      <c r="B443" s="597"/>
      <c r="C443" s="89"/>
      <c r="D443" s="89"/>
      <c r="E443" s="89"/>
      <c r="F443" s="89"/>
      <c r="G443" s="89"/>
      <c r="H443" s="89"/>
      <c r="I443" s="89"/>
      <c r="J443" s="89"/>
      <c r="K443" s="89"/>
      <c r="L443" s="89"/>
      <c r="M443" s="89"/>
      <c r="N443" s="89"/>
      <c r="O443" s="89"/>
      <c r="P443" s="89"/>
      <c r="Q443" s="89"/>
      <c r="R443" s="89"/>
      <c r="S443" s="89"/>
      <c r="T443" s="89"/>
      <c r="U443" s="89"/>
      <c r="V443" s="89"/>
      <c r="W443" s="89"/>
      <c r="X443" s="89"/>
      <c r="Y443" s="89"/>
      <c r="Z443" s="89"/>
      <c r="AA443" s="89"/>
      <c r="AB443" s="89"/>
      <c r="AC443" s="89"/>
      <c r="AD443" s="89"/>
      <c r="AE443" s="89"/>
      <c r="AF443" s="89"/>
      <c r="AG443" s="89"/>
      <c r="AH443" s="89"/>
      <c r="AI443" s="89"/>
      <c r="AJ443" s="89"/>
    </row>
    <row r="444" spans="1:36" x14ac:dyDescent="0.4">
      <c r="A444" s="1158" t="s">
        <v>814</v>
      </c>
      <c r="B444" s="1140" t="s">
        <v>136</v>
      </c>
      <c r="C444" s="1159" t="s">
        <v>391</v>
      </c>
      <c r="D444" s="1159" t="s">
        <v>392</v>
      </c>
      <c r="E444" s="1159" t="s">
        <v>393</v>
      </c>
      <c r="F444" s="1159" t="s">
        <v>394</v>
      </c>
      <c r="G444" s="1159" t="s">
        <v>395</v>
      </c>
      <c r="H444" s="1159" t="s">
        <v>396</v>
      </c>
      <c r="I444" s="1159" t="s">
        <v>397</v>
      </c>
      <c r="J444" s="1159" t="s">
        <v>398</v>
      </c>
      <c r="K444" s="1159" t="s">
        <v>399</v>
      </c>
      <c r="L444" s="1159" t="s">
        <v>400</v>
      </c>
      <c r="M444" s="1159" t="s">
        <v>401</v>
      </c>
      <c r="N444" s="1159" t="s">
        <v>402</v>
      </c>
      <c r="O444" s="1159" t="s">
        <v>403</v>
      </c>
      <c r="P444" s="1159" t="s">
        <v>404</v>
      </c>
      <c r="Q444" s="1159" t="s">
        <v>405</v>
      </c>
      <c r="R444" s="1159" t="s">
        <v>406</v>
      </c>
      <c r="S444" s="1159" t="s">
        <v>407</v>
      </c>
      <c r="T444" s="1159" t="s">
        <v>408</v>
      </c>
      <c r="U444" s="1159" t="s">
        <v>409</v>
      </c>
      <c r="V444" s="1159" t="s">
        <v>410</v>
      </c>
      <c r="W444" s="1159" t="s">
        <v>411</v>
      </c>
      <c r="X444" s="1159" t="s">
        <v>412</v>
      </c>
      <c r="Y444" s="1159" t="s">
        <v>413</v>
      </c>
      <c r="Z444" s="1159" t="s">
        <v>414</v>
      </c>
      <c r="AA444" s="1159" t="s">
        <v>415</v>
      </c>
      <c r="AB444" s="1159" t="s">
        <v>416</v>
      </c>
      <c r="AC444" s="1159" t="s">
        <v>417</v>
      </c>
      <c r="AD444" s="1159" t="s">
        <v>418</v>
      </c>
      <c r="AE444" s="1159" t="s">
        <v>419</v>
      </c>
      <c r="AF444" s="1159" t="s">
        <v>420</v>
      </c>
      <c r="AG444" s="1159" t="s">
        <v>421</v>
      </c>
      <c r="AH444" s="987" t="s">
        <v>422</v>
      </c>
      <c r="AI444" s="89"/>
      <c r="AJ444" s="89"/>
    </row>
    <row r="445" spans="1:36" ht="17" x14ac:dyDescent="0.4">
      <c r="A445" s="568" t="s">
        <v>172</v>
      </c>
      <c r="B445" s="1474" t="s">
        <v>1389</v>
      </c>
      <c r="C445" s="592" t="s">
        <v>32</v>
      </c>
      <c r="D445" s="592" t="s">
        <v>32</v>
      </c>
      <c r="E445" s="592" t="s">
        <v>32</v>
      </c>
      <c r="F445" s="592" t="s">
        <v>32</v>
      </c>
      <c r="G445" s="592" t="s">
        <v>32</v>
      </c>
      <c r="H445" s="592" t="s">
        <v>32</v>
      </c>
      <c r="I445" s="592" t="s">
        <v>32</v>
      </c>
      <c r="J445" s="592" t="s">
        <v>32</v>
      </c>
      <c r="K445" s="592" t="s">
        <v>32</v>
      </c>
      <c r="L445" s="592" t="s">
        <v>32</v>
      </c>
      <c r="M445" s="592" t="s">
        <v>32</v>
      </c>
      <c r="N445" s="592" t="s">
        <v>32</v>
      </c>
      <c r="O445" s="592" t="s">
        <v>32</v>
      </c>
      <c r="P445" s="592" t="s">
        <v>32</v>
      </c>
      <c r="Q445" s="592" t="s">
        <v>32</v>
      </c>
      <c r="R445" s="592" t="s">
        <v>32</v>
      </c>
      <c r="S445" s="592" t="s">
        <v>32</v>
      </c>
      <c r="T445" s="592" t="s">
        <v>32</v>
      </c>
      <c r="U445" s="592" t="s">
        <v>32</v>
      </c>
      <c r="V445" s="592" t="s">
        <v>32</v>
      </c>
      <c r="W445" s="592" t="s">
        <v>32</v>
      </c>
      <c r="X445" s="592" t="s">
        <v>32</v>
      </c>
      <c r="Y445" s="592" t="s">
        <v>32</v>
      </c>
      <c r="Z445" s="592" t="s">
        <v>32</v>
      </c>
      <c r="AA445" s="592" t="s">
        <v>32</v>
      </c>
      <c r="AB445" s="592" t="s">
        <v>32</v>
      </c>
      <c r="AC445" s="599">
        <v>8.83</v>
      </c>
      <c r="AD445" s="599">
        <v>1.99</v>
      </c>
      <c r="AE445" s="599">
        <v>2.11</v>
      </c>
      <c r="AF445" s="599">
        <v>1.34</v>
      </c>
      <c r="AG445" s="599">
        <v>0.67</v>
      </c>
      <c r="AH445" s="599">
        <v>2.69</v>
      </c>
      <c r="AI445" s="89"/>
      <c r="AJ445" s="89"/>
    </row>
    <row r="446" spans="1:36" ht="17" x14ac:dyDescent="0.4">
      <c r="A446" s="568" t="s">
        <v>172</v>
      </c>
      <c r="B446" s="1475" t="s">
        <v>1390</v>
      </c>
      <c r="C446" s="592" t="s">
        <v>32</v>
      </c>
      <c r="D446" s="592" t="s">
        <v>32</v>
      </c>
      <c r="E446" s="592" t="s">
        <v>32</v>
      </c>
      <c r="F446" s="592" t="s">
        <v>32</v>
      </c>
      <c r="G446" s="592" t="s">
        <v>32</v>
      </c>
      <c r="H446" s="592" t="s">
        <v>32</v>
      </c>
      <c r="I446" s="592" t="s">
        <v>32</v>
      </c>
      <c r="J446" s="592" t="s">
        <v>32</v>
      </c>
      <c r="K446" s="592" t="s">
        <v>32</v>
      </c>
      <c r="L446" s="592" t="s">
        <v>32</v>
      </c>
      <c r="M446" s="592" t="s">
        <v>32</v>
      </c>
      <c r="N446" s="592" t="s">
        <v>32</v>
      </c>
      <c r="O446" s="592" t="s">
        <v>32</v>
      </c>
      <c r="P446" s="592" t="s">
        <v>32</v>
      </c>
      <c r="Q446" s="592" t="s">
        <v>32</v>
      </c>
      <c r="R446" s="592" t="s">
        <v>32</v>
      </c>
      <c r="S446" s="592" t="s">
        <v>32</v>
      </c>
      <c r="T446" s="592" t="s">
        <v>32</v>
      </c>
      <c r="U446" s="592" t="s">
        <v>32</v>
      </c>
      <c r="V446" s="592" t="s">
        <v>32</v>
      </c>
      <c r="W446" s="592" t="s">
        <v>32</v>
      </c>
      <c r="X446" s="592" t="s">
        <v>32</v>
      </c>
      <c r="Y446" s="592" t="s">
        <v>32</v>
      </c>
      <c r="Z446" s="592" t="s">
        <v>32</v>
      </c>
      <c r="AA446" s="592" t="s">
        <v>32</v>
      </c>
      <c r="AB446" s="592" t="s">
        <v>32</v>
      </c>
      <c r="AC446" s="599">
        <v>0.3</v>
      </c>
      <c r="AD446" s="599">
        <v>0.1</v>
      </c>
      <c r="AE446" s="599">
        <v>0.1</v>
      </c>
      <c r="AF446" s="599">
        <v>0</v>
      </c>
      <c r="AG446" s="599">
        <v>0</v>
      </c>
      <c r="AH446" s="599">
        <v>0.1</v>
      </c>
      <c r="AI446" s="89"/>
      <c r="AJ446" s="89"/>
    </row>
    <row r="447" spans="1:36" x14ac:dyDescent="0.4">
      <c r="A447" s="568" t="s">
        <v>173</v>
      </c>
      <c r="B447" s="600" t="s">
        <v>1308</v>
      </c>
      <c r="C447" s="592" t="s">
        <v>32</v>
      </c>
      <c r="D447" s="592" t="s">
        <v>32</v>
      </c>
      <c r="E447" s="592" t="s">
        <v>32</v>
      </c>
      <c r="F447" s="592" t="s">
        <v>32</v>
      </c>
      <c r="G447" s="592" t="s">
        <v>32</v>
      </c>
      <c r="H447" s="592" t="s">
        <v>32</v>
      </c>
      <c r="I447" s="592" t="s">
        <v>32</v>
      </c>
      <c r="J447" s="592" t="s">
        <v>32</v>
      </c>
      <c r="K447" s="592" t="s">
        <v>32</v>
      </c>
      <c r="L447" s="592" t="s">
        <v>32</v>
      </c>
      <c r="M447" s="592" t="s">
        <v>32</v>
      </c>
      <c r="N447" s="592" t="s">
        <v>32</v>
      </c>
      <c r="O447" s="592" t="s">
        <v>32</v>
      </c>
      <c r="P447" s="592" t="s">
        <v>32</v>
      </c>
      <c r="Q447" s="592" t="s">
        <v>32</v>
      </c>
      <c r="R447" s="592" t="s">
        <v>32</v>
      </c>
      <c r="S447" s="592" t="s">
        <v>32</v>
      </c>
      <c r="T447" s="592" t="s">
        <v>32</v>
      </c>
      <c r="U447" s="592" t="s">
        <v>32</v>
      </c>
      <c r="V447" s="592" t="s">
        <v>32</v>
      </c>
      <c r="W447" s="592" t="s">
        <v>32</v>
      </c>
      <c r="X447" s="592" t="s">
        <v>32</v>
      </c>
      <c r="Y447" s="592" t="s">
        <v>32</v>
      </c>
      <c r="Z447" s="592" t="s">
        <v>32</v>
      </c>
      <c r="AA447" s="592" t="s">
        <v>32</v>
      </c>
      <c r="AB447" s="592" t="s">
        <v>32</v>
      </c>
      <c r="AC447" s="601">
        <v>0</v>
      </c>
      <c r="AD447" s="601">
        <v>0</v>
      </c>
      <c r="AE447" s="601">
        <v>0</v>
      </c>
      <c r="AF447" s="601">
        <v>0</v>
      </c>
      <c r="AG447" s="601">
        <v>0</v>
      </c>
      <c r="AH447" s="601">
        <v>0</v>
      </c>
      <c r="AI447" s="89"/>
      <c r="AJ447" s="89"/>
    </row>
    <row r="448" spans="1:36" ht="17" x14ac:dyDescent="0.4">
      <c r="A448" s="568" t="s">
        <v>173</v>
      </c>
      <c r="B448" s="1474" t="s">
        <v>1389</v>
      </c>
      <c r="C448" s="592" t="s">
        <v>32</v>
      </c>
      <c r="D448" s="592" t="s">
        <v>32</v>
      </c>
      <c r="E448" s="592" t="s">
        <v>32</v>
      </c>
      <c r="F448" s="592" t="s">
        <v>32</v>
      </c>
      <c r="G448" s="592" t="s">
        <v>32</v>
      </c>
      <c r="H448" s="592" t="s">
        <v>32</v>
      </c>
      <c r="I448" s="592" t="s">
        <v>32</v>
      </c>
      <c r="J448" s="592" t="s">
        <v>32</v>
      </c>
      <c r="K448" s="592" t="s">
        <v>32</v>
      </c>
      <c r="L448" s="592" t="s">
        <v>32</v>
      </c>
      <c r="M448" s="592" t="s">
        <v>32</v>
      </c>
      <c r="N448" s="592" t="s">
        <v>32</v>
      </c>
      <c r="O448" s="592" t="s">
        <v>32</v>
      </c>
      <c r="P448" s="592" t="s">
        <v>32</v>
      </c>
      <c r="Q448" s="592" t="s">
        <v>32</v>
      </c>
      <c r="R448" s="592" t="s">
        <v>32</v>
      </c>
      <c r="S448" s="592" t="s">
        <v>32</v>
      </c>
      <c r="T448" s="592" t="s">
        <v>32</v>
      </c>
      <c r="U448" s="592" t="s">
        <v>32</v>
      </c>
      <c r="V448" s="592" t="s">
        <v>32</v>
      </c>
      <c r="W448" s="592" t="s">
        <v>32</v>
      </c>
      <c r="X448" s="592" t="s">
        <v>32</v>
      </c>
      <c r="Y448" s="592" t="s">
        <v>32</v>
      </c>
      <c r="Z448" s="592" t="s">
        <v>32</v>
      </c>
      <c r="AA448" s="592" t="s">
        <v>32</v>
      </c>
      <c r="AB448" s="592" t="s">
        <v>32</v>
      </c>
      <c r="AC448" s="601">
        <v>0</v>
      </c>
      <c r="AD448" s="601">
        <v>0</v>
      </c>
      <c r="AE448" s="601">
        <v>0</v>
      </c>
      <c r="AF448" s="601">
        <v>0</v>
      </c>
      <c r="AG448" s="601">
        <v>0</v>
      </c>
      <c r="AH448" s="601">
        <v>0</v>
      </c>
      <c r="AI448" s="89"/>
      <c r="AJ448" s="89"/>
    </row>
    <row r="449" spans="1:36" ht="17" x14ac:dyDescent="0.4">
      <c r="A449" s="568" t="s">
        <v>173</v>
      </c>
      <c r="B449" s="1475" t="s">
        <v>1390</v>
      </c>
      <c r="C449" s="592" t="s">
        <v>32</v>
      </c>
      <c r="D449" s="592" t="s">
        <v>32</v>
      </c>
      <c r="E449" s="592" t="s">
        <v>32</v>
      </c>
      <c r="F449" s="592" t="s">
        <v>32</v>
      </c>
      <c r="G449" s="592" t="s">
        <v>32</v>
      </c>
      <c r="H449" s="592" t="s">
        <v>32</v>
      </c>
      <c r="I449" s="592" t="s">
        <v>32</v>
      </c>
      <c r="J449" s="592" t="s">
        <v>32</v>
      </c>
      <c r="K449" s="592" t="s">
        <v>32</v>
      </c>
      <c r="L449" s="592" t="s">
        <v>32</v>
      </c>
      <c r="M449" s="592" t="s">
        <v>32</v>
      </c>
      <c r="N449" s="592" t="s">
        <v>32</v>
      </c>
      <c r="O449" s="592" t="s">
        <v>32</v>
      </c>
      <c r="P449" s="592" t="s">
        <v>32</v>
      </c>
      <c r="Q449" s="592" t="s">
        <v>32</v>
      </c>
      <c r="R449" s="592" t="s">
        <v>32</v>
      </c>
      <c r="S449" s="592" t="s">
        <v>32</v>
      </c>
      <c r="T449" s="592" t="s">
        <v>32</v>
      </c>
      <c r="U449" s="592" t="s">
        <v>32</v>
      </c>
      <c r="V449" s="592" t="s">
        <v>32</v>
      </c>
      <c r="W449" s="592" t="s">
        <v>32</v>
      </c>
      <c r="X449" s="592" t="s">
        <v>32</v>
      </c>
      <c r="Y449" s="592" t="s">
        <v>32</v>
      </c>
      <c r="Z449" s="592" t="s">
        <v>32</v>
      </c>
      <c r="AA449" s="592" t="s">
        <v>32</v>
      </c>
      <c r="AB449" s="592" t="s">
        <v>32</v>
      </c>
      <c r="AC449" s="601">
        <v>0</v>
      </c>
      <c r="AD449" s="601">
        <v>0</v>
      </c>
      <c r="AE449" s="601">
        <v>0</v>
      </c>
      <c r="AF449" s="601">
        <v>0</v>
      </c>
      <c r="AG449" s="601">
        <v>0</v>
      </c>
      <c r="AH449" s="601">
        <v>0</v>
      </c>
      <c r="AI449" s="89"/>
      <c r="AJ449" s="89"/>
    </row>
    <row r="450" spans="1:36" x14ac:dyDescent="0.4">
      <c r="A450" s="568" t="s">
        <v>175</v>
      </c>
      <c r="B450" s="600" t="s">
        <v>1308</v>
      </c>
      <c r="C450" s="592" t="s">
        <v>32</v>
      </c>
      <c r="D450" s="592" t="s">
        <v>32</v>
      </c>
      <c r="E450" s="592" t="s">
        <v>32</v>
      </c>
      <c r="F450" s="592" t="s">
        <v>32</v>
      </c>
      <c r="G450" s="592" t="s">
        <v>32</v>
      </c>
      <c r="H450" s="592" t="s">
        <v>32</v>
      </c>
      <c r="I450" s="592" t="s">
        <v>32</v>
      </c>
      <c r="J450" s="592" t="s">
        <v>32</v>
      </c>
      <c r="K450" s="592" t="s">
        <v>32</v>
      </c>
      <c r="L450" s="592" t="s">
        <v>32</v>
      </c>
      <c r="M450" s="592" t="s">
        <v>32</v>
      </c>
      <c r="N450" s="592" t="s">
        <v>32</v>
      </c>
      <c r="O450" s="592" t="s">
        <v>32</v>
      </c>
      <c r="P450" s="592" t="s">
        <v>32</v>
      </c>
      <c r="Q450" s="592" t="s">
        <v>32</v>
      </c>
      <c r="R450" s="592" t="s">
        <v>32</v>
      </c>
      <c r="S450" s="592" t="s">
        <v>32</v>
      </c>
      <c r="T450" s="592" t="s">
        <v>32</v>
      </c>
      <c r="U450" s="592" t="s">
        <v>32</v>
      </c>
      <c r="V450" s="592" t="s">
        <v>32</v>
      </c>
      <c r="W450" s="592" t="s">
        <v>32</v>
      </c>
      <c r="X450" s="592" t="s">
        <v>32</v>
      </c>
      <c r="Y450" s="592" t="s">
        <v>32</v>
      </c>
      <c r="Z450" s="592" t="s">
        <v>32</v>
      </c>
      <c r="AA450" s="592" t="s">
        <v>32</v>
      </c>
      <c r="AB450" s="592" t="s">
        <v>32</v>
      </c>
      <c r="AC450" s="601">
        <v>2</v>
      </c>
      <c r="AD450" s="601">
        <v>2</v>
      </c>
      <c r="AE450" s="601">
        <v>2</v>
      </c>
      <c r="AF450" s="601">
        <v>2</v>
      </c>
      <c r="AG450" s="601">
        <v>2</v>
      </c>
      <c r="AH450" s="601">
        <v>2</v>
      </c>
      <c r="AI450" s="89"/>
      <c r="AJ450" s="89"/>
    </row>
    <row r="451" spans="1:36" ht="17" x14ac:dyDescent="0.4">
      <c r="A451" s="568" t="s">
        <v>175</v>
      </c>
      <c r="B451" s="1474" t="s">
        <v>1389</v>
      </c>
      <c r="C451" s="592" t="s">
        <v>32</v>
      </c>
      <c r="D451" s="592" t="s">
        <v>32</v>
      </c>
      <c r="E451" s="592" t="s">
        <v>32</v>
      </c>
      <c r="F451" s="592" t="s">
        <v>32</v>
      </c>
      <c r="G451" s="592" t="s">
        <v>32</v>
      </c>
      <c r="H451" s="592" t="s">
        <v>32</v>
      </c>
      <c r="I451" s="592" t="s">
        <v>32</v>
      </c>
      <c r="J451" s="592" t="s">
        <v>32</v>
      </c>
      <c r="K451" s="592" t="s">
        <v>32</v>
      </c>
      <c r="L451" s="592" t="s">
        <v>32</v>
      </c>
      <c r="M451" s="592" t="s">
        <v>32</v>
      </c>
      <c r="N451" s="592" t="s">
        <v>32</v>
      </c>
      <c r="O451" s="592" t="s">
        <v>32</v>
      </c>
      <c r="P451" s="592" t="s">
        <v>32</v>
      </c>
      <c r="Q451" s="592" t="s">
        <v>32</v>
      </c>
      <c r="R451" s="592" t="s">
        <v>32</v>
      </c>
      <c r="S451" s="592" t="s">
        <v>32</v>
      </c>
      <c r="T451" s="592" t="s">
        <v>32</v>
      </c>
      <c r="U451" s="592" t="s">
        <v>32</v>
      </c>
      <c r="V451" s="592" t="s">
        <v>32</v>
      </c>
      <c r="W451" s="592" t="s">
        <v>32</v>
      </c>
      <c r="X451" s="592" t="s">
        <v>32</v>
      </c>
      <c r="Y451" s="592" t="s">
        <v>32</v>
      </c>
      <c r="Z451" s="592" t="s">
        <v>32</v>
      </c>
      <c r="AA451" s="592" t="s">
        <v>32</v>
      </c>
      <c r="AB451" s="592" t="s">
        <v>32</v>
      </c>
      <c r="AC451" s="599">
        <f>0.06+0.49</f>
        <v>0.55000000000000004</v>
      </c>
      <c r="AD451" s="599">
        <v>0.47</v>
      </c>
      <c r="AE451" s="599">
        <f>0.051+0.042+0.715</f>
        <v>0.80799999999999994</v>
      </c>
      <c r="AF451" s="599">
        <v>9</v>
      </c>
      <c r="AG451" s="599">
        <v>21.35</v>
      </c>
      <c r="AH451" s="599">
        <v>30.53</v>
      </c>
      <c r="AI451" s="89"/>
      <c r="AJ451" s="89"/>
    </row>
    <row r="452" spans="1:36" ht="17" x14ac:dyDescent="0.4">
      <c r="A452" s="568" t="s">
        <v>175</v>
      </c>
      <c r="B452" s="1475" t="s">
        <v>1390</v>
      </c>
      <c r="C452" s="592" t="s">
        <v>32</v>
      </c>
      <c r="D452" s="592" t="s">
        <v>32</v>
      </c>
      <c r="E452" s="592" t="s">
        <v>32</v>
      </c>
      <c r="F452" s="592" t="s">
        <v>32</v>
      </c>
      <c r="G452" s="592" t="s">
        <v>32</v>
      </c>
      <c r="H452" s="592" t="s">
        <v>32</v>
      </c>
      <c r="I452" s="592" t="s">
        <v>32</v>
      </c>
      <c r="J452" s="592" t="s">
        <v>32</v>
      </c>
      <c r="K452" s="592" t="s">
        <v>32</v>
      </c>
      <c r="L452" s="592" t="s">
        <v>32</v>
      </c>
      <c r="M452" s="592" t="s">
        <v>32</v>
      </c>
      <c r="N452" s="592" t="s">
        <v>32</v>
      </c>
      <c r="O452" s="592" t="s">
        <v>32</v>
      </c>
      <c r="P452" s="592" t="s">
        <v>32</v>
      </c>
      <c r="Q452" s="592" t="s">
        <v>32</v>
      </c>
      <c r="R452" s="592" t="s">
        <v>32</v>
      </c>
      <c r="S452" s="592" t="s">
        <v>32</v>
      </c>
      <c r="T452" s="592" t="s">
        <v>32</v>
      </c>
      <c r="U452" s="592" t="s">
        <v>32</v>
      </c>
      <c r="V452" s="592" t="s">
        <v>32</v>
      </c>
      <c r="W452" s="592" t="s">
        <v>32</v>
      </c>
      <c r="X452" s="592" t="s">
        <v>32</v>
      </c>
      <c r="Y452" s="592" t="s">
        <v>32</v>
      </c>
      <c r="Z452" s="592" t="s">
        <v>32</v>
      </c>
      <c r="AA452" s="592" t="s">
        <v>32</v>
      </c>
      <c r="AB452" s="592" t="s">
        <v>32</v>
      </c>
      <c r="AC452" s="599">
        <v>0.47</v>
      </c>
      <c r="AD452" s="599">
        <v>0.01</v>
      </c>
      <c r="AE452" s="599">
        <v>2.3E-2</v>
      </c>
      <c r="AF452" s="599">
        <v>0.26</v>
      </c>
      <c r="AG452" s="599">
        <v>0.59</v>
      </c>
      <c r="AH452" s="599">
        <v>0.88</v>
      </c>
      <c r="AI452" s="89"/>
      <c r="AJ452" s="89"/>
    </row>
    <row r="453" spans="1:36" x14ac:dyDescent="0.4">
      <c r="A453" s="568" t="s">
        <v>176</v>
      </c>
      <c r="B453" s="600" t="s">
        <v>1308</v>
      </c>
      <c r="C453" s="592" t="s">
        <v>32</v>
      </c>
      <c r="D453" s="592" t="s">
        <v>32</v>
      </c>
      <c r="E453" s="592" t="s">
        <v>32</v>
      </c>
      <c r="F453" s="592" t="s">
        <v>32</v>
      </c>
      <c r="G453" s="592" t="s">
        <v>32</v>
      </c>
      <c r="H453" s="592" t="s">
        <v>32</v>
      </c>
      <c r="I453" s="592" t="s">
        <v>32</v>
      </c>
      <c r="J453" s="592" t="s">
        <v>32</v>
      </c>
      <c r="K453" s="592" t="s">
        <v>32</v>
      </c>
      <c r="L453" s="592" t="s">
        <v>32</v>
      </c>
      <c r="M453" s="592" t="s">
        <v>32</v>
      </c>
      <c r="N453" s="592" t="s">
        <v>32</v>
      </c>
      <c r="O453" s="592" t="s">
        <v>32</v>
      </c>
      <c r="P453" s="592" t="s">
        <v>32</v>
      </c>
      <c r="Q453" s="592" t="s">
        <v>32</v>
      </c>
      <c r="R453" s="592" t="s">
        <v>32</v>
      </c>
      <c r="S453" s="592" t="s">
        <v>32</v>
      </c>
      <c r="T453" s="592" t="s">
        <v>32</v>
      </c>
      <c r="U453" s="592" t="s">
        <v>32</v>
      </c>
      <c r="V453" s="592" t="s">
        <v>32</v>
      </c>
      <c r="W453" s="592" t="s">
        <v>32</v>
      </c>
      <c r="X453" s="592" t="s">
        <v>32</v>
      </c>
      <c r="Y453" s="592" t="s">
        <v>32</v>
      </c>
      <c r="Z453" s="592" t="s">
        <v>32</v>
      </c>
      <c r="AA453" s="592" t="s">
        <v>32</v>
      </c>
      <c r="AB453" s="592" t="s">
        <v>32</v>
      </c>
      <c r="AC453" s="601">
        <v>1</v>
      </c>
      <c r="AD453" s="601">
        <v>1</v>
      </c>
      <c r="AE453" s="601">
        <v>1</v>
      </c>
      <c r="AF453" s="601">
        <v>1</v>
      </c>
      <c r="AG453" s="601">
        <v>1</v>
      </c>
      <c r="AH453" s="601">
        <v>1</v>
      </c>
      <c r="AI453" s="89"/>
      <c r="AJ453" s="89"/>
    </row>
    <row r="454" spans="1:36" ht="17" x14ac:dyDescent="0.4">
      <c r="A454" s="577" t="s">
        <v>176</v>
      </c>
      <c r="B454" s="1474" t="s">
        <v>1389</v>
      </c>
      <c r="C454" s="592" t="s">
        <v>32</v>
      </c>
      <c r="D454" s="592" t="s">
        <v>32</v>
      </c>
      <c r="E454" s="592" t="s">
        <v>32</v>
      </c>
      <c r="F454" s="592" t="s">
        <v>32</v>
      </c>
      <c r="G454" s="592" t="s">
        <v>32</v>
      </c>
      <c r="H454" s="592" t="s">
        <v>32</v>
      </c>
      <c r="I454" s="592" t="s">
        <v>32</v>
      </c>
      <c r="J454" s="592" t="s">
        <v>32</v>
      </c>
      <c r="K454" s="592" t="s">
        <v>32</v>
      </c>
      <c r="L454" s="592" t="s">
        <v>32</v>
      </c>
      <c r="M454" s="592" t="s">
        <v>32</v>
      </c>
      <c r="N454" s="592" t="s">
        <v>32</v>
      </c>
      <c r="O454" s="592" t="s">
        <v>32</v>
      </c>
      <c r="P454" s="592" t="s">
        <v>32</v>
      </c>
      <c r="Q454" s="592" t="s">
        <v>32</v>
      </c>
      <c r="R454" s="592" t="s">
        <v>32</v>
      </c>
      <c r="S454" s="592" t="s">
        <v>32</v>
      </c>
      <c r="T454" s="592" t="s">
        <v>32</v>
      </c>
      <c r="U454" s="592" t="s">
        <v>32</v>
      </c>
      <c r="V454" s="592" t="s">
        <v>32</v>
      </c>
      <c r="W454" s="592" t="s">
        <v>32</v>
      </c>
      <c r="X454" s="592" t="s">
        <v>32</v>
      </c>
      <c r="Y454" s="592" t="s">
        <v>32</v>
      </c>
      <c r="Z454" s="592" t="s">
        <v>32</v>
      </c>
      <c r="AA454" s="592" t="s">
        <v>32</v>
      </c>
      <c r="AB454" s="592" t="s">
        <v>32</v>
      </c>
      <c r="AC454" s="599">
        <v>16.34</v>
      </c>
      <c r="AD454" s="599">
        <v>0</v>
      </c>
      <c r="AE454" s="599">
        <v>1.514</v>
      </c>
      <c r="AF454" s="599">
        <v>50.77</v>
      </c>
      <c r="AG454" s="599">
        <v>11.19</v>
      </c>
      <c r="AH454" s="599">
        <v>51.51</v>
      </c>
      <c r="AI454" s="89"/>
      <c r="AJ454" s="89"/>
    </row>
    <row r="455" spans="1:36" ht="17" x14ac:dyDescent="0.4">
      <c r="A455" s="577" t="s">
        <v>176</v>
      </c>
      <c r="B455" s="1475" t="s">
        <v>1390</v>
      </c>
      <c r="C455" s="592" t="s">
        <v>32</v>
      </c>
      <c r="D455" s="592" t="s">
        <v>32</v>
      </c>
      <c r="E455" s="592" t="s">
        <v>32</v>
      </c>
      <c r="F455" s="592" t="s">
        <v>32</v>
      </c>
      <c r="G455" s="592" t="s">
        <v>32</v>
      </c>
      <c r="H455" s="592" t="s">
        <v>32</v>
      </c>
      <c r="I455" s="592" t="s">
        <v>32</v>
      </c>
      <c r="J455" s="592" t="s">
        <v>32</v>
      </c>
      <c r="K455" s="592" t="s">
        <v>32</v>
      </c>
      <c r="L455" s="592" t="s">
        <v>32</v>
      </c>
      <c r="M455" s="592" t="s">
        <v>32</v>
      </c>
      <c r="N455" s="592" t="s">
        <v>32</v>
      </c>
      <c r="O455" s="592" t="s">
        <v>32</v>
      </c>
      <c r="P455" s="592" t="s">
        <v>32</v>
      </c>
      <c r="Q455" s="592" t="s">
        <v>32</v>
      </c>
      <c r="R455" s="592" t="s">
        <v>32</v>
      </c>
      <c r="S455" s="592" t="s">
        <v>32</v>
      </c>
      <c r="T455" s="592" t="s">
        <v>32</v>
      </c>
      <c r="U455" s="592" t="s">
        <v>32</v>
      </c>
      <c r="V455" s="592" t="s">
        <v>32</v>
      </c>
      <c r="W455" s="592" t="s">
        <v>32</v>
      </c>
      <c r="X455" s="592" t="s">
        <v>32</v>
      </c>
      <c r="Y455" s="592" t="s">
        <v>32</v>
      </c>
      <c r="Z455" s="592" t="s">
        <v>32</v>
      </c>
      <c r="AA455" s="592" t="s">
        <v>32</v>
      </c>
      <c r="AB455" s="592" t="s">
        <v>32</v>
      </c>
      <c r="AC455" s="599">
        <v>0.55000000000000004</v>
      </c>
      <c r="AD455" s="599">
        <v>0</v>
      </c>
      <c r="AE455" s="599">
        <v>0.04</v>
      </c>
      <c r="AF455" s="599">
        <v>1.46</v>
      </c>
      <c r="AG455" s="599">
        <v>0.32</v>
      </c>
      <c r="AH455" s="599">
        <v>1.49</v>
      </c>
      <c r="AI455" s="89"/>
      <c r="AJ455" s="89"/>
    </row>
    <row r="456" spans="1:36" x14ac:dyDescent="0.4">
      <c r="A456" s="591" t="s">
        <v>891</v>
      </c>
      <c r="B456" s="600" t="s">
        <v>1307</v>
      </c>
      <c r="C456" s="592" t="s">
        <v>32</v>
      </c>
      <c r="D456" s="592" t="s">
        <v>32</v>
      </c>
      <c r="E456" s="592" t="s">
        <v>32</v>
      </c>
      <c r="F456" s="592" t="s">
        <v>32</v>
      </c>
      <c r="G456" s="592" t="s">
        <v>32</v>
      </c>
      <c r="H456" s="592" t="s">
        <v>32</v>
      </c>
      <c r="I456" s="592" t="s">
        <v>32</v>
      </c>
      <c r="J456" s="592" t="s">
        <v>32</v>
      </c>
      <c r="K456" s="592" t="s">
        <v>32</v>
      </c>
      <c r="L456" s="592" t="s">
        <v>32</v>
      </c>
      <c r="M456" s="592" t="s">
        <v>32</v>
      </c>
      <c r="N456" s="592" t="s">
        <v>32</v>
      </c>
      <c r="O456" s="592" t="s">
        <v>32</v>
      </c>
      <c r="P456" s="592" t="s">
        <v>32</v>
      </c>
      <c r="Q456" s="592" t="s">
        <v>32</v>
      </c>
      <c r="R456" s="592" t="s">
        <v>32</v>
      </c>
      <c r="S456" s="592" t="s">
        <v>32</v>
      </c>
      <c r="T456" s="592" t="s">
        <v>32</v>
      </c>
      <c r="U456" s="592" t="s">
        <v>32</v>
      </c>
      <c r="V456" s="592" t="s">
        <v>32</v>
      </c>
      <c r="W456" s="592" t="s">
        <v>32</v>
      </c>
      <c r="X456" s="592" t="s">
        <v>32</v>
      </c>
      <c r="Y456" s="592" t="s">
        <v>32</v>
      </c>
      <c r="Z456" s="592" t="s">
        <v>32</v>
      </c>
      <c r="AA456" s="592" t="s">
        <v>32</v>
      </c>
      <c r="AB456" s="592" t="s">
        <v>32</v>
      </c>
      <c r="AC456" s="601">
        <v>106</v>
      </c>
      <c r="AD456" s="601">
        <v>141</v>
      </c>
      <c r="AE456" s="601">
        <v>86</v>
      </c>
      <c r="AF456" s="601">
        <v>211</v>
      </c>
      <c r="AG456" s="601">
        <v>295</v>
      </c>
      <c r="AH456" s="601">
        <v>286</v>
      </c>
      <c r="AI456" s="89"/>
      <c r="AJ456" s="89"/>
    </row>
    <row r="457" spans="1:36" ht="17" x14ac:dyDescent="0.4">
      <c r="A457" s="591" t="s">
        <v>197</v>
      </c>
      <c r="B457" s="1474" t="s">
        <v>1389</v>
      </c>
      <c r="C457" s="592" t="s">
        <v>32</v>
      </c>
      <c r="D457" s="592" t="s">
        <v>32</v>
      </c>
      <c r="E457" s="592" t="s">
        <v>32</v>
      </c>
      <c r="F457" s="592" t="s">
        <v>32</v>
      </c>
      <c r="G457" s="592" t="s">
        <v>32</v>
      </c>
      <c r="H457" s="592" t="s">
        <v>32</v>
      </c>
      <c r="I457" s="592" t="s">
        <v>32</v>
      </c>
      <c r="J457" s="592" t="s">
        <v>32</v>
      </c>
      <c r="K457" s="592" t="s">
        <v>32</v>
      </c>
      <c r="L457" s="592" t="s">
        <v>32</v>
      </c>
      <c r="M457" s="592" t="s">
        <v>32</v>
      </c>
      <c r="N457" s="592" t="s">
        <v>32</v>
      </c>
      <c r="O457" s="592" t="s">
        <v>32</v>
      </c>
      <c r="P457" s="592" t="s">
        <v>32</v>
      </c>
      <c r="Q457" s="592" t="s">
        <v>32</v>
      </c>
      <c r="R457" s="592" t="s">
        <v>32</v>
      </c>
      <c r="S457" s="592" t="s">
        <v>32</v>
      </c>
      <c r="T457" s="592" t="s">
        <v>32</v>
      </c>
      <c r="U457" s="592" t="s">
        <v>32</v>
      </c>
      <c r="V457" s="592" t="s">
        <v>32</v>
      </c>
      <c r="W457" s="592" t="s">
        <v>32</v>
      </c>
      <c r="X457" s="592" t="s">
        <v>32</v>
      </c>
      <c r="Y457" s="592" t="s">
        <v>32</v>
      </c>
      <c r="Z457" s="592" t="s">
        <v>32</v>
      </c>
      <c r="AA457" s="592" t="s">
        <v>32</v>
      </c>
      <c r="AB457" s="592" t="s">
        <v>32</v>
      </c>
      <c r="AC457" s="599">
        <v>8.41</v>
      </c>
      <c r="AD457" s="599">
        <v>9.49</v>
      </c>
      <c r="AE457" s="599">
        <v>7.93</v>
      </c>
      <c r="AF457" s="599">
        <v>9.77</v>
      </c>
      <c r="AG457" s="599">
        <v>13.27</v>
      </c>
      <c r="AH457" s="599">
        <v>16.09</v>
      </c>
      <c r="AI457" s="89"/>
      <c r="AJ457" s="89"/>
    </row>
    <row r="458" spans="1:36" ht="17" x14ac:dyDescent="0.4">
      <c r="A458" s="591" t="s">
        <v>197</v>
      </c>
      <c r="B458" s="1475" t="s">
        <v>1390</v>
      </c>
      <c r="C458" s="592" t="s">
        <v>32</v>
      </c>
      <c r="D458" s="592" t="s">
        <v>32</v>
      </c>
      <c r="E458" s="592" t="s">
        <v>32</v>
      </c>
      <c r="F458" s="592" t="s">
        <v>32</v>
      </c>
      <c r="G458" s="592" t="s">
        <v>32</v>
      </c>
      <c r="H458" s="592" t="s">
        <v>32</v>
      </c>
      <c r="I458" s="592" t="s">
        <v>32</v>
      </c>
      <c r="J458" s="592" t="s">
        <v>32</v>
      </c>
      <c r="K458" s="592" t="s">
        <v>32</v>
      </c>
      <c r="L458" s="592" t="s">
        <v>32</v>
      </c>
      <c r="M458" s="592" t="s">
        <v>32</v>
      </c>
      <c r="N458" s="592" t="s">
        <v>32</v>
      </c>
      <c r="O458" s="592" t="s">
        <v>32</v>
      </c>
      <c r="P458" s="592" t="s">
        <v>32</v>
      </c>
      <c r="Q458" s="592" t="s">
        <v>32</v>
      </c>
      <c r="R458" s="592" t="s">
        <v>32</v>
      </c>
      <c r="S458" s="592" t="s">
        <v>32</v>
      </c>
      <c r="T458" s="592" t="s">
        <v>32</v>
      </c>
      <c r="U458" s="592" t="s">
        <v>32</v>
      </c>
      <c r="V458" s="592" t="s">
        <v>32</v>
      </c>
      <c r="W458" s="592" t="s">
        <v>32</v>
      </c>
      <c r="X458" s="592" t="s">
        <v>32</v>
      </c>
      <c r="Y458" s="592" t="s">
        <v>32</v>
      </c>
      <c r="Z458" s="592" t="s">
        <v>32</v>
      </c>
      <c r="AA458" s="592" t="s">
        <v>32</v>
      </c>
      <c r="AB458" s="592" t="s">
        <v>32</v>
      </c>
      <c r="AC458" s="592">
        <v>0.2</v>
      </c>
      <c r="AD458" s="592">
        <v>0.3</v>
      </c>
      <c r="AE458" s="592">
        <v>0.2</v>
      </c>
      <c r="AF458" s="592">
        <v>0.28000000000000003</v>
      </c>
      <c r="AG458" s="592">
        <v>0.4</v>
      </c>
      <c r="AH458" s="592">
        <v>0.46400000000000002</v>
      </c>
      <c r="AI458" s="89"/>
      <c r="AJ458" s="89"/>
    </row>
    <row r="459" spans="1:36" x14ac:dyDescent="0.4">
      <c r="A459" s="1188" t="s">
        <v>1063</v>
      </c>
      <c r="B459" s="1191"/>
      <c r="C459" s="1191"/>
      <c r="D459" s="1191"/>
      <c r="E459" s="1191"/>
      <c r="F459" s="1191"/>
      <c r="G459" s="1191"/>
      <c r="H459" s="1191"/>
      <c r="I459" s="1191"/>
      <c r="J459" s="1191"/>
      <c r="K459" s="1191"/>
      <c r="L459" s="1191"/>
      <c r="M459" s="1191"/>
      <c r="N459" s="1191"/>
      <c r="O459" s="1191"/>
      <c r="P459" s="1191"/>
      <c r="Q459" s="1191"/>
      <c r="R459" s="1191"/>
      <c r="S459" s="1191"/>
      <c r="T459" s="1191"/>
      <c r="U459" s="1191"/>
      <c r="V459" s="1191"/>
      <c r="W459" s="1191"/>
      <c r="X459" s="1191"/>
      <c r="Y459" s="1191"/>
      <c r="Z459" s="1191"/>
      <c r="AA459" s="1191"/>
      <c r="AB459" s="1191"/>
      <c r="AC459" s="1191"/>
      <c r="AD459" s="1191"/>
      <c r="AE459" s="1191"/>
      <c r="AF459" s="1191"/>
      <c r="AG459" s="1191"/>
      <c r="AH459" s="1191"/>
      <c r="AI459" s="89"/>
      <c r="AJ459" s="89"/>
    </row>
    <row r="460" spans="1:36" x14ac:dyDescent="0.4">
      <c r="A460" s="570"/>
      <c r="B460" s="89"/>
      <c r="C460" s="89"/>
      <c r="D460" s="89"/>
      <c r="E460" s="89"/>
      <c r="F460" s="89"/>
      <c r="G460" s="89"/>
      <c r="H460" s="89"/>
      <c r="I460" s="89"/>
      <c r="J460" s="89"/>
      <c r="K460" s="89"/>
      <c r="L460" s="89"/>
      <c r="M460" s="89"/>
      <c r="N460" s="89"/>
      <c r="O460" s="89"/>
      <c r="P460" s="89"/>
      <c r="Q460" s="89"/>
      <c r="R460" s="89"/>
      <c r="S460" s="89"/>
      <c r="T460" s="89"/>
      <c r="U460" s="89"/>
      <c r="V460" s="89"/>
      <c r="W460" s="89"/>
      <c r="X460" s="89"/>
      <c r="Y460" s="89"/>
      <c r="Z460" s="89"/>
      <c r="AA460" s="89"/>
      <c r="AB460" s="89"/>
      <c r="AC460" s="89"/>
      <c r="AD460" s="89"/>
      <c r="AE460" s="89"/>
      <c r="AF460" s="89"/>
      <c r="AG460" s="89"/>
      <c r="AH460" s="89"/>
      <c r="AI460" s="89"/>
      <c r="AJ460" s="89"/>
    </row>
    <row r="461" spans="1:36" x14ac:dyDescent="0.4">
      <c r="A461" s="1137" t="s">
        <v>815</v>
      </c>
      <c r="B461" s="597"/>
      <c r="C461" s="89"/>
      <c r="D461" s="89"/>
      <c r="E461" s="89"/>
      <c r="F461" s="89"/>
      <c r="G461" s="89"/>
      <c r="H461" s="89"/>
      <c r="I461" s="89"/>
      <c r="J461" s="89"/>
      <c r="K461" s="89"/>
      <c r="L461" s="89"/>
      <c r="M461" s="89"/>
      <c r="N461" s="89"/>
      <c r="O461" s="89"/>
      <c r="P461" s="89"/>
      <c r="Q461" s="89"/>
      <c r="R461" s="89"/>
      <c r="S461" s="89"/>
      <c r="T461" s="89"/>
      <c r="U461" s="89"/>
      <c r="V461" s="89"/>
      <c r="W461" s="89"/>
      <c r="X461" s="89"/>
      <c r="Y461" s="89"/>
      <c r="Z461" s="89"/>
      <c r="AA461" s="89"/>
      <c r="AB461" s="89"/>
      <c r="AC461" s="89"/>
      <c r="AD461" s="89"/>
      <c r="AE461" s="89"/>
      <c r="AF461" s="89"/>
      <c r="AG461" s="89"/>
      <c r="AH461" s="89"/>
      <c r="AI461" s="89"/>
      <c r="AJ461" s="89"/>
    </row>
    <row r="462" spans="1:36" x14ac:dyDescent="0.4">
      <c r="A462" s="1158" t="s">
        <v>814</v>
      </c>
      <c r="B462" s="1140" t="s">
        <v>136</v>
      </c>
      <c r="C462" s="1159" t="s">
        <v>391</v>
      </c>
      <c r="D462" s="1159" t="s">
        <v>392</v>
      </c>
      <c r="E462" s="1159" t="s">
        <v>393</v>
      </c>
      <c r="F462" s="1159" t="s">
        <v>394</v>
      </c>
      <c r="G462" s="1159" t="s">
        <v>395</v>
      </c>
      <c r="H462" s="1159" t="s">
        <v>396</v>
      </c>
      <c r="I462" s="1159" t="s">
        <v>397</v>
      </c>
      <c r="J462" s="1159" t="s">
        <v>398</v>
      </c>
      <c r="K462" s="1159" t="s">
        <v>399</v>
      </c>
      <c r="L462" s="1159" t="s">
        <v>400</v>
      </c>
      <c r="M462" s="1159" t="s">
        <v>401</v>
      </c>
      <c r="N462" s="1159" t="s">
        <v>402</v>
      </c>
      <c r="O462" s="1159" t="s">
        <v>403</v>
      </c>
      <c r="P462" s="1159" t="s">
        <v>404</v>
      </c>
      <c r="Q462" s="1159" t="s">
        <v>405</v>
      </c>
      <c r="R462" s="1159" t="s">
        <v>406</v>
      </c>
      <c r="S462" s="1159" t="s">
        <v>407</v>
      </c>
      <c r="T462" s="1159" t="s">
        <v>408</v>
      </c>
      <c r="U462" s="1159" t="s">
        <v>409</v>
      </c>
      <c r="V462" s="1159" t="s">
        <v>410</v>
      </c>
      <c r="W462" s="1159" t="s">
        <v>411</v>
      </c>
      <c r="X462" s="1159" t="s">
        <v>412</v>
      </c>
      <c r="Y462" s="1159" t="s">
        <v>413</v>
      </c>
      <c r="Z462" s="1159" t="s">
        <v>414</v>
      </c>
      <c r="AA462" s="1159" t="s">
        <v>415</v>
      </c>
      <c r="AB462" s="1159" t="s">
        <v>416</v>
      </c>
      <c r="AC462" s="1159" t="s">
        <v>417</v>
      </c>
      <c r="AD462" s="1159" t="s">
        <v>418</v>
      </c>
      <c r="AE462" s="1159" t="s">
        <v>419</v>
      </c>
      <c r="AF462" s="1159" t="s">
        <v>420</v>
      </c>
      <c r="AG462" s="1159" t="s">
        <v>421</v>
      </c>
      <c r="AH462" s="1159" t="s">
        <v>422</v>
      </c>
      <c r="AI462" s="1159" t="s">
        <v>423</v>
      </c>
      <c r="AJ462" s="1159" t="s">
        <v>424</v>
      </c>
    </row>
    <row r="463" spans="1:36" x14ac:dyDescent="0.4">
      <c r="A463" s="602" t="s">
        <v>199</v>
      </c>
      <c r="B463" s="602" t="s">
        <v>1298</v>
      </c>
      <c r="C463" s="592" t="s">
        <v>32</v>
      </c>
      <c r="D463" s="592" t="s">
        <v>32</v>
      </c>
      <c r="E463" s="592" t="s">
        <v>32</v>
      </c>
      <c r="F463" s="592" t="s">
        <v>32</v>
      </c>
      <c r="G463" s="592" t="s">
        <v>32</v>
      </c>
      <c r="H463" s="592" t="s">
        <v>32</v>
      </c>
      <c r="I463" s="592" t="s">
        <v>32</v>
      </c>
      <c r="J463" s="592" t="s">
        <v>32</v>
      </c>
      <c r="K463" s="592" t="s">
        <v>32</v>
      </c>
      <c r="L463" s="592" t="s">
        <v>32</v>
      </c>
      <c r="M463" s="592" t="s">
        <v>32</v>
      </c>
      <c r="N463" s="592" t="s">
        <v>32</v>
      </c>
      <c r="O463" s="592" t="s">
        <v>32</v>
      </c>
      <c r="P463" s="592" t="s">
        <v>32</v>
      </c>
      <c r="Q463" s="592" t="s">
        <v>32</v>
      </c>
      <c r="R463" s="592" t="s">
        <v>32</v>
      </c>
      <c r="S463" s="592" t="s">
        <v>32</v>
      </c>
      <c r="T463" s="592" t="s">
        <v>32</v>
      </c>
      <c r="U463" s="592" t="s">
        <v>32</v>
      </c>
      <c r="V463" s="592" t="s">
        <v>32</v>
      </c>
      <c r="W463" s="592" t="s">
        <v>32</v>
      </c>
      <c r="X463" s="592" t="s">
        <v>32</v>
      </c>
      <c r="Y463" s="592" t="s">
        <v>32</v>
      </c>
      <c r="Z463" s="592" t="s">
        <v>32</v>
      </c>
      <c r="AA463" s="592" t="s">
        <v>32</v>
      </c>
      <c r="AB463" s="603">
        <v>2</v>
      </c>
      <c r="AC463" s="603">
        <v>3</v>
      </c>
      <c r="AD463" s="603">
        <v>3</v>
      </c>
      <c r="AE463" s="603">
        <v>3</v>
      </c>
      <c r="AF463" s="603">
        <v>3</v>
      </c>
      <c r="AG463" s="603">
        <v>3</v>
      </c>
      <c r="AH463" s="603">
        <v>3</v>
      </c>
      <c r="AI463" s="603">
        <v>2</v>
      </c>
      <c r="AJ463" s="603">
        <v>2</v>
      </c>
    </row>
    <row r="464" spans="1:36" ht="17" x14ac:dyDescent="0.4">
      <c r="A464" s="575" t="s">
        <v>172</v>
      </c>
      <c r="B464" s="1409" t="s">
        <v>1389</v>
      </c>
      <c r="C464" s="592" t="s">
        <v>32</v>
      </c>
      <c r="D464" s="592" t="s">
        <v>32</v>
      </c>
      <c r="E464" s="592" t="s">
        <v>32</v>
      </c>
      <c r="F464" s="592" t="s">
        <v>32</v>
      </c>
      <c r="G464" s="592" t="s">
        <v>32</v>
      </c>
      <c r="H464" s="592" t="s">
        <v>32</v>
      </c>
      <c r="I464" s="592" t="s">
        <v>32</v>
      </c>
      <c r="J464" s="592" t="s">
        <v>32</v>
      </c>
      <c r="K464" s="592" t="s">
        <v>32</v>
      </c>
      <c r="L464" s="592" t="s">
        <v>32</v>
      </c>
      <c r="M464" s="592" t="s">
        <v>32</v>
      </c>
      <c r="N464" s="592" t="s">
        <v>32</v>
      </c>
      <c r="O464" s="592" t="s">
        <v>32</v>
      </c>
      <c r="P464" s="592" t="s">
        <v>32</v>
      </c>
      <c r="Q464" s="592" t="s">
        <v>32</v>
      </c>
      <c r="R464" s="592" t="s">
        <v>32</v>
      </c>
      <c r="S464" s="592" t="s">
        <v>32</v>
      </c>
      <c r="T464" s="592" t="s">
        <v>32</v>
      </c>
      <c r="U464" s="592" t="s">
        <v>32</v>
      </c>
      <c r="V464" s="592" t="s">
        <v>32</v>
      </c>
      <c r="W464" s="592" t="s">
        <v>32</v>
      </c>
      <c r="X464" s="592" t="s">
        <v>32</v>
      </c>
      <c r="Y464" s="592" t="s">
        <v>32</v>
      </c>
      <c r="Z464" s="592" t="s">
        <v>32</v>
      </c>
      <c r="AA464" s="592" t="s">
        <v>32</v>
      </c>
      <c r="AB464" s="604">
        <f t="shared" ref="AB464:AB477" si="133">AB405+AB425</f>
        <v>3.8099999999999996</v>
      </c>
      <c r="AC464" s="604">
        <f t="shared" ref="AC464:AJ477" si="134">AC405+AC425+AC445</f>
        <v>17.700000000000003</v>
      </c>
      <c r="AD464" s="604">
        <f t="shared" si="134"/>
        <v>10.7</v>
      </c>
      <c r="AE464" s="604">
        <f t="shared" si="134"/>
        <v>6.09</v>
      </c>
      <c r="AF464" s="604">
        <f t="shared" si="134"/>
        <v>2.1500000000000004</v>
      </c>
      <c r="AG464" s="604">
        <f t="shared" si="134"/>
        <v>3.7199999999999998</v>
      </c>
      <c r="AH464" s="604">
        <f t="shared" si="134"/>
        <v>19.600000000000001</v>
      </c>
      <c r="AI464" s="604">
        <f t="shared" si="134"/>
        <v>24.419999999999998</v>
      </c>
      <c r="AJ464" s="604">
        <f t="shared" si="134"/>
        <v>123.97</v>
      </c>
    </row>
    <row r="465" spans="1:36" ht="17" x14ac:dyDescent="0.4">
      <c r="A465" s="575" t="s">
        <v>172</v>
      </c>
      <c r="B465" s="1409" t="s">
        <v>1390</v>
      </c>
      <c r="C465" s="592" t="s">
        <v>32</v>
      </c>
      <c r="D465" s="592" t="s">
        <v>32</v>
      </c>
      <c r="E465" s="592" t="s">
        <v>32</v>
      </c>
      <c r="F465" s="592" t="s">
        <v>32</v>
      </c>
      <c r="G465" s="592" t="s">
        <v>32</v>
      </c>
      <c r="H465" s="592" t="s">
        <v>32</v>
      </c>
      <c r="I465" s="592" t="s">
        <v>32</v>
      </c>
      <c r="J465" s="592" t="s">
        <v>32</v>
      </c>
      <c r="K465" s="592" t="s">
        <v>32</v>
      </c>
      <c r="L465" s="592" t="s">
        <v>32</v>
      </c>
      <c r="M465" s="592" t="s">
        <v>32</v>
      </c>
      <c r="N465" s="592" t="s">
        <v>32</v>
      </c>
      <c r="O465" s="592" t="s">
        <v>32</v>
      </c>
      <c r="P465" s="592" t="s">
        <v>32</v>
      </c>
      <c r="Q465" s="592" t="s">
        <v>32</v>
      </c>
      <c r="R465" s="592" t="s">
        <v>32</v>
      </c>
      <c r="S465" s="592" t="s">
        <v>32</v>
      </c>
      <c r="T465" s="592" t="s">
        <v>32</v>
      </c>
      <c r="U465" s="592" t="s">
        <v>32</v>
      </c>
      <c r="V465" s="592" t="s">
        <v>32</v>
      </c>
      <c r="W465" s="592" t="s">
        <v>32</v>
      </c>
      <c r="X465" s="592" t="s">
        <v>32</v>
      </c>
      <c r="Y465" s="592" t="s">
        <v>32</v>
      </c>
      <c r="Z465" s="592" t="s">
        <v>32</v>
      </c>
      <c r="AA465" s="592" t="s">
        <v>32</v>
      </c>
      <c r="AB465" s="604">
        <f t="shared" si="133"/>
        <v>0.1</v>
      </c>
      <c r="AC465" s="604">
        <f t="shared" si="134"/>
        <v>0.60000000000000009</v>
      </c>
      <c r="AD465" s="604">
        <f t="shared" si="134"/>
        <v>0.30000000000000004</v>
      </c>
      <c r="AE465" s="604">
        <f t="shared" si="134"/>
        <v>0.30000000000000004</v>
      </c>
      <c r="AF465" s="604">
        <f t="shared" si="134"/>
        <v>0</v>
      </c>
      <c r="AG465" s="604">
        <f t="shared" si="134"/>
        <v>0.1</v>
      </c>
      <c r="AH465" s="604">
        <f t="shared" si="134"/>
        <v>0.6</v>
      </c>
      <c r="AI465" s="604">
        <f t="shared" si="134"/>
        <v>0.79999999999999993</v>
      </c>
      <c r="AJ465" s="604">
        <f t="shared" si="134"/>
        <v>3.5999999999999996</v>
      </c>
    </row>
    <row r="466" spans="1:36" x14ac:dyDescent="0.4">
      <c r="A466" s="575" t="s">
        <v>173</v>
      </c>
      <c r="B466" s="1409" t="s">
        <v>1308</v>
      </c>
      <c r="C466" s="592" t="s">
        <v>32</v>
      </c>
      <c r="D466" s="592" t="s">
        <v>32</v>
      </c>
      <c r="E466" s="592" t="s">
        <v>32</v>
      </c>
      <c r="F466" s="592" t="s">
        <v>32</v>
      </c>
      <c r="G466" s="592" t="s">
        <v>32</v>
      </c>
      <c r="H466" s="592" t="s">
        <v>32</v>
      </c>
      <c r="I466" s="592" t="s">
        <v>32</v>
      </c>
      <c r="J466" s="592" t="s">
        <v>32</v>
      </c>
      <c r="K466" s="592" t="s">
        <v>32</v>
      </c>
      <c r="L466" s="592" t="s">
        <v>32</v>
      </c>
      <c r="M466" s="592" t="s">
        <v>32</v>
      </c>
      <c r="N466" s="592" t="s">
        <v>32</v>
      </c>
      <c r="O466" s="592" t="s">
        <v>32</v>
      </c>
      <c r="P466" s="592" t="s">
        <v>32</v>
      </c>
      <c r="Q466" s="592" t="s">
        <v>32</v>
      </c>
      <c r="R466" s="592" t="s">
        <v>32</v>
      </c>
      <c r="S466" s="592" t="s">
        <v>32</v>
      </c>
      <c r="T466" s="592" t="s">
        <v>32</v>
      </c>
      <c r="U466" s="592" t="s">
        <v>32</v>
      </c>
      <c r="V466" s="592" t="s">
        <v>32</v>
      </c>
      <c r="W466" s="592" t="s">
        <v>32</v>
      </c>
      <c r="X466" s="592" t="s">
        <v>32</v>
      </c>
      <c r="Y466" s="592" t="s">
        <v>32</v>
      </c>
      <c r="Z466" s="592" t="s">
        <v>32</v>
      </c>
      <c r="AA466" s="592" t="s">
        <v>32</v>
      </c>
      <c r="AB466" s="603">
        <f t="shared" si="133"/>
        <v>1</v>
      </c>
      <c r="AC466" s="603">
        <f t="shared" si="134"/>
        <v>1</v>
      </c>
      <c r="AD466" s="603">
        <f t="shared" si="134"/>
        <v>1</v>
      </c>
      <c r="AE466" s="603">
        <f t="shared" si="134"/>
        <v>1</v>
      </c>
      <c r="AF466" s="603">
        <f t="shared" si="134"/>
        <v>1</v>
      </c>
      <c r="AG466" s="603">
        <f t="shared" si="134"/>
        <v>1</v>
      </c>
      <c r="AH466" s="603">
        <f t="shared" si="134"/>
        <v>1</v>
      </c>
      <c r="AI466" s="603">
        <f t="shared" si="134"/>
        <v>1</v>
      </c>
      <c r="AJ466" s="603">
        <f t="shared" si="134"/>
        <v>1</v>
      </c>
    </row>
    <row r="467" spans="1:36" ht="17" x14ac:dyDescent="0.4">
      <c r="A467" s="575" t="s">
        <v>173</v>
      </c>
      <c r="B467" s="1409" t="s">
        <v>1389</v>
      </c>
      <c r="C467" s="592" t="s">
        <v>32</v>
      </c>
      <c r="D467" s="592" t="s">
        <v>32</v>
      </c>
      <c r="E467" s="592" t="s">
        <v>32</v>
      </c>
      <c r="F467" s="592" t="s">
        <v>32</v>
      </c>
      <c r="G467" s="592" t="s">
        <v>32</v>
      </c>
      <c r="H467" s="592" t="s">
        <v>32</v>
      </c>
      <c r="I467" s="592" t="s">
        <v>32</v>
      </c>
      <c r="J467" s="592" t="s">
        <v>32</v>
      </c>
      <c r="K467" s="592" t="s">
        <v>32</v>
      </c>
      <c r="L467" s="592" t="s">
        <v>32</v>
      </c>
      <c r="M467" s="592" t="s">
        <v>32</v>
      </c>
      <c r="N467" s="592" t="s">
        <v>32</v>
      </c>
      <c r="O467" s="592" t="s">
        <v>32</v>
      </c>
      <c r="P467" s="592" t="s">
        <v>32</v>
      </c>
      <c r="Q467" s="592" t="s">
        <v>32</v>
      </c>
      <c r="R467" s="592" t="s">
        <v>32</v>
      </c>
      <c r="S467" s="592" t="s">
        <v>32</v>
      </c>
      <c r="T467" s="592" t="s">
        <v>32</v>
      </c>
      <c r="U467" s="592" t="s">
        <v>32</v>
      </c>
      <c r="V467" s="592" t="s">
        <v>32</v>
      </c>
      <c r="W467" s="592" t="s">
        <v>32</v>
      </c>
      <c r="X467" s="592" t="s">
        <v>32</v>
      </c>
      <c r="Y467" s="592" t="s">
        <v>32</v>
      </c>
      <c r="Z467" s="592" t="s">
        <v>32</v>
      </c>
      <c r="AA467" s="592" t="s">
        <v>32</v>
      </c>
      <c r="AB467" s="604">
        <f t="shared" si="133"/>
        <v>15.39</v>
      </c>
      <c r="AC467" s="604">
        <f t="shared" si="134"/>
        <v>20.43</v>
      </c>
      <c r="AD467" s="604">
        <f t="shared" si="134"/>
        <v>12.5</v>
      </c>
      <c r="AE467" s="604">
        <f t="shared" si="134"/>
        <v>1.17</v>
      </c>
      <c r="AF467" s="604">
        <f t="shared" si="134"/>
        <v>6.63</v>
      </c>
      <c r="AG467" s="604">
        <f t="shared" si="134"/>
        <v>8.85</v>
      </c>
      <c r="AH467" s="604">
        <f t="shared" si="134"/>
        <v>0.37</v>
      </c>
      <c r="AI467" s="604">
        <f t="shared" si="134"/>
        <v>22.8</v>
      </c>
      <c r="AJ467" s="604">
        <f t="shared" si="134"/>
        <v>1.1399999999999999</v>
      </c>
    </row>
    <row r="468" spans="1:36" ht="17" x14ac:dyDescent="0.4">
      <c r="A468" s="575" t="s">
        <v>173</v>
      </c>
      <c r="B468" s="1409" t="s">
        <v>1390</v>
      </c>
      <c r="C468" s="592" t="s">
        <v>32</v>
      </c>
      <c r="D468" s="592" t="s">
        <v>32</v>
      </c>
      <c r="E468" s="592" t="s">
        <v>32</v>
      </c>
      <c r="F468" s="592" t="s">
        <v>32</v>
      </c>
      <c r="G468" s="592" t="s">
        <v>32</v>
      </c>
      <c r="H468" s="592" t="s">
        <v>32</v>
      </c>
      <c r="I468" s="592" t="s">
        <v>32</v>
      </c>
      <c r="J468" s="592" t="s">
        <v>32</v>
      </c>
      <c r="K468" s="592" t="s">
        <v>32</v>
      </c>
      <c r="L468" s="592" t="s">
        <v>32</v>
      </c>
      <c r="M468" s="592" t="s">
        <v>32</v>
      </c>
      <c r="N468" s="592" t="s">
        <v>32</v>
      </c>
      <c r="O468" s="592" t="s">
        <v>32</v>
      </c>
      <c r="P468" s="592" t="s">
        <v>32</v>
      </c>
      <c r="Q468" s="592" t="s">
        <v>32</v>
      </c>
      <c r="R468" s="592" t="s">
        <v>32</v>
      </c>
      <c r="S468" s="592" t="s">
        <v>32</v>
      </c>
      <c r="T468" s="592" t="s">
        <v>32</v>
      </c>
      <c r="U468" s="592" t="s">
        <v>32</v>
      </c>
      <c r="V468" s="592" t="s">
        <v>32</v>
      </c>
      <c r="W468" s="592" t="s">
        <v>32</v>
      </c>
      <c r="X468" s="592" t="s">
        <v>32</v>
      </c>
      <c r="Y468" s="592" t="s">
        <v>32</v>
      </c>
      <c r="Z468" s="592" t="s">
        <v>32</v>
      </c>
      <c r="AA468" s="592" t="s">
        <v>32</v>
      </c>
      <c r="AB468" s="604">
        <f t="shared" si="133"/>
        <v>0.4</v>
      </c>
      <c r="AC468" s="604">
        <f t="shared" si="134"/>
        <v>0.6</v>
      </c>
      <c r="AD468" s="604">
        <f t="shared" si="134"/>
        <v>0.35599999999999998</v>
      </c>
      <c r="AE468" s="604">
        <f t="shared" si="134"/>
        <v>0</v>
      </c>
      <c r="AF468" s="604">
        <f t="shared" si="134"/>
        <v>0.2</v>
      </c>
      <c r="AG468" s="604">
        <f t="shared" si="134"/>
        <v>0.3</v>
      </c>
      <c r="AH468" s="604">
        <f t="shared" si="134"/>
        <v>0</v>
      </c>
      <c r="AI468" s="604">
        <f t="shared" si="134"/>
        <v>0.7</v>
      </c>
      <c r="AJ468" s="604">
        <f t="shared" si="134"/>
        <v>0</v>
      </c>
    </row>
    <row r="469" spans="1:36" x14ac:dyDescent="0.4">
      <c r="A469" s="575" t="s">
        <v>175</v>
      </c>
      <c r="B469" s="1409" t="s">
        <v>1308</v>
      </c>
      <c r="C469" s="592" t="s">
        <v>32</v>
      </c>
      <c r="D469" s="592" t="s">
        <v>32</v>
      </c>
      <c r="E469" s="592" t="s">
        <v>32</v>
      </c>
      <c r="F469" s="592" t="s">
        <v>32</v>
      </c>
      <c r="G469" s="592" t="s">
        <v>32</v>
      </c>
      <c r="H469" s="592" t="s">
        <v>32</v>
      </c>
      <c r="I469" s="592" t="s">
        <v>32</v>
      </c>
      <c r="J469" s="592" t="s">
        <v>32</v>
      </c>
      <c r="K469" s="592" t="s">
        <v>32</v>
      </c>
      <c r="L469" s="592" t="s">
        <v>32</v>
      </c>
      <c r="M469" s="592" t="s">
        <v>32</v>
      </c>
      <c r="N469" s="592" t="s">
        <v>32</v>
      </c>
      <c r="O469" s="592" t="s">
        <v>32</v>
      </c>
      <c r="P469" s="592" t="s">
        <v>32</v>
      </c>
      <c r="Q469" s="592" t="s">
        <v>32</v>
      </c>
      <c r="R469" s="592" t="s">
        <v>32</v>
      </c>
      <c r="S469" s="592" t="s">
        <v>32</v>
      </c>
      <c r="T469" s="592" t="s">
        <v>32</v>
      </c>
      <c r="U469" s="592" t="s">
        <v>32</v>
      </c>
      <c r="V469" s="592" t="s">
        <v>32</v>
      </c>
      <c r="W469" s="592" t="s">
        <v>32</v>
      </c>
      <c r="X469" s="592" t="s">
        <v>32</v>
      </c>
      <c r="Y469" s="592" t="s">
        <v>32</v>
      </c>
      <c r="Z469" s="592" t="s">
        <v>32</v>
      </c>
      <c r="AA469" s="592" t="s">
        <v>32</v>
      </c>
      <c r="AB469" s="603">
        <f t="shared" si="133"/>
        <v>2</v>
      </c>
      <c r="AC469" s="603">
        <f t="shared" si="134"/>
        <v>4</v>
      </c>
      <c r="AD469" s="603">
        <f t="shared" si="134"/>
        <v>4</v>
      </c>
      <c r="AE469" s="603">
        <f t="shared" si="134"/>
        <v>4</v>
      </c>
      <c r="AF469" s="603">
        <f t="shared" si="134"/>
        <v>4</v>
      </c>
      <c r="AG469" s="603">
        <f t="shared" si="134"/>
        <v>4</v>
      </c>
      <c r="AH469" s="603">
        <f t="shared" si="134"/>
        <v>4</v>
      </c>
      <c r="AI469" s="603">
        <f t="shared" si="134"/>
        <v>2</v>
      </c>
      <c r="AJ469" s="603">
        <f t="shared" si="134"/>
        <v>2</v>
      </c>
    </row>
    <row r="470" spans="1:36" ht="17" x14ac:dyDescent="0.4">
      <c r="A470" s="575" t="s">
        <v>175</v>
      </c>
      <c r="B470" s="1409" t="s">
        <v>1389</v>
      </c>
      <c r="C470" s="592" t="s">
        <v>32</v>
      </c>
      <c r="D470" s="592" t="s">
        <v>32</v>
      </c>
      <c r="E470" s="592" t="s">
        <v>32</v>
      </c>
      <c r="F470" s="592" t="s">
        <v>32</v>
      </c>
      <c r="G470" s="592" t="s">
        <v>32</v>
      </c>
      <c r="H470" s="592" t="s">
        <v>32</v>
      </c>
      <c r="I470" s="592" t="s">
        <v>32</v>
      </c>
      <c r="J470" s="592" t="s">
        <v>32</v>
      </c>
      <c r="K470" s="592" t="s">
        <v>32</v>
      </c>
      <c r="L470" s="592" t="s">
        <v>32</v>
      </c>
      <c r="M470" s="592" t="s">
        <v>32</v>
      </c>
      <c r="N470" s="592" t="s">
        <v>32</v>
      </c>
      <c r="O470" s="592" t="s">
        <v>32</v>
      </c>
      <c r="P470" s="592" t="s">
        <v>32</v>
      </c>
      <c r="Q470" s="592" t="s">
        <v>32</v>
      </c>
      <c r="R470" s="592" t="s">
        <v>32</v>
      </c>
      <c r="S470" s="592" t="s">
        <v>32</v>
      </c>
      <c r="T470" s="592" t="s">
        <v>32</v>
      </c>
      <c r="U470" s="592" t="s">
        <v>32</v>
      </c>
      <c r="V470" s="592" t="s">
        <v>32</v>
      </c>
      <c r="W470" s="592" t="s">
        <v>32</v>
      </c>
      <c r="X470" s="592" t="s">
        <v>32</v>
      </c>
      <c r="Y470" s="592" t="s">
        <v>32</v>
      </c>
      <c r="Z470" s="592" t="s">
        <v>32</v>
      </c>
      <c r="AA470" s="592" t="s">
        <v>32</v>
      </c>
      <c r="AB470" s="604">
        <f t="shared" si="133"/>
        <v>58.673853700000002</v>
      </c>
      <c r="AC470" s="604">
        <f t="shared" si="134"/>
        <v>40.674999999999997</v>
      </c>
      <c r="AD470" s="604">
        <f t="shared" si="134"/>
        <v>19.067346399999998</v>
      </c>
      <c r="AE470" s="604">
        <f t="shared" si="134"/>
        <v>15.657999999999999</v>
      </c>
      <c r="AF470" s="604">
        <f t="shared" si="134"/>
        <v>18.310000000000002</v>
      </c>
      <c r="AG470" s="604">
        <f t="shared" si="134"/>
        <v>34.56</v>
      </c>
      <c r="AH470" s="604">
        <f t="shared" si="134"/>
        <v>203.45500000000001</v>
      </c>
      <c r="AI470" s="604">
        <f t="shared" si="134"/>
        <v>1.48</v>
      </c>
      <c r="AJ470" s="604">
        <f t="shared" si="134"/>
        <v>0.8120733</v>
      </c>
    </row>
    <row r="471" spans="1:36" ht="17" x14ac:dyDescent="0.4">
      <c r="A471" s="575" t="s">
        <v>175</v>
      </c>
      <c r="B471" s="1409" t="s">
        <v>1390</v>
      </c>
      <c r="C471" s="592" t="s">
        <v>32</v>
      </c>
      <c r="D471" s="592" t="s">
        <v>32</v>
      </c>
      <c r="E471" s="592" t="s">
        <v>32</v>
      </c>
      <c r="F471" s="592" t="s">
        <v>32</v>
      </c>
      <c r="G471" s="592" t="s">
        <v>32</v>
      </c>
      <c r="H471" s="592" t="s">
        <v>32</v>
      </c>
      <c r="I471" s="592" t="s">
        <v>32</v>
      </c>
      <c r="J471" s="592" t="s">
        <v>32</v>
      </c>
      <c r="K471" s="592" t="s">
        <v>32</v>
      </c>
      <c r="L471" s="592" t="s">
        <v>32</v>
      </c>
      <c r="M471" s="592" t="s">
        <v>32</v>
      </c>
      <c r="N471" s="592" t="s">
        <v>32</v>
      </c>
      <c r="O471" s="592" t="s">
        <v>32</v>
      </c>
      <c r="P471" s="592" t="s">
        <v>32</v>
      </c>
      <c r="Q471" s="592" t="s">
        <v>32</v>
      </c>
      <c r="R471" s="592" t="s">
        <v>32</v>
      </c>
      <c r="S471" s="592" t="s">
        <v>32</v>
      </c>
      <c r="T471" s="592" t="s">
        <v>32</v>
      </c>
      <c r="U471" s="592" t="s">
        <v>32</v>
      </c>
      <c r="V471" s="592" t="s">
        <v>32</v>
      </c>
      <c r="W471" s="592" t="s">
        <v>32</v>
      </c>
      <c r="X471" s="592" t="s">
        <v>32</v>
      </c>
      <c r="Y471" s="592" t="s">
        <v>32</v>
      </c>
      <c r="Z471" s="592" t="s">
        <v>32</v>
      </c>
      <c r="AA471" s="592" t="s">
        <v>32</v>
      </c>
      <c r="AB471" s="604">
        <f t="shared" si="133"/>
        <v>1.65</v>
      </c>
      <c r="AC471" s="604">
        <f t="shared" si="134"/>
        <v>1.595</v>
      </c>
      <c r="AD471" s="604">
        <f t="shared" si="134"/>
        <v>0.49</v>
      </c>
      <c r="AE471" s="604">
        <f t="shared" si="134"/>
        <v>0.43480000000000002</v>
      </c>
      <c r="AF471" s="604">
        <f t="shared" si="134"/>
        <v>0.53</v>
      </c>
      <c r="AG471" s="604">
        <f t="shared" si="134"/>
        <v>0.97</v>
      </c>
      <c r="AH471" s="604">
        <f t="shared" si="134"/>
        <v>5.867</v>
      </c>
      <c r="AI471" s="604">
        <f t="shared" si="134"/>
        <v>0.04</v>
      </c>
      <c r="AJ471" s="604">
        <f t="shared" si="134"/>
        <v>2.34183E-2</v>
      </c>
    </row>
    <row r="472" spans="1:36" x14ac:dyDescent="0.4">
      <c r="A472" s="575" t="s">
        <v>176</v>
      </c>
      <c r="B472" s="1409" t="s">
        <v>1308</v>
      </c>
      <c r="C472" s="592" t="s">
        <v>32</v>
      </c>
      <c r="D472" s="592" t="s">
        <v>32</v>
      </c>
      <c r="E472" s="592" t="s">
        <v>32</v>
      </c>
      <c r="F472" s="592" t="s">
        <v>32</v>
      </c>
      <c r="G472" s="592" t="s">
        <v>32</v>
      </c>
      <c r="H472" s="592" t="s">
        <v>32</v>
      </c>
      <c r="I472" s="592" t="s">
        <v>32</v>
      </c>
      <c r="J472" s="592" t="s">
        <v>32</v>
      </c>
      <c r="K472" s="592" t="s">
        <v>32</v>
      </c>
      <c r="L472" s="592" t="s">
        <v>32</v>
      </c>
      <c r="M472" s="592" t="s">
        <v>32</v>
      </c>
      <c r="N472" s="592" t="s">
        <v>32</v>
      </c>
      <c r="O472" s="592" t="s">
        <v>32</v>
      </c>
      <c r="P472" s="592" t="s">
        <v>32</v>
      </c>
      <c r="Q472" s="592" t="s">
        <v>32</v>
      </c>
      <c r="R472" s="592" t="s">
        <v>32</v>
      </c>
      <c r="S472" s="592" t="s">
        <v>32</v>
      </c>
      <c r="T472" s="592" t="s">
        <v>32</v>
      </c>
      <c r="U472" s="592" t="s">
        <v>32</v>
      </c>
      <c r="V472" s="592" t="s">
        <v>32</v>
      </c>
      <c r="W472" s="592" t="s">
        <v>32</v>
      </c>
      <c r="X472" s="592" t="s">
        <v>32</v>
      </c>
      <c r="Y472" s="592" t="s">
        <v>32</v>
      </c>
      <c r="Z472" s="592" t="s">
        <v>32</v>
      </c>
      <c r="AA472" s="592" t="s">
        <v>32</v>
      </c>
      <c r="AB472" s="603">
        <f t="shared" si="133"/>
        <v>4</v>
      </c>
      <c r="AC472" s="603">
        <f t="shared" si="134"/>
        <v>5</v>
      </c>
      <c r="AD472" s="603">
        <f t="shared" si="134"/>
        <v>5</v>
      </c>
      <c r="AE472" s="603">
        <f t="shared" si="134"/>
        <v>5</v>
      </c>
      <c r="AF472" s="603">
        <f t="shared" si="134"/>
        <v>5</v>
      </c>
      <c r="AG472" s="603">
        <f t="shared" si="134"/>
        <v>5</v>
      </c>
      <c r="AH472" s="603">
        <f t="shared" si="134"/>
        <v>4</v>
      </c>
      <c r="AI472" s="603">
        <f t="shared" si="134"/>
        <v>3</v>
      </c>
      <c r="AJ472" s="603">
        <f t="shared" si="134"/>
        <v>3</v>
      </c>
    </row>
    <row r="473" spans="1:36" ht="17" x14ac:dyDescent="0.4">
      <c r="A473" s="605" t="s">
        <v>176</v>
      </c>
      <c r="B473" s="1409" t="s">
        <v>1389</v>
      </c>
      <c r="C473" s="592" t="s">
        <v>32</v>
      </c>
      <c r="D473" s="592" t="s">
        <v>32</v>
      </c>
      <c r="E473" s="592" t="s">
        <v>32</v>
      </c>
      <c r="F473" s="592" t="s">
        <v>32</v>
      </c>
      <c r="G473" s="592" t="s">
        <v>32</v>
      </c>
      <c r="H473" s="592" t="s">
        <v>32</v>
      </c>
      <c r="I473" s="592" t="s">
        <v>32</v>
      </c>
      <c r="J473" s="592" t="s">
        <v>32</v>
      </c>
      <c r="K473" s="592" t="s">
        <v>32</v>
      </c>
      <c r="L473" s="592" t="s">
        <v>32</v>
      </c>
      <c r="M473" s="592" t="s">
        <v>32</v>
      </c>
      <c r="N473" s="592" t="s">
        <v>32</v>
      </c>
      <c r="O473" s="592" t="s">
        <v>32</v>
      </c>
      <c r="P473" s="592" t="s">
        <v>32</v>
      </c>
      <c r="Q473" s="592" t="s">
        <v>32</v>
      </c>
      <c r="R473" s="592" t="s">
        <v>32</v>
      </c>
      <c r="S473" s="592" t="s">
        <v>32</v>
      </c>
      <c r="T473" s="592" t="s">
        <v>32</v>
      </c>
      <c r="U473" s="592" t="s">
        <v>32</v>
      </c>
      <c r="V473" s="592" t="s">
        <v>32</v>
      </c>
      <c r="W473" s="592" t="s">
        <v>32</v>
      </c>
      <c r="X473" s="592" t="s">
        <v>32</v>
      </c>
      <c r="Y473" s="592" t="s">
        <v>32</v>
      </c>
      <c r="Z473" s="592" t="s">
        <v>32</v>
      </c>
      <c r="AA473" s="592" t="s">
        <v>32</v>
      </c>
      <c r="AB473" s="604">
        <f t="shared" si="133"/>
        <v>28.256146300000001</v>
      </c>
      <c r="AC473" s="604">
        <f t="shared" si="134"/>
        <v>42.3352024</v>
      </c>
      <c r="AD473" s="604">
        <f t="shared" si="134"/>
        <v>6.2326535999999999</v>
      </c>
      <c r="AE473" s="604">
        <f t="shared" si="134"/>
        <v>6.1829499999999999</v>
      </c>
      <c r="AF473" s="604">
        <f t="shared" si="134"/>
        <v>90.240000000000009</v>
      </c>
      <c r="AG473" s="604">
        <f t="shared" si="134"/>
        <v>23.75</v>
      </c>
      <c r="AH473" s="604">
        <f t="shared" si="134"/>
        <v>77</v>
      </c>
      <c r="AI473" s="604">
        <f t="shared" si="134"/>
        <v>19.53</v>
      </c>
      <c r="AJ473" s="604">
        <f t="shared" si="134"/>
        <v>41.385311200000004</v>
      </c>
    </row>
    <row r="474" spans="1:36" ht="17" x14ac:dyDescent="0.4">
      <c r="A474" s="605" t="s">
        <v>176</v>
      </c>
      <c r="B474" s="1409" t="s">
        <v>1390</v>
      </c>
      <c r="C474" s="592" t="s">
        <v>32</v>
      </c>
      <c r="D474" s="592" t="s">
        <v>32</v>
      </c>
      <c r="E474" s="592" t="s">
        <v>32</v>
      </c>
      <c r="F474" s="592" t="s">
        <v>32</v>
      </c>
      <c r="G474" s="592" t="s">
        <v>32</v>
      </c>
      <c r="H474" s="592" t="s">
        <v>32</v>
      </c>
      <c r="I474" s="592" t="s">
        <v>32</v>
      </c>
      <c r="J474" s="592" t="s">
        <v>32</v>
      </c>
      <c r="K474" s="592" t="s">
        <v>32</v>
      </c>
      <c r="L474" s="592" t="s">
        <v>32</v>
      </c>
      <c r="M474" s="592" t="s">
        <v>32</v>
      </c>
      <c r="N474" s="592" t="s">
        <v>32</v>
      </c>
      <c r="O474" s="592" t="s">
        <v>32</v>
      </c>
      <c r="P474" s="592" t="s">
        <v>32</v>
      </c>
      <c r="Q474" s="592" t="s">
        <v>32</v>
      </c>
      <c r="R474" s="592" t="s">
        <v>32</v>
      </c>
      <c r="S474" s="592" t="s">
        <v>32</v>
      </c>
      <c r="T474" s="592" t="s">
        <v>32</v>
      </c>
      <c r="U474" s="592" t="s">
        <v>32</v>
      </c>
      <c r="V474" s="592" t="s">
        <v>32</v>
      </c>
      <c r="W474" s="592" t="s">
        <v>32</v>
      </c>
      <c r="X474" s="592" t="s">
        <v>32</v>
      </c>
      <c r="Y474" s="592" t="s">
        <v>32</v>
      </c>
      <c r="Z474" s="592" t="s">
        <v>32</v>
      </c>
      <c r="AA474" s="592" t="s">
        <v>32</v>
      </c>
      <c r="AB474" s="604">
        <f t="shared" si="133"/>
        <v>0.85</v>
      </c>
      <c r="AC474" s="604">
        <f t="shared" si="134"/>
        <v>1.3249735</v>
      </c>
      <c r="AD474" s="604">
        <f t="shared" si="134"/>
        <v>0.219</v>
      </c>
      <c r="AE474" s="604">
        <f t="shared" si="134"/>
        <v>0.158</v>
      </c>
      <c r="AF474" s="604">
        <f t="shared" si="134"/>
        <v>2.56</v>
      </c>
      <c r="AG474" s="604">
        <f t="shared" si="134"/>
        <v>0.7</v>
      </c>
      <c r="AH474" s="604">
        <f t="shared" si="134"/>
        <v>2.1760000000000002</v>
      </c>
      <c r="AI474" s="604">
        <f t="shared" si="134"/>
        <v>0.6</v>
      </c>
      <c r="AJ474" s="604">
        <f t="shared" si="134"/>
        <v>1.1307504000000002</v>
      </c>
    </row>
    <row r="475" spans="1:36" x14ac:dyDescent="0.4">
      <c r="A475" s="595" t="s">
        <v>200</v>
      </c>
      <c r="B475" s="1409" t="s">
        <v>1307</v>
      </c>
      <c r="C475" s="592" t="s">
        <v>32</v>
      </c>
      <c r="D475" s="592" t="s">
        <v>32</v>
      </c>
      <c r="E475" s="592" t="s">
        <v>32</v>
      </c>
      <c r="F475" s="592" t="s">
        <v>32</v>
      </c>
      <c r="G475" s="592" t="s">
        <v>32</v>
      </c>
      <c r="H475" s="592" t="s">
        <v>32</v>
      </c>
      <c r="I475" s="592" t="s">
        <v>32</v>
      </c>
      <c r="J475" s="592" t="s">
        <v>32</v>
      </c>
      <c r="K475" s="592" t="s">
        <v>32</v>
      </c>
      <c r="L475" s="592" t="s">
        <v>32</v>
      </c>
      <c r="M475" s="592" t="s">
        <v>32</v>
      </c>
      <c r="N475" s="592" t="s">
        <v>32</v>
      </c>
      <c r="O475" s="592" t="s">
        <v>32</v>
      </c>
      <c r="P475" s="592" t="s">
        <v>32</v>
      </c>
      <c r="Q475" s="592" t="s">
        <v>32</v>
      </c>
      <c r="R475" s="592" t="s">
        <v>32</v>
      </c>
      <c r="S475" s="592" t="s">
        <v>32</v>
      </c>
      <c r="T475" s="592" t="s">
        <v>32</v>
      </c>
      <c r="U475" s="592" t="s">
        <v>32</v>
      </c>
      <c r="V475" s="592" t="s">
        <v>32</v>
      </c>
      <c r="W475" s="592" t="s">
        <v>32</v>
      </c>
      <c r="X475" s="592" t="s">
        <v>32</v>
      </c>
      <c r="Y475" s="592" t="s">
        <v>32</v>
      </c>
      <c r="Z475" s="592" t="s">
        <v>32</v>
      </c>
      <c r="AA475" s="592" t="s">
        <v>32</v>
      </c>
      <c r="AB475" s="603">
        <f t="shared" si="133"/>
        <v>347</v>
      </c>
      <c r="AC475" s="603">
        <f t="shared" si="134"/>
        <v>474</v>
      </c>
      <c r="AD475" s="603">
        <f t="shared" si="134"/>
        <v>515</v>
      </c>
      <c r="AE475" s="603">
        <f t="shared" si="134"/>
        <v>501</v>
      </c>
      <c r="AF475" s="603">
        <f t="shared" si="134"/>
        <v>461</v>
      </c>
      <c r="AG475" s="603">
        <f t="shared" si="134"/>
        <v>550</v>
      </c>
      <c r="AH475" s="603">
        <f t="shared" si="134"/>
        <v>565</v>
      </c>
      <c r="AI475" s="603">
        <f t="shared" si="134"/>
        <v>208</v>
      </c>
      <c r="AJ475" s="603">
        <f t="shared" si="134"/>
        <v>164</v>
      </c>
    </row>
    <row r="476" spans="1:36" ht="17" x14ac:dyDescent="0.4">
      <c r="A476" s="595" t="s">
        <v>197</v>
      </c>
      <c r="B476" s="1409" t="s">
        <v>1389</v>
      </c>
      <c r="C476" s="592" t="s">
        <v>32</v>
      </c>
      <c r="D476" s="592" t="s">
        <v>32</v>
      </c>
      <c r="E476" s="592" t="s">
        <v>32</v>
      </c>
      <c r="F476" s="592" t="s">
        <v>32</v>
      </c>
      <c r="G476" s="592" t="s">
        <v>32</v>
      </c>
      <c r="H476" s="592" t="s">
        <v>32</v>
      </c>
      <c r="I476" s="592" t="s">
        <v>32</v>
      </c>
      <c r="J476" s="592" t="s">
        <v>32</v>
      </c>
      <c r="K476" s="592" t="s">
        <v>32</v>
      </c>
      <c r="L476" s="592" t="s">
        <v>32</v>
      </c>
      <c r="M476" s="592" t="s">
        <v>32</v>
      </c>
      <c r="N476" s="592" t="s">
        <v>32</v>
      </c>
      <c r="O476" s="592" t="s">
        <v>32</v>
      </c>
      <c r="P476" s="592" t="s">
        <v>32</v>
      </c>
      <c r="Q476" s="592" t="s">
        <v>32</v>
      </c>
      <c r="R476" s="592" t="s">
        <v>32</v>
      </c>
      <c r="S476" s="592" t="s">
        <v>32</v>
      </c>
      <c r="T476" s="592" t="s">
        <v>32</v>
      </c>
      <c r="U476" s="592" t="s">
        <v>32</v>
      </c>
      <c r="V476" s="592" t="s">
        <v>32</v>
      </c>
      <c r="W476" s="592" t="s">
        <v>32</v>
      </c>
      <c r="X476" s="592" t="s">
        <v>32</v>
      </c>
      <c r="Y476" s="592" t="s">
        <v>32</v>
      </c>
      <c r="Z476" s="592" t="s">
        <v>32</v>
      </c>
      <c r="AA476" s="592" t="s">
        <v>32</v>
      </c>
      <c r="AB476" s="604">
        <f t="shared" si="133"/>
        <v>129.79</v>
      </c>
      <c r="AC476" s="604">
        <f t="shared" si="134"/>
        <v>115.91</v>
      </c>
      <c r="AD476" s="604">
        <f t="shared" si="134"/>
        <v>88.11999999999999</v>
      </c>
      <c r="AE476" s="604">
        <f t="shared" si="134"/>
        <v>111.83000000000001</v>
      </c>
      <c r="AF476" s="604">
        <f t="shared" si="134"/>
        <v>60.8</v>
      </c>
      <c r="AG476" s="604">
        <f t="shared" si="134"/>
        <v>55.989999999999995</v>
      </c>
      <c r="AH476" s="604">
        <f t="shared" si="134"/>
        <v>70.42</v>
      </c>
      <c r="AI476" s="604">
        <f t="shared" si="134"/>
        <v>56.09</v>
      </c>
      <c r="AJ476" s="604">
        <f t="shared" si="134"/>
        <v>31.902745600000003</v>
      </c>
    </row>
    <row r="477" spans="1:36" ht="17" x14ac:dyDescent="0.4">
      <c r="A477" s="595" t="s">
        <v>197</v>
      </c>
      <c r="B477" s="1409" t="s">
        <v>1390</v>
      </c>
      <c r="C477" s="592" t="s">
        <v>32</v>
      </c>
      <c r="D477" s="592" t="s">
        <v>32</v>
      </c>
      <c r="E477" s="592" t="s">
        <v>32</v>
      </c>
      <c r="F477" s="592" t="s">
        <v>32</v>
      </c>
      <c r="G477" s="592" t="s">
        <v>32</v>
      </c>
      <c r="H477" s="592" t="s">
        <v>32</v>
      </c>
      <c r="I477" s="592" t="s">
        <v>32</v>
      </c>
      <c r="J477" s="592" t="s">
        <v>32</v>
      </c>
      <c r="K477" s="592" t="s">
        <v>32</v>
      </c>
      <c r="L477" s="592" t="s">
        <v>32</v>
      </c>
      <c r="M477" s="592" t="s">
        <v>32</v>
      </c>
      <c r="N477" s="592" t="s">
        <v>32</v>
      </c>
      <c r="O477" s="592" t="s">
        <v>32</v>
      </c>
      <c r="P477" s="592" t="s">
        <v>32</v>
      </c>
      <c r="Q477" s="592" t="s">
        <v>32</v>
      </c>
      <c r="R477" s="592" t="s">
        <v>32</v>
      </c>
      <c r="S477" s="592" t="s">
        <v>32</v>
      </c>
      <c r="T477" s="592" t="s">
        <v>32</v>
      </c>
      <c r="U477" s="592" t="s">
        <v>32</v>
      </c>
      <c r="V477" s="592" t="s">
        <v>32</v>
      </c>
      <c r="W477" s="592" t="s">
        <v>32</v>
      </c>
      <c r="X477" s="592" t="s">
        <v>32</v>
      </c>
      <c r="Y477" s="592" t="s">
        <v>32</v>
      </c>
      <c r="Z477" s="592" t="s">
        <v>32</v>
      </c>
      <c r="AA477" s="592" t="s">
        <v>32</v>
      </c>
      <c r="AB477" s="604">
        <f t="shared" si="133"/>
        <v>3.2</v>
      </c>
      <c r="AC477" s="604">
        <f t="shared" si="134"/>
        <v>3.3000000000000003</v>
      </c>
      <c r="AD477" s="604">
        <f t="shared" si="134"/>
        <v>2.4999999999999996</v>
      </c>
      <c r="AE477" s="604">
        <f t="shared" si="134"/>
        <v>3.2</v>
      </c>
      <c r="AF477" s="604">
        <f t="shared" si="134"/>
        <v>1.78</v>
      </c>
      <c r="AG477" s="604">
        <f t="shared" si="134"/>
        <v>1.6</v>
      </c>
      <c r="AH477" s="604">
        <f t="shared" si="134"/>
        <v>1.994</v>
      </c>
      <c r="AI477" s="604">
        <f t="shared" si="134"/>
        <v>1.6</v>
      </c>
      <c r="AJ477" s="604">
        <f t="shared" si="134"/>
        <v>0.9200739</v>
      </c>
    </row>
    <row r="478" spans="1:36" x14ac:dyDescent="0.4">
      <c r="A478" s="597" t="s">
        <v>1063</v>
      </c>
      <c r="B478" s="597"/>
      <c r="C478" s="89"/>
      <c r="D478" s="89"/>
      <c r="E478" s="89"/>
      <c r="F478" s="89"/>
      <c r="G478" s="89"/>
      <c r="H478" s="89"/>
      <c r="I478" s="89"/>
      <c r="J478" s="89"/>
      <c r="K478" s="89"/>
      <c r="L478" s="89"/>
      <c r="M478" s="89"/>
      <c r="N478" s="89"/>
      <c r="O478" s="89"/>
      <c r="P478" s="89"/>
      <c r="Q478" s="89"/>
      <c r="R478" s="89"/>
      <c r="S478" s="89"/>
      <c r="T478" s="89"/>
      <c r="U478" s="89"/>
      <c r="V478" s="89"/>
      <c r="W478" s="89"/>
      <c r="X478" s="89"/>
      <c r="Y478" s="89"/>
      <c r="Z478" s="89"/>
      <c r="AA478" s="89"/>
      <c r="AB478" s="89"/>
      <c r="AC478" s="89"/>
      <c r="AD478" s="89"/>
      <c r="AE478" s="89"/>
      <c r="AF478" s="89"/>
      <c r="AG478" s="89"/>
    </row>
    <row r="479" spans="1:36" x14ac:dyDescent="0.4">
      <c r="A479" s="597"/>
      <c r="B479" s="597"/>
      <c r="C479" s="89"/>
      <c r="D479" s="89"/>
      <c r="E479" s="89"/>
      <c r="F479" s="89"/>
      <c r="G479" s="89"/>
      <c r="H479" s="89"/>
      <c r="I479" s="89"/>
      <c r="J479" s="89"/>
      <c r="K479" s="89"/>
      <c r="L479" s="89"/>
      <c r="M479" s="89"/>
      <c r="N479" s="89"/>
      <c r="O479" s="89"/>
      <c r="P479" s="89"/>
      <c r="Q479" s="89"/>
      <c r="R479" s="89"/>
      <c r="S479" s="89"/>
      <c r="T479" s="89"/>
      <c r="U479" s="89"/>
      <c r="V479" s="89"/>
      <c r="W479" s="89"/>
      <c r="X479" s="89"/>
      <c r="Y479" s="89"/>
      <c r="Z479" s="89"/>
      <c r="AA479" s="89"/>
      <c r="AB479" s="89"/>
      <c r="AC479" s="89"/>
      <c r="AD479" s="89"/>
      <c r="AE479" s="89"/>
      <c r="AF479" s="89"/>
      <c r="AG479" s="89"/>
    </row>
    <row r="480" spans="1:36" x14ac:dyDescent="0.4">
      <c r="A480" s="659" t="s">
        <v>822</v>
      </c>
      <c r="B480" s="597"/>
      <c r="C480" s="89"/>
      <c r="D480" s="89"/>
      <c r="E480" s="89"/>
      <c r="F480" s="89"/>
      <c r="G480" s="89"/>
      <c r="H480" s="89"/>
      <c r="I480" s="89"/>
      <c r="J480" s="89"/>
      <c r="K480" s="89"/>
      <c r="L480" s="89"/>
      <c r="M480" s="89"/>
      <c r="N480" s="89"/>
      <c r="O480" s="89"/>
      <c r="P480" s="89"/>
      <c r="Q480" s="89"/>
      <c r="R480" s="89"/>
      <c r="S480" s="89"/>
      <c r="T480" s="89"/>
      <c r="U480" s="89"/>
      <c r="V480" s="89"/>
      <c r="W480" s="89"/>
      <c r="X480" s="89"/>
      <c r="Y480" s="89"/>
      <c r="Z480" s="89"/>
      <c r="AA480" s="89"/>
      <c r="AB480" s="89"/>
      <c r="AC480" s="89"/>
      <c r="AD480" s="89"/>
      <c r="AE480" s="89"/>
      <c r="AF480" s="89"/>
      <c r="AG480" s="89"/>
    </row>
    <row r="481" spans="1:36" x14ac:dyDescent="0.4">
      <c r="A481" s="1158" t="s">
        <v>814</v>
      </c>
      <c r="B481" s="1140" t="s">
        <v>136</v>
      </c>
      <c r="C481" s="1159" t="s">
        <v>391</v>
      </c>
      <c r="D481" s="1159" t="s">
        <v>392</v>
      </c>
      <c r="E481" s="1159" t="s">
        <v>393</v>
      </c>
      <c r="F481" s="1159" t="s">
        <v>394</v>
      </c>
      <c r="G481" s="1159" t="s">
        <v>395</v>
      </c>
      <c r="H481" s="1159" t="s">
        <v>396</v>
      </c>
      <c r="I481" s="1159" t="s">
        <v>397</v>
      </c>
      <c r="J481" s="1159" t="s">
        <v>398</v>
      </c>
      <c r="K481" s="1159" t="s">
        <v>399</v>
      </c>
      <c r="L481" s="1159" t="s">
        <v>400</v>
      </c>
      <c r="M481" s="1159" t="s">
        <v>401</v>
      </c>
      <c r="N481" s="1159" t="s">
        <v>402</v>
      </c>
      <c r="O481" s="1159" t="s">
        <v>403</v>
      </c>
      <c r="P481" s="1159" t="s">
        <v>404</v>
      </c>
      <c r="Q481" s="1159" t="s">
        <v>405</v>
      </c>
      <c r="R481" s="1159" t="s">
        <v>406</v>
      </c>
      <c r="S481" s="1159" t="s">
        <v>407</v>
      </c>
      <c r="T481" s="1159" t="s">
        <v>408</v>
      </c>
      <c r="U481" s="1159" t="s">
        <v>409</v>
      </c>
      <c r="V481" s="1159" t="s">
        <v>410</v>
      </c>
      <c r="W481" s="1159" t="s">
        <v>411</v>
      </c>
      <c r="X481" s="1159" t="s">
        <v>412</v>
      </c>
      <c r="Y481" s="1159" t="s">
        <v>413</v>
      </c>
      <c r="Z481" s="1159" t="s">
        <v>414</v>
      </c>
      <c r="AA481" s="1159" t="s">
        <v>415</v>
      </c>
      <c r="AB481" s="1159" t="s">
        <v>416</v>
      </c>
      <c r="AC481" s="1159" t="s">
        <v>417</v>
      </c>
      <c r="AD481" s="1159" t="s">
        <v>418</v>
      </c>
      <c r="AE481" s="1159" t="s">
        <v>419</v>
      </c>
      <c r="AF481" s="1159" t="s">
        <v>420</v>
      </c>
      <c r="AG481" s="1159" t="s">
        <v>421</v>
      </c>
      <c r="AH481" s="1159" t="s">
        <v>422</v>
      </c>
      <c r="AI481" s="1159" t="s">
        <v>423</v>
      </c>
      <c r="AJ481" s="1159" t="s">
        <v>424</v>
      </c>
    </row>
    <row r="482" spans="1:36" x14ac:dyDescent="0.4">
      <c r="A482" s="593" t="s">
        <v>722</v>
      </c>
      <c r="B482" s="593" t="s">
        <v>1307</v>
      </c>
      <c r="C482" s="565" t="s">
        <v>32</v>
      </c>
      <c r="D482" s="565" t="s">
        <v>32</v>
      </c>
      <c r="E482" s="565" t="s">
        <v>32</v>
      </c>
      <c r="F482" s="565" t="s">
        <v>32</v>
      </c>
      <c r="G482" s="565" t="s">
        <v>32</v>
      </c>
      <c r="H482" s="565" t="s">
        <v>32</v>
      </c>
      <c r="I482" s="565" t="s">
        <v>32</v>
      </c>
      <c r="J482" s="565" t="s">
        <v>32</v>
      </c>
      <c r="K482" s="565" t="s">
        <v>32</v>
      </c>
      <c r="L482" s="565" t="s">
        <v>32</v>
      </c>
      <c r="M482" s="565" t="s">
        <v>32</v>
      </c>
      <c r="N482" s="565" t="s">
        <v>32</v>
      </c>
      <c r="O482" s="565" t="s">
        <v>32</v>
      </c>
      <c r="P482" s="565" t="s">
        <v>32</v>
      </c>
      <c r="Q482" s="565" t="s">
        <v>32</v>
      </c>
      <c r="R482" s="565" t="s">
        <v>32</v>
      </c>
      <c r="S482" s="565" t="s">
        <v>32</v>
      </c>
      <c r="T482" s="565" t="s">
        <v>32</v>
      </c>
      <c r="U482" s="565" t="s">
        <v>32</v>
      </c>
      <c r="V482" s="565" t="s">
        <v>32</v>
      </c>
      <c r="W482" s="565" t="s">
        <v>32</v>
      </c>
      <c r="X482" s="594">
        <f>428+12+10685</f>
        <v>11125</v>
      </c>
      <c r="Y482" s="594">
        <f>334+1+6494</f>
        <v>6829</v>
      </c>
      <c r="Z482" s="594">
        <f>345+3+8002+29</f>
        <v>8379</v>
      </c>
      <c r="AA482" s="606">
        <f>189+10418+24</f>
        <v>10631</v>
      </c>
      <c r="AB482" s="594">
        <v>11572</v>
      </c>
      <c r="AC482" s="594">
        <v>6106</v>
      </c>
      <c r="AD482" s="594">
        <v>3713</v>
      </c>
      <c r="AE482" s="594">
        <v>5191</v>
      </c>
      <c r="AF482" s="594">
        <v>3553</v>
      </c>
      <c r="AG482" s="594">
        <v>2150</v>
      </c>
      <c r="AH482" s="594">
        <v>2613</v>
      </c>
      <c r="AI482" s="594">
        <v>1339</v>
      </c>
      <c r="AJ482" s="594">
        <v>591</v>
      </c>
    </row>
    <row r="483" spans="1:36" ht="17" x14ac:dyDescent="0.4">
      <c r="A483" s="593" t="s">
        <v>723</v>
      </c>
      <c r="B483" s="1409" t="s">
        <v>1389</v>
      </c>
      <c r="C483" s="565" t="s">
        <v>32</v>
      </c>
      <c r="D483" s="565" t="s">
        <v>32</v>
      </c>
      <c r="E483" s="565" t="s">
        <v>32</v>
      </c>
      <c r="F483" s="565" t="s">
        <v>32</v>
      </c>
      <c r="G483" s="565" t="s">
        <v>32</v>
      </c>
      <c r="H483" s="565" t="s">
        <v>32</v>
      </c>
      <c r="I483" s="565" t="s">
        <v>32</v>
      </c>
      <c r="J483" s="565" t="s">
        <v>32</v>
      </c>
      <c r="K483" s="565" t="s">
        <v>32</v>
      </c>
      <c r="L483" s="565" t="s">
        <v>32</v>
      </c>
      <c r="M483" s="565" t="s">
        <v>32</v>
      </c>
      <c r="N483" s="565" t="s">
        <v>32</v>
      </c>
      <c r="O483" s="565" t="s">
        <v>32</v>
      </c>
      <c r="P483" s="565" t="s">
        <v>32</v>
      </c>
      <c r="Q483" s="565" t="s">
        <v>32</v>
      </c>
      <c r="R483" s="565" t="s">
        <v>32</v>
      </c>
      <c r="S483" s="565" t="s">
        <v>32</v>
      </c>
      <c r="T483" s="565" t="s">
        <v>32</v>
      </c>
      <c r="U483" s="565" t="s">
        <v>32</v>
      </c>
      <c r="V483" s="565" t="s">
        <v>32</v>
      </c>
      <c r="W483" s="565" t="s">
        <v>32</v>
      </c>
      <c r="X483" s="576">
        <f>(122.3+14+142.5)/25</f>
        <v>11.152000000000001</v>
      </c>
      <c r="Y483" s="576">
        <f>(95.43+1.1+86.58)/25</f>
        <v>7.3244000000000007</v>
      </c>
      <c r="Z483" s="576">
        <f>(117.3+3.9+127+3.29)/25</f>
        <v>10.0596</v>
      </c>
      <c r="AA483" s="607">
        <f>232.4/25</f>
        <v>9.2959999999999994</v>
      </c>
      <c r="AB483" s="576">
        <v>9.2799999999999994</v>
      </c>
      <c r="AC483" s="576">
        <v>7.47</v>
      </c>
      <c r="AD483" s="576">
        <v>6.51</v>
      </c>
      <c r="AE483" s="576">
        <v>7.67</v>
      </c>
      <c r="AF483" s="576">
        <v>5.82</v>
      </c>
      <c r="AG483" s="576">
        <v>3.71</v>
      </c>
      <c r="AH483" s="576">
        <v>8.11</v>
      </c>
      <c r="AI483" s="576">
        <v>2.65</v>
      </c>
      <c r="AJ483" s="576">
        <v>1.78</v>
      </c>
    </row>
    <row r="484" spans="1:36" ht="17" x14ac:dyDescent="0.4">
      <c r="A484" s="593" t="s">
        <v>723</v>
      </c>
      <c r="B484" s="1409" t="s">
        <v>1390</v>
      </c>
      <c r="C484" s="565" t="s">
        <v>32</v>
      </c>
      <c r="D484" s="565" t="s">
        <v>32</v>
      </c>
      <c r="E484" s="565" t="s">
        <v>32</v>
      </c>
      <c r="F484" s="565" t="s">
        <v>32</v>
      </c>
      <c r="G484" s="565" t="s">
        <v>32</v>
      </c>
      <c r="H484" s="565" t="s">
        <v>32</v>
      </c>
      <c r="I484" s="565" t="s">
        <v>32</v>
      </c>
      <c r="J484" s="565" t="s">
        <v>32</v>
      </c>
      <c r="K484" s="565" t="s">
        <v>32</v>
      </c>
      <c r="L484" s="565" t="s">
        <v>32</v>
      </c>
      <c r="M484" s="565" t="s">
        <v>32</v>
      </c>
      <c r="N484" s="565" t="s">
        <v>32</v>
      </c>
      <c r="O484" s="565" t="s">
        <v>32</v>
      </c>
      <c r="P484" s="565" t="s">
        <v>32</v>
      </c>
      <c r="Q484" s="565" t="s">
        <v>32</v>
      </c>
      <c r="R484" s="565" t="s">
        <v>32</v>
      </c>
      <c r="S484" s="565" t="s">
        <v>32</v>
      </c>
      <c r="T484" s="565" t="s">
        <v>32</v>
      </c>
      <c r="U484" s="565" t="s">
        <v>32</v>
      </c>
      <c r="V484" s="565" t="s">
        <v>32</v>
      </c>
      <c r="W484" s="565" t="s">
        <v>32</v>
      </c>
      <c r="X484" s="576">
        <v>0</v>
      </c>
      <c r="Y484" s="576">
        <v>0</v>
      </c>
      <c r="Z484" s="576">
        <v>0</v>
      </c>
      <c r="AA484" s="607">
        <v>0</v>
      </c>
      <c r="AB484" s="576">
        <v>0</v>
      </c>
      <c r="AC484" s="576">
        <v>0</v>
      </c>
      <c r="AD484" s="576">
        <v>0</v>
      </c>
      <c r="AE484" s="576">
        <v>0</v>
      </c>
      <c r="AF484" s="576">
        <v>0</v>
      </c>
      <c r="AG484" s="576">
        <v>0</v>
      </c>
      <c r="AH484" s="576">
        <v>0</v>
      </c>
      <c r="AI484" s="576">
        <v>0</v>
      </c>
      <c r="AJ484" s="576">
        <v>0</v>
      </c>
    </row>
    <row r="485" spans="1:36" x14ac:dyDescent="0.4">
      <c r="A485" s="593" t="s">
        <v>727</v>
      </c>
      <c r="B485" s="1409" t="s">
        <v>1307</v>
      </c>
      <c r="C485" s="565" t="s">
        <v>32</v>
      </c>
      <c r="D485" s="565" t="s">
        <v>32</v>
      </c>
      <c r="E485" s="565" t="s">
        <v>32</v>
      </c>
      <c r="F485" s="565" t="s">
        <v>32</v>
      </c>
      <c r="G485" s="565" t="s">
        <v>32</v>
      </c>
      <c r="H485" s="565" t="s">
        <v>32</v>
      </c>
      <c r="I485" s="565" t="s">
        <v>32</v>
      </c>
      <c r="J485" s="565" t="s">
        <v>32</v>
      </c>
      <c r="K485" s="565" t="s">
        <v>32</v>
      </c>
      <c r="L485" s="565" t="s">
        <v>32</v>
      </c>
      <c r="M485" s="565" t="s">
        <v>32</v>
      </c>
      <c r="N485" s="565" t="s">
        <v>32</v>
      </c>
      <c r="O485" s="565" t="s">
        <v>32</v>
      </c>
      <c r="P485" s="565" t="s">
        <v>32</v>
      </c>
      <c r="Q485" s="565" t="s">
        <v>32</v>
      </c>
      <c r="R485" s="565" t="s">
        <v>32</v>
      </c>
      <c r="S485" s="565" t="s">
        <v>32</v>
      </c>
      <c r="T485" s="565" t="s">
        <v>32</v>
      </c>
      <c r="U485" s="565" t="s">
        <v>32</v>
      </c>
      <c r="V485" s="565" t="s">
        <v>32</v>
      </c>
      <c r="W485" s="565" t="s">
        <v>32</v>
      </c>
      <c r="X485" s="565" t="s">
        <v>32</v>
      </c>
      <c r="Y485" s="565" t="s">
        <v>32</v>
      </c>
      <c r="Z485" s="565" t="s">
        <v>32</v>
      </c>
      <c r="AA485" s="606">
        <f>6+17+2</f>
        <v>25</v>
      </c>
      <c r="AB485" s="594">
        <f>5+30</f>
        <v>35</v>
      </c>
      <c r="AC485" s="594">
        <f>54+23+4</f>
        <v>81</v>
      </c>
      <c r="AD485" s="594">
        <f>38+1</f>
        <v>39</v>
      </c>
      <c r="AE485" s="594">
        <f>38+4+2</f>
        <v>44</v>
      </c>
      <c r="AF485" s="594">
        <v>36</v>
      </c>
      <c r="AG485" s="594">
        <v>25</v>
      </c>
      <c r="AH485" s="594">
        <v>34</v>
      </c>
      <c r="AI485" s="594">
        <v>23</v>
      </c>
      <c r="AJ485" s="594">
        <v>18</v>
      </c>
    </row>
    <row r="486" spans="1:36" ht="17" x14ac:dyDescent="0.4">
      <c r="A486" s="593" t="s">
        <v>724</v>
      </c>
      <c r="B486" s="1409" t="s">
        <v>1389</v>
      </c>
      <c r="C486" s="565" t="s">
        <v>32</v>
      </c>
      <c r="D486" s="565" t="s">
        <v>32</v>
      </c>
      <c r="E486" s="565" t="s">
        <v>32</v>
      </c>
      <c r="F486" s="565" t="s">
        <v>32</v>
      </c>
      <c r="G486" s="565" t="s">
        <v>32</v>
      </c>
      <c r="H486" s="565" t="s">
        <v>32</v>
      </c>
      <c r="I486" s="565" t="s">
        <v>32</v>
      </c>
      <c r="J486" s="565" t="s">
        <v>32</v>
      </c>
      <c r="K486" s="565" t="s">
        <v>32</v>
      </c>
      <c r="L486" s="565" t="s">
        <v>32</v>
      </c>
      <c r="M486" s="565" t="s">
        <v>32</v>
      </c>
      <c r="N486" s="565" t="s">
        <v>32</v>
      </c>
      <c r="O486" s="565" t="s">
        <v>32</v>
      </c>
      <c r="P486" s="565" t="s">
        <v>32</v>
      </c>
      <c r="Q486" s="565" t="s">
        <v>32</v>
      </c>
      <c r="R486" s="565" t="s">
        <v>32</v>
      </c>
      <c r="S486" s="565" t="s">
        <v>32</v>
      </c>
      <c r="T486" s="565" t="s">
        <v>32</v>
      </c>
      <c r="U486" s="565" t="s">
        <v>32</v>
      </c>
      <c r="V486" s="565" t="s">
        <v>32</v>
      </c>
      <c r="W486" s="565" t="s">
        <v>32</v>
      </c>
      <c r="X486" s="565" t="s">
        <v>32</v>
      </c>
      <c r="Y486" s="565" t="s">
        <v>32</v>
      </c>
      <c r="Z486" s="565" t="s">
        <v>32</v>
      </c>
      <c r="AA486" s="607">
        <f>86.5/25</f>
        <v>3.46</v>
      </c>
      <c r="AB486" s="576">
        <f>0.9977+1.714</f>
        <v>2.7117</v>
      </c>
      <c r="AC486" s="576">
        <f>10.84+1.32+2.7</f>
        <v>14.86</v>
      </c>
      <c r="AD486" s="576">
        <f>7.6+0.06</f>
        <v>7.6599999999999993</v>
      </c>
      <c r="AE486" s="607">
        <v>9.8800000000000008</v>
      </c>
      <c r="AF486" s="607">
        <v>8.08</v>
      </c>
      <c r="AG486" s="607">
        <v>8.1199999999999992</v>
      </c>
      <c r="AH486" s="607">
        <v>6.64</v>
      </c>
      <c r="AI486" s="607">
        <f>3.802+0.229</f>
        <v>4.0309999999999997</v>
      </c>
      <c r="AJ486" s="607">
        <v>4.26</v>
      </c>
    </row>
    <row r="487" spans="1:36" ht="17" x14ac:dyDescent="0.4">
      <c r="A487" s="595" t="s">
        <v>724</v>
      </c>
      <c r="B487" s="1409" t="s">
        <v>1390</v>
      </c>
      <c r="C487" s="592" t="s">
        <v>32</v>
      </c>
      <c r="D487" s="592" t="s">
        <v>32</v>
      </c>
      <c r="E487" s="592" t="s">
        <v>32</v>
      </c>
      <c r="F487" s="592" t="s">
        <v>32</v>
      </c>
      <c r="G487" s="592" t="s">
        <v>32</v>
      </c>
      <c r="H487" s="592" t="s">
        <v>32</v>
      </c>
      <c r="I487" s="592" t="s">
        <v>32</v>
      </c>
      <c r="J487" s="592" t="s">
        <v>32</v>
      </c>
      <c r="K487" s="592" t="s">
        <v>32</v>
      </c>
      <c r="L487" s="592" t="s">
        <v>32</v>
      </c>
      <c r="M487" s="592" t="s">
        <v>32</v>
      </c>
      <c r="N487" s="592" t="s">
        <v>32</v>
      </c>
      <c r="O487" s="592" t="s">
        <v>32</v>
      </c>
      <c r="P487" s="592" t="s">
        <v>32</v>
      </c>
      <c r="Q487" s="592" t="s">
        <v>32</v>
      </c>
      <c r="R487" s="592" t="s">
        <v>32</v>
      </c>
      <c r="S487" s="592" t="s">
        <v>32</v>
      </c>
      <c r="T487" s="592" t="s">
        <v>32</v>
      </c>
      <c r="U487" s="592" t="s">
        <v>32</v>
      </c>
      <c r="V487" s="592" t="s">
        <v>32</v>
      </c>
      <c r="W487" s="592" t="s">
        <v>32</v>
      </c>
      <c r="X487" s="592" t="s">
        <v>32</v>
      </c>
      <c r="Y487" s="592" t="s">
        <v>32</v>
      </c>
      <c r="Z487" s="592" t="s">
        <v>32</v>
      </c>
      <c r="AA487" s="608">
        <v>0</v>
      </c>
      <c r="AB487" s="596">
        <v>0</v>
      </c>
      <c r="AC487" s="596">
        <v>0</v>
      </c>
      <c r="AD487" s="596">
        <v>0</v>
      </c>
      <c r="AE487" s="596">
        <v>0</v>
      </c>
      <c r="AF487" s="596">
        <v>0</v>
      </c>
      <c r="AG487" s="596">
        <v>0</v>
      </c>
      <c r="AH487" s="596">
        <v>0</v>
      </c>
      <c r="AI487" s="596">
        <v>0</v>
      </c>
      <c r="AJ487" s="596">
        <v>0</v>
      </c>
    </row>
    <row r="488" spans="1:36" x14ac:dyDescent="0.4">
      <c r="A488" s="595" t="s">
        <v>725</v>
      </c>
      <c r="B488" s="1409" t="s">
        <v>1309</v>
      </c>
      <c r="C488" s="609">
        <v>1</v>
      </c>
      <c r="D488" s="609">
        <v>1</v>
      </c>
      <c r="E488" s="609">
        <v>1</v>
      </c>
      <c r="F488" s="609">
        <v>1</v>
      </c>
      <c r="G488" s="609">
        <v>1</v>
      </c>
      <c r="H488" s="609">
        <v>1</v>
      </c>
      <c r="I488" s="609">
        <v>1</v>
      </c>
      <c r="J488" s="609">
        <v>1</v>
      </c>
      <c r="K488" s="609">
        <v>1</v>
      </c>
      <c r="L488" s="609">
        <v>1</v>
      </c>
      <c r="M488" s="609">
        <v>1</v>
      </c>
      <c r="N488" s="609">
        <v>1</v>
      </c>
      <c r="O488" s="609">
        <v>1</v>
      </c>
      <c r="P488" s="609">
        <v>1</v>
      </c>
      <c r="Q488" s="609">
        <v>1</v>
      </c>
      <c r="R488" s="609">
        <v>1</v>
      </c>
      <c r="S488" s="609">
        <v>1</v>
      </c>
      <c r="T488" s="609">
        <v>1</v>
      </c>
      <c r="U488" s="609">
        <v>1</v>
      </c>
      <c r="V488" s="609">
        <v>1</v>
      </c>
      <c r="W488" s="609">
        <v>1</v>
      </c>
      <c r="X488" s="606">
        <v>1</v>
      </c>
      <c r="Y488" s="606">
        <v>1</v>
      </c>
      <c r="Z488" s="606">
        <v>1</v>
      </c>
      <c r="AA488" s="606">
        <v>1</v>
      </c>
      <c r="AB488" s="594">
        <v>1</v>
      </c>
      <c r="AC488" s="594">
        <v>1</v>
      </c>
      <c r="AD488" s="594">
        <v>1</v>
      </c>
      <c r="AE488" s="594">
        <v>1</v>
      </c>
      <c r="AF488" s="594">
        <v>1</v>
      </c>
      <c r="AG488" s="594">
        <v>1</v>
      </c>
      <c r="AH488" s="594">
        <v>1</v>
      </c>
      <c r="AI488" s="594">
        <v>1</v>
      </c>
      <c r="AJ488" s="594">
        <v>1</v>
      </c>
    </row>
    <row r="489" spans="1:36" ht="17" x14ac:dyDescent="0.4">
      <c r="A489" s="593" t="s">
        <v>726</v>
      </c>
      <c r="B489" s="1409" t="s">
        <v>1389</v>
      </c>
      <c r="C489" s="565" t="s">
        <v>32</v>
      </c>
      <c r="D489" s="565" t="s">
        <v>32</v>
      </c>
      <c r="E489" s="565" t="s">
        <v>32</v>
      </c>
      <c r="F489" s="565" t="s">
        <v>32</v>
      </c>
      <c r="G489" s="565" t="s">
        <v>32</v>
      </c>
      <c r="H489" s="565" t="s">
        <v>32</v>
      </c>
      <c r="I489" s="565" t="s">
        <v>32</v>
      </c>
      <c r="J489" s="565" t="s">
        <v>32</v>
      </c>
      <c r="K489" s="565" t="s">
        <v>32</v>
      </c>
      <c r="L489" s="565" t="s">
        <v>32</v>
      </c>
      <c r="M489" s="565" t="s">
        <v>32</v>
      </c>
      <c r="N489" s="565" t="s">
        <v>32</v>
      </c>
      <c r="O489" s="565" t="s">
        <v>32</v>
      </c>
      <c r="P489" s="565" t="s">
        <v>32</v>
      </c>
      <c r="Q489" s="565" t="s">
        <v>32</v>
      </c>
      <c r="R489" s="565" t="s">
        <v>32</v>
      </c>
      <c r="S489" s="565" t="s">
        <v>32</v>
      </c>
      <c r="T489" s="565" t="s">
        <v>32</v>
      </c>
      <c r="U489" s="565" t="s">
        <v>32</v>
      </c>
      <c r="V489" s="565" t="s">
        <v>32</v>
      </c>
      <c r="W489" s="565" t="s">
        <v>32</v>
      </c>
      <c r="X489" s="565" t="s">
        <v>32</v>
      </c>
      <c r="Y489" s="565" t="s">
        <v>32</v>
      </c>
      <c r="Z489" s="565" t="s">
        <v>32</v>
      </c>
      <c r="AA489" s="607">
        <f>17.5/25</f>
        <v>0.7</v>
      </c>
      <c r="AB489" s="576">
        <v>0.69989999999999997</v>
      </c>
      <c r="AC489" s="576">
        <v>0.7</v>
      </c>
      <c r="AD489" s="576">
        <v>0.7</v>
      </c>
      <c r="AE489" s="576">
        <v>0.7</v>
      </c>
      <c r="AF489" s="576">
        <v>0.7</v>
      </c>
      <c r="AG489" s="576">
        <v>0.7</v>
      </c>
      <c r="AH489" s="576">
        <v>0.7</v>
      </c>
      <c r="AI489" s="576">
        <v>0.7</v>
      </c>
      <c r="AJ489" s="576">
        <v>0.7</v>
      </c>
    </row>
    <row r="490" spans="1:36" ht="17" x14ac:dyDescent="0.4">
      <c r="A490" s="1409" t="s">
        <v>726</v>
      </c>
      <c r="B490" s="1409" t="s">
        <v>1390</v>
      </c>
      <c r="C490" s="592" t="s">
        <v>32</v>
      </c>
      <c r="D490" s="592" t="s">
        <v>32</v>
      </c>
      <c r="E490" s="592" t="s">
        <v>32</v>
      </c>
      <c r="F490" s="592" t="s">
        <v>32</v>
      </c>
      <c r="G490" s="592" t="s">
        <v>32</v>
      </c>
      <c r="H490" s="592" t="s">
        <v>32</v>
      </c>
      <c r="I490" s="592" t="s">
        <v>32</v>
      </c>
      <c r="J490" s="592" t="s">
        <v>32</v>
      </c>
      <c r="K490" s="592" t="s">
        <v>32</v>
      </c>
      <c r="L490" s="592" t="s">
        <v>32</v>
      </c>
      <c r="M490" s="592" t="s">
        <v>32</v>
      </c>
      <c r="N490" s="592" t="s">
        <v>32</v>
      </c>
      <c r="O490" s="592" t="s">
        <v>32</v>
      </c>
      <c r="P490" s="592" t="s">
        <v>32</v>
      </c>
      <c r="Q490" s="592" t="s">
        <v>32</v>
      </c>
      <c r="R490" s="592" t="s">
        <v>32</v>
      </c>
      <c r="S490" s="592" t="s">
        <v>32</v>
      </c>
      <c r="T490" s="592" t="s">
        <v>32</v>
      </c>
      <c r="U490" s="592" t="s">
        <v>32</v>
      </c>
      <c r="V490" s="592" t="s">
        <v>32</v>
      </c>
      <c r="W490" s="592" t="s">
        <v>32</v>
      </c>
      <c r="X490" s="592" t="s">
        <v>32</v>
      </c>
      <c r="Y490" s="592" t="s">
        <v>32</v>
      </c>
      <c r="Z490" s="592" t="s">
        <v>32</v>
      </c>
      <c r="AA490" s="608">
        <v>0</v>
      </c>
      <c r="AB490" s="596">
        <v>0</v>
      </c>
      <c r="AC490" s="596">
        <v>0</v>
      </c>
      <c r="AD490" s="596">
        <v>0</v>
      </c>
      <c r="AE490" s="596">
        <v>0</v>
      </c>
      <c r="AF490" s="596">
        <v>0</v>
      </c>
      <c r="AG490" s="596">
        <v>0</v>
      </c>
      <c r="AH490" s="596">
        <v>0</v>
      </c>
      <c r="AI490" s="596">
        <v>0</v>
      </c>
      <c r="AJ490" s="596">
        <v>0</v>
      </c>
    </row>
    <row r="491" spans="1:36" x14ac:dyDescent="0.4">
      <c r="A491" s="1188" t="s">
        <v>1063</v>
      </c>
      <c r="B491" s="1191"/>
      <c r="C491" s="1191"/>
      <c r="D491" s="1191"/>
      <c r="E491" s="1191"/>
      <c r="F491" s="1191"/>
      <c r="G491" s="1191"/>
      <c r="H491" s="1191"/>
      <c r="I491" s="1191"/>
      <c r="J491" s="1191"/>
      <c r="K491" s="1191"/>
      <c r="L491" s="1191"/>
      <c r="M491" s="1191"/>
      <c r="N491" s="1191"/>
      <c r="O491" s="1191"/>
      <c r="P491" s="1191"/>
      <c r="Q491" s="1191"/>
      <c r="R491" s="1191"/>
      <c r="S491" s="1191"/>
      <c r="T491" s="1191"/>
      <c r="U491" s="1191"/>
      <c r="V491" s="1191"/>
      <c r="W491" s="1191"/>
      <c r="X491" s="1191"/>
      <c r="Y491" s="1191"/>
      <c r="Z491" s="1191"/>
      <c r="AA491" s="1191"/>
      <c r="AB491" s="1191"/>
      <c r="AC491" s="1191"/>
      <c r="AD491" s="1191"/>
      <c r="AE491" s="1191"/>
      <c r="AF491" s="1191"/>
      <c r="AG491" s="1191"/>
      <c r="AH491" s="1191"/>
      <c r="AI491" s="1191"/>
      <c r="AJ491" s="1191"/>
    </row>
    <row r="492" spans="1:36" x14ac:dyDescent="0.4">
      <c r="A492" s="581"/>
      <c r="B492" s="89"/>
      <c r="C492" s="89"/>
      <c r="D492" s="89"/>
      <c r="E492" s="89"/>
      <c r="F492" s="89"/>
      <c r="G492" s="89"/>
      <c r="H492" s="89"/>
      <c r="I492" s="89"/>
      <c r="J492" s="89"/>
      <c r="K492" s="89"/>
      <c r="L492" s="89"/>
      <c r="M492" s="89"/>
      <c r="N492" s="89"/>
      <c r="O492" s="89"/>
      <c r="P492" s="89"/>
      <c r="Q492" s="89"/>
      <c r="R492" s="89"/>
      <c r="S492" s="89"/>
      <c r="T492" s="89"/>
      <c r="U492" s="89"/>
      <c r="V492" s="89"/>
      <c r="W492" s="89"/>
      <c r="X492" s="89"/>
      <c r="Y492" s="89"/>
      <c r="Z492" s="89"/>
      <c r="AA492" s="89"/>
      <c r="AB492" s="89"/>
      <c r="AC492" s="89"/>
      <c r="AD492" s="89"/>
      <c r="AE492" s="89"/>
      <c r="AF492" s="89"/>
      <c r="AG492" s="89"/>
      <c r="AH492" s="89"/>
      <c r="AI492" s="89"/>
      <c r="AJ492" s="89"/>
    </row>
    <row r="493" spans="1:36" x14ac:dyDescent="0.4">
      <c r="A493" s="1389" t="s">
        <v>1306</v>
      </c>
    </row>
    <row r="494" spans="1:36" ht="17" x14ac:dyDescent="0.45">
      <c r="A494" s="1389" t="s">
        <v>1524</v>
      </c>
    </row>
    <row r="495" spans="1:36" x14ac:dyDescent="0.4">
      <c r="B495" s="1221"/>
    </row>
    <row r="496" spans="1:36" x14ac:dyDescent="0.4">
      <c r="A496" s="1110" t="s">
        <v>1064</v>
      </c>
    </row>
  </sheetData>
  <phoneticPr fontId="38" type="noConversion"/>
  <conditionalFormatting sqref="C236:AJ237 C260:AE261 C263:AE264">
    <cfRule type="cellIs" dxfId="4" priority="79" operator="between">
      <formula>0.0000001</formula>
      <formula>0.049999</formula>
    </cfRule>
  </conditionalFormatting>
  <conditionalFormatting sqref="C242:AJ247 C249:AJ250">
    <cfRule type="cellIs" dxfId="3" priority="31" operator="between">
      <formula>0.0000001</formula>
      <formula>0.049999</formula>
    </cfRule>
  </conditionalFormatting>
  <conditionalFormatting sqref="C252:AJ255">
    <cfRule type="cellIs" dxfId="2" priority="13" operator="between">
      <formula>0.0000001</formula>
      <formula>0.049999</formula>
    </cfRule>
  </conditionalFormatting>
  <conditionalFormatting sqref="C266:AJ267 B269:AJ269">
    <cfRule type="cellIs" dxfId="1" priority="1" operator="between">
      <formula>0.0000001</formula>
      <formula>0.049999</formula>
    </cfRule>
  </conditionalFormatting>
  <conditionalFormatting sqref="AG253:AJ255 C257:AJ258">
    <cfRule type="cellIs" dxfId="0" priority="2" operator="between">
      <formula>0.0000001</formula>
      <formula>0.049999</formula>
    </cfRule>
  </conditionalFormatting>
  <hyperlinks>
    <hyperlink ref="A3" location="'NG Transmission Storage'!A29" display="Go to Data for NG Transmission and Storage Emissions Worksheet" xr:uid="{C2B1EBDD-5239-4594-BCCD-E7360D7347BE}"/>
    <hyperlink ref="A45" location="'NG Transmission Storage'!A373" display="Go to FLIGHT Data" xr:uid="{6B461AD1-7688-4B58-AD53-2679E7FCF115}"/>
    <hyperlink ref="A2" location="Contents!A1" display="Return to Contents tab" xr:uid="{07E40388-81DE-4CA6-AE13-D5D094BC2AFF}"/>
  </hyperlinks>
  <pageMargins left="0.7" right="0.7" top="0.75" bottom="0.75" header="0.3" footer="0.3"/>
  <pageSetup scale="19" fitToHeight="0" orientation="landscape" r:id="rId1"/>
  <rowBreaks count="1" manualBreakCount="1">
    <brk id="372" max="32" man="1"/>
  </rowBreaks>
  <drawing r:id="rId2"/>
  <tableParts count="47">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AJ66"/>
  <sheetViews>
    <sheetView zoomScaleNormal="100" workbookViewId="0">
      <pane xSplit="1" topLeftCell="B1" activePane="topRight" state="frozen"/>
      <selection pane="topRight"/>
    </sheetView>
  </sheetViews>
  <sheetFormatPr defaultColWidth="8.81640625" defaultRowHeight="16" x14ac:dyDescent="0.4"/>
  <cols>
    <col min="1" max="1" width="52.81640625" style="3" customWidth="1"/>
    <col min="2" max="2" width="15.26953125" style="3" customWidth="1"/>
    <col min="3" max="3" width="14.1796875" style="3" customWidth="1"/>
    <col min="4" max="4" width="15.26953125" style="3" customWidth="1"/>
    <col min="5" max="37" width="14.1796875" style="3" customWidth="1"/>
    <col min="38" max="16384" width="8.81640625" style="3"/>
  </cols>
  <sheetData>
    <row r="1" spans="1:11" ht="18.5" x14ac:dyDescent="0.45">
      <c r="A1" s="115" t="s">
        <v>201</v>
      </c>
      <c r="B1" s="28"/>
      <c r="C1" s="28"/>
      <c r="D1" s="28"/>
      <c r="E1" s="28"/>
      <c r="F1" s="28"/>
      <c r="G1" s="28"/>
      <c r="H1" s="28"/>
      <c r="I1" s="28"/>
      <c r="J1" s="28"/>
      <c r="K1" s="28"/>
    </row>
    <row r="2" spans="1:11" x14ac:dyDescent="0.4">
      <c r="A2" s="1011" t="s">
        <v>730</v>
      </c>
      <c r="B2" s="28"/>
      <c r="C2" s="28"/>
      <c r="D2" s="28"/>
      <c r="E2" s="28"/>
      <c r="F2" s="28"/>
      <c r="G2" s="28"/>
      <c r="H2" s="28"/>
      <c r="I2" s="28"/>
      <c r="J2" s="28"/>
      <c r="K2" s="28"/>
    </row>
    <row r="3" spans="1:11" x14ac:dyDescent="0.4">
      <c r="A3" s="1265" t="s">
        <v>903</v>
      </c>
      <c r="B3" s="28"/>
      <c r="C3" s="28"/>
      <c r="D3" s="28"/>
      <c r="E3" s="28"/>
      <c r="F3" s="28"/>
      <c r="G3" s="28"/>
      <c r="H3" s="28"/>
      <c r="I3" s="28"/>
      <c r="J3" s="28"/>
      <c r="K3" s="28"/>
    </row>
    <row r="4" spans="1:11" x14ac:dyDescent="0.4">
      <c r="A4" s="1011"/>
      <c r="B4" s="28"/>
      <c r="C4" s="28"/>
      <c r="D4" s="28"/>
      <c r="E4" s="28"/>
      <c r="F4" s="28"/>
      <c r="G4" s="28"/>
      <c r="H4" s="28"/>
      <c r="I4" s="28"/>
      <c r="J4" s="28"/>
      <c r="K4" s="28"/>
    </row>
    <row r="5" spans="1:11" x14ac:dyDescent="0.4">
      <c r="A5" s="108" t="s">
        <v>1621</v>
      </c>
      <c r="B5" s="28"/>
      <c r="C5" s="28"/>
      <c r="D5" s="28"/>
      <c r="E5" s="28"/>
      <c r="F5" s="28"/>
      <c r="G5" s="28"/>
      <c r="H5" s="28"/>
      <c r="I5" s="28"/>
      <c r="J5" s="28"/>
      <c r="K5" s="28"/>
    </row>
    <row r="6" spans="1:11" ht="17" x14ac:dyDescent="0.45">
      <c r="A6" s="1403" t="s">
        <v>1584</v>
      </c>
      <c r="B6" s="28"/>
      <c r="C6" s="28"/>
      <c r="D6" s="28"/>
      <c r="E6" s="28"/>
      <c r="F6" s="28"/>
      <c r="G6" s="28"/>
      <c r="H6" s="28"/>
      <c r="I6" s="28"/>
      <c r="J6" s="28"/>
      <c r="K6" s="28"/>
    </row>
    <row r="7" spans="1:11" ht="17" x14ac:dyDescent="0.45">
      <c r="A7" s="1366" t="s">
        <v>1196</v>
      </c>
      <c r="B7" s="28"/>
      <c r="C7" s="28"/>
      <c r="D7" s="28"/>
      <c r="E7" s="28"/>
      <c r="F7" s="28"/>
      <c r="G7" s="28"/>
      <c r="H7" s="28"/>
      <c r="I7" s="28"/>
      <c r="J7" s="28"/>
      <c r="K7" s="28"/>
    </row>
    <row r="8" spans="1:11" ht="17" x14ac:dyDescent="0.45">
      <c r="A8" s="1298" t="s">
        <v>1022</v>
      </c>
      <c r="B8" s="28"/>
      <c r="C8" s="28"/>
      <c r="D8" s="28"/>
      <c r="E8" s="28"/>
      <c r="F8" s="28"/>
      <c r="G8" s="28"/>
      <c r="H8" s="28"/>
      <c r="I8" s="28"/>
      <c r="J8" s="28"/>
      <c r="K8" s="28"/>
    </row>
    <row r="9" spans="1:11" x14ac:dyDescent="0.4">
      <c r="A9" s="261" t="s">
        <v>919</v>
      </c>
      <c r="B9" s="28"/>
      <c r="C9" s="28"/>
      <c r="D9" s="28"/>
      <c r="E9" s="28"/>
      <c r="F9" s="28"/>
      <c r="G9" s="28"/>
      <c r="H9" s="28"/>
      <c r="I9" s="28"/>
      <c r="J9" s="28"/>
      <c r="K9" s="28"/>
    </row>
    <row r="10" spans="1:11" x14ac:dyDescent="0.4">
      <c r="B10" s="28"/>
      <c r="C10" s="28"/>
      <c r="D10" s="28"/>
      <c r="E10" s="28"/>
      <c r="F10" s="28"/>
      <c r="G10" s="28"/>
      <c r="H10" s="28"/>
      <c r="I10" s="28"/>
      <c r="J10" s="28"/>
      <c r="K10" s="28"/>
    </row>
    <row r="11" spans="1:11" x14ac:dyDescent="0.4">
      <c r="B11" s="28"/>
      <c r="C11" s="28"/>
      <c r="D11" s="28"/>
      <c r="E11" s="28"/>
      <c r="F11" s="28"/>
      <c r="G11" s="28"/>
      <c r="H11" s="28"/>
      <c r="I11" s="28"/>
      <c r="J11" s="28"/>
      <c r="K11" s="28"/>
    </row>
    <row r="12" spans="1:11" x14ac:dyDescent="0.4">
      <c r="B12" s="28"/>
      <c r="C12" s="28"/>
      <c r="D12" s="28"/>
      <c r="E12" s="28"/>
      <c r="F12" s="28"/>
      <c r="G12" s="28"/>
      <c r="H12" s="28"/>
      <c r="I12" s="28"/>
      <c r="J12" s="28"/>
      <c r="K12" s="28"/>
    </row>
    <row r="13" spans="1:11" x14ac:dyDescent="0.4">
      <c r="B13" s="28"/>
      <c r="C13" s="28"/>
      <c r="D13" s="28"/>
      <c r="E13" s="28"/>
      <c r="F13" s="28"/>
      <c r="G13" s="28"/>
      <c r="H13" s="28"/>
      <c r="I13" s="28"/>
      <c r="J13" s="28"/>
      <c r="K13" s="28"/>
    </row>
    <row r="14" spans="1:11" x14ac:dyDescent="0.4">
      <c r="B14" s="28"/>
      <c r="C14" s="28"/>
      <c r="D14" s="28"/>
      <c r="E14" s="28"/>
      <c r="F14" s="28"/>
      <c r="G14" s="28"/>
      <c r="H14" s="28"/>
      <c r="I14" s="28"/>
      <c r="J14" s="28"/>
      <c r="K14" s="28"/>
    </row>
    <row r="15" spans="1:11" x14ac:dyDescent="0.4">
      <c r="B15" s="28"/>
      <c r="C15" s="28"/>
      <c r="D15" s="28"/>
      <c r="E15" s="28"/>
      <c r="F15" s="28"/>
      <c r="G15" s="28"/>
      <c r="H15" s="28"/>
      <c r="I15" s="28"/>
      <c r="J15" s="28"/>
      <c r="K15" s="28"/>
    </row>
    <row r="16" spans="1:11" x14ac:dyDescent="0.4">
      <c r="B16" s="28"/>
      <c r="C16" s="28"/>
      <c r="D16" s="28"/>
      <c r="E16" s="28"/>
      <c r="F16" s="28"/>
      <c r="G16" s="28"/>
      <c r="H16" s="28"/>
      <c r="I16" s="28"/>
      <c r="J16" s="28"/>
      <c r="K16" s="28"/>
    </row>
    <row r="17" spans="1:11" x14ac:dyDescent="0.4">
      <c r="B17" s="28"/>
      <c r="C17" s="28"/>
      <c r="D17" s="28"/>
      <c r="E17" s="28"/>
      <c r="F17" s="28"/>
      <c r="G17" s="28"/>
      <c r="H17" s="28"/>
      <c r="I17" s="28"/>
      <c r="J17" s="28"/>
      <c r="K17" s="28"/>
    </row>
    <row r="18" spans="1:11" x14ac:dyDescent="0.4">
      <c r="B18" s="28"/>
      <c r="C18" s="28"/>
      <c r="D18" s="28"/>
      <c r="E18" s="28"/>
      <c r="F18" s="28"/>
      <c r="G18" s="28"/>
      <c r="H18" s="28"/>
      <c r="I18" s="28"/>
      <c r="J18" s="28"/>
      <c r="K18" s="28"/>
    </row>
    <row r="19" spans="1:11" x14ac:dyDescent="0.4">
      <c r="B19" s="28"/>
      <c r="C19" s="28"/>
      <c r="D19" s="28"/>
      <c r="E19" s="28"/>
      <c r="F19" s="28"/>
      <c r="G19" s="28"/>
      <c r="H19" s="28"/>
      <c r="I19" s="28"/>
      <c r="J19" s="28"/>
      <c r="K19" s="28"/>
    </row>
    <row r="20" spans="1:11" x14ac:dyDescent="0.4">
      <c r="B20" s="28"/>
      <c r="C20" s="28"/>
      <c r="D20" s="28"/>
      <c r="E20" s="28"/>
      <c r="F20" s="28"/>
      <c r="G20" s="28"/>
      <c r="H20" s="28"/>
      <c r="I20" s="28"/>
      <c r="J20" s="28"/>
      <c r="K20" s="28"/>
    </row>
    <row r="21" spans="1:11" x14ac:dyDescent="0.4">
      <c r="B21" s="28"/>
      <c r="C21" s="28"/>
      <c r="D21" s="28"/>
      <c r="E21" s="28"/>
      <c r="F21" s="28"/>
      <c r="G21" s="28"/>
      <c r="H21" s="28"/>
      <c r="I21" s="28"/>
      <c r="J21" s="28"/>
      <c r="K21" s="28"/>
    </row>
    <row r="22" spans="1:11" x14ac:dyDescent="0.4">
      <c r="B22" s="28"/>
      <c r="C22" s="28"/>
      <c r="D22" s="28"/>
      <c r="E22" s="28"/>
      <c r="F22" s="28"/>
      <c r="G22" s="28"/>
      <c r="H22" s="28"/>
      <c r="I22" s="28"/>
      <c r="J22" s="28"/>
      <c r="K22" s="28"/>
    </row>
    <row r="23" spans="1:11" x14ac:dyDescent="0.4">
      <c r="B23" s="28"/>
      <c r="C23" s="28"/>
      <c r="D23" s="28"/>
      <c r="E23" s="28"/>
      <c r="F23" s="28"/>
      <c r="G23" s="28"/>
      <c r="H23" s="28"/>
      <c r="I23" s="28"/>
      <c r="J23" s="28"/>
      <c r="K23" s="28"/>
    </row>
    <row r="24" spans="1:11" x14ac:dyDescent="0.4">
      <c r="B24" s="28"/>
      <c r="C24" s="28"/>
      <c r="D24" s="28"/>
      <c r="E24" s="28"/>
      <c r="F24" s="28"/>
      <c r="G24" s="28"/>
      <c r="H24" s="28"/>
      <c r="I24" s="28"/>
      <c r="J24" s="28"/>
      <c r="K24" s="28"/>
    </row>
    <row r="25" spans="1:11" x14ac:dyDescent="0.4">
      <c r="B25" s="28"/>
      <c r="C25" s="28"/>
      <c r="D25" s="28"/>
      <c r="E25" s="28"/>
      <c r="F25" s="28"/>
      <c r="G25" s="28"/>
      <c r="H25" s="28"/>
      <c r="I25" s="28"/>
      <c r="J25" s="28"/>
      <c r="K25" s="28"/>
    </row>
    <row r="26" spans="1:11" x14ac:dyDescent="0.4">
      <c r="B26" s="28"/>
      <c r="C26" s="28"/>
      <c r="D26" s="28"/>
      <c r="E26" s="28"/>
      <c r="F26" s="28"/>
      <c r="G26" s="28"/>
      <c r="H26" s="28"/>
      <c r="I26" s="28"/>
      <c r="J26" s="28"/>
      <c r="K26" s="28"/>
    </row>
    <row r="27" spans="1:11" x14ac:dyDescent="0.4">
      <c r="B27" s="28"/>
      <c r="C27" s="28"/>
      <c r="D27" s="28"/>
      <c r="E27" s="28"/>
      <c r="F27" s="28"/>
      <c r="G27" s="28"/>
      <c r="H27" s="28"/>
      <c r="I27" s="28"/>
      <c r="J27" s="28"/>
      <c r="K27" s="28"/>
    </row>
    <row r="28" spans="1:11" x14ac:dyDescent="0.4">
      <c r="B28" s="28"/>
      <c r="C28" s="28"/>
      <c r="D28" s="28"/>
      <c r="E28" s="28"/>
      <c r="F28" s="28"/>
      <c r="G28" s="28"/>
      <c r="H28" s="28"/>
      <c r="I28" s="28"/>
      <c r="J28" s="28"/>
      <c r="K28" s="28"/>
    </row>
    <row r="29" spans="1:11" x14ac:dyDescent="0.4">
      <c r="B29" s="28"/>
      <c r="C29" s="28"/>
      <c r="D29" s="28"/>
      <c r="E29" s="28"/>
      <c r="F29" s="28"/>
      <c r="G29" s="28"/>
      <c r="H29" s="28"/>
      <c r="I29" s="28"/>
      <c r="J29" s="28"/>
      <c r="K29" s="28"/>
    </row>
    <row r="30" spans="1:11" x14ac:dyDescent="0.4">
      <c r="B30" s="28"/>
      <c r="C30" s="28"/>
      <c r="D30" s="28"/>
      <c r="E30" s="28"/>
      <c r="F30" s="28"/>
      <c r="G30" s="28"/>
      <c r="H30" s="28"/>
      <c r="I30" s="28"/>
      <c r="J30" s="28"/>
      <c r="K30" s="28"/>
    </row>
    <row r="31" spans="1:11" x14ac:dyDescent="0.4">
      <c r="A31" s="108" t="s">
        <v>1078</v>
      </c>
      <c r="B31" s="28"/>
      <c r="C31" s="28"/>
      <c r="D31" s="28"/>
      <c r="E31" s="28"/>
      <c r="F31" s="28"/>
      <c r="G31" s="28"/>
      <c r="H31" s="28"/>
      <c r="I31" s="28"/>
      <c r="J31" s="28"/>
      <c r="K31" s="28"/>
    </row>
    <row r="32" spans="1:11" x14ac:dyDescent="0.4">
      <c r="A32" s="1175" t="s">
        <v>912</v>
      </c>
      <c r="B32" s="1174" t="s">
        <v>676</v>
      </c>
      <c r="C32" s="1174" t="s">
        <v>673</v>
      </c>
      <c r="D32" s="1174" t="s">
        <v>888</v>
      </c>
      <c r="E32" s="28"/>
      <c r="F32" s="28"/>
      <c r="G32" s="28"/>
      <c r="H32" s="28"/>
      <c r="I32" s="28"/>
      <c r="J32" s="28"/>
      <c r="K32" s="28"/>
    </row>
    <row r="33" spans="1:36" x14ac:dyDescent="0.4">
      <c r="A33" s="1004">
        <v>1990</v>
      </c>
      <c r="B33" s="1005" t="s">
        <v>702</v>
      </c>
      <c r="C33" s="1313" t="s">
        <v>1052</v>
      </c>
      <c r="D33" s="1061">
        <v>44916</v>
      </c>
      <c r="E33" s="28"/>
      <c r="F33" s="28"/>
      <c r="G33" s="28"/>
      <c r="H33" s="28"/>
      <c r="I33" s="28"/>
      <c r="J33" s="28"/>
      <c r="K33" s="28"/>
    </row>
    <row r="34" spans="1:36" x14ac:dyDescent="0.4">
      <c r="A34" s="1003" t="s">
        <v>675</v>
      </c>
      <c r="B34" s="1006" t="s">
        <v>674</v>
      </c>
      <c r="C34" s="1006" t="s">
        <v>672</v>
      </c>
      <c r="D34" s="1007">
        <v>46050</v>
      </c>
      <c r="E34" s="28"/>
      <c r="F34" s="28"/>
      <c r="G34" s="28"/>
      <c r="H34" s="28"/>
      <c r="I34" s="28"/>
      <c r="J34" s="28"/>
      <c r="K34" s="28"/>
    </row>
    <row r="35" spans="1:36" x14ac:dyDescent="0.4">
      <c r="A35" s="28" t="s">
        <v>1063</v>
      </c>
      <c r="B35" s="86"/>
      <c r="C35" s="86"/>
      <c r="D35" s="1009"/>
      <c r="E35" s="28"/>
      <c r="F35" s="28"/>
      <c r="G35" s="28"/>
      <c r="H35" s="28"/>
      <c r="I35" s="28"/>
      <c r="J35" s="28"/>
      <c r="K35" s="28"/>
    </row>
    <row r="36" spans="1:36" x14ac:dyDescent="0.4">
      <c r="B36" s="28"/>
      <c r="C36" s="28"/>
      <c r="D36" s="28"/>
      <c r="E36" s="28"/>
      <c r="F36" s="28"/>
      <c r="G36" s="28"/>
      <c r="H36" s="28"/>
      <c r="I36" s="28"/>
      <c r="J36" s="28"/>
      <c r="K36" s="28"/>
    </row>
    <row r="37" spans="1:36" x14ac:dyDescent="0.4">
      <c r="A37" s="512" t="s">
        <v>1070</v>
      </c>
      <c r="B37" s="29"/>
      <c r="C37" s="29"/>
      <c r="D37" s="28"/>
      <c r="E37" s="28"/>
      <c r="F37" s="28"/>
      <c r="G37" s="28"/>
      <c r="H37" s="28"/>
      <c r="I37" s="28"/>
      <c r="J37" s="28"/>
      <c r="K37" s="28"/>
      <c r="U37" s="55"/>
      <c r="V37" s="12"/>
      <c r="W37" s="55"/>
      <c r="X37" s="55"/>
      <c r="Y37" s="12"/>
      <c r="Z37" s="12"/>
      <c r="AA37" s="12"/>
      <c r="AB37" s="12"/>
      <c r="AC37" s="12"/>
      <c r="AE37" s="12"/>
      <c r="AF37" s="12"/>
      <c r="AG37" s="12"/>
      <c r="AH37" s="12"/>
      <c r="AI37" s="12"/>
      <c r="AJ37" s="89"/>
    </row>
    <row r="38" spans="1:36" ht="17.5" thickBot="1" x14ac:dyDescent="0.5">
      <c r="A38" s="510" t="s">
        <v>1264</v>
      </c>
      <c r="B38" s="29"/>
      <c r="C38" s="29"/>
      <c r="D38" s="28"/>
      <c r="E38" s="28"/>
      <c r="F38" s="28"/>
      <c r="G38" s="28"/>
      <c r="H38" s="28"/>
      <c r="I38" s="28"/>
      <c r="J38" s="28"/>
      <c r="K38" s="28"/>
      <c r="U38" s="55"/>
      <c r="V38" s="12"/>
      <c r="W38" s="55"/>
      <c r="X38" s="55"/>
      <c r="Y38" s="12"/>
      <c r="Z38" s="12"/>
      <c r="AA38" s="12"/>
      <c r="AB38" s="12"/>
      <c r="AC38" s="12"/>
      <c r="AE38" s="12"/>
      <c r="AF38" s="12"/>
      <c r="AG38" s="12"/>
      <c r="AH38" s="12"/>
      <c r="AI38" s="12"/>
      <c r="AJ38" s="89"/>
    </row>
    <row r="39" spans="1:36" s="28" customFormat="1" ht="16.5" thickBot="1" x14ac:dyDescent="0.45">
      <c r="A39" s="93" t="s">
        <v>684</v>
      </c>
      <c r="B39" s="977" t="s">
        <v>391</v>
      </c>
      <c r="C39" s="975" t="s">
        <v>392</v>
      </c>
      <c r="D39" s="975" t="s">
        <v>393</v>
      </c>
      <c r="E39" s="975" t="s">
        <v>394</v>
      </c>
      <c r="F39" s="975" t="s">
        <v>395</v>
      </c>
      <c r="G39" s="975" t="s">
        <v>396</v>
      </c>
      <c r="H39" s="975" t="s">
        <v>397</v>
      </c>
      <c r="I39" s="975" t="s">
        <v>398</v>
      </c>
      <c r="J39" s="975" t="s">
        <v>399</v>
      </c>
      <c r="K39" s="975" t="s">
        <v>400</v>
      </c>
      <c r="L39" s="975" t="s">
        <v>401</v>
      </c>
      <c r="M39" s="975" t="s">
        <v>402</v>
      </c>
      <c r="N39" s="975" t="s">
        <v>403</v>
      </c>
      <c r="O39" s="975" t="s">
        <v>404</v>
      </c>
      <c r="P39" s="975" t="s">
        <v>405</v>
      </c>
      <c r="Q39" s="975" t="s">
        <v>406</v>
      </c>
      <c r="R39" s="975" t="s">
        <v>407</v>
      </c>
      <c r="S39" s="975" t="s">
        <v>408</v>
      </c>
      <c r="T39" s="975" t="s">
        <v>409</v>
      </c>
      <c r="U39" s="975" t="s">
        <v>410</v>
      </c>
      <c r="V39" s="975" t="s">
        <v>411</v>
      </c>
      <c r="W39" s="975" t="s">
        <v>412</v>
      </c>
      <c r="X39" s="975" t="s">
        <v>413</v>
      </c>
      <c r="Y39" s="975" t="s">
        <v>414</v>
      </c>
      <c r="Z39" s="975" t="s">
        <v>415</v>
      </c>
      <c r="AA39" s="975" t="s">
        <v>416</v>
      </c>
      <c r="AB39" s="975" t="s">
        <v>417</v>
      </c>
      <c r="AC39" s="975" t="s">
        <v>418</v>
      </c>
      <c r="AD39" s="975" t="s">
        <v>419</v>
      </c>
      <c r="AE39" s="975" t="s">
        <v>420</v>
      </c>
      <c r="AF39" s="975" t="s">
        <v>421</v>
      </c>
      <c r="AG39" s="975" t="s">
        <v>422</v>
      </c>
      <c r="AH39" s="975" t="s">
        <v>423</v>
      </c>
      <c r="AI39" s="975" t="s">
        <v>424</v>
      </c>
      <c r="AJ39" s="230"/>
    </row>
    <row r="40" spans="1:36" x14ac:dyDescent="0.4">
      <c r="A40" s="711" t="s">
        <v>773</v>
      </c>
      <c r="B40" s="712">
        <v>174868.70435586825</v>
      </c>
      <c r="C40" s="712">
        <v>387830.42346037348</v>
      </c>
      <c r="D40" s="712">
        <v>400232.4760552076</v>
      </c>
      <c r="E40" s="712">
        <v>420236.87605212943</v>
      </c>
      <c r="F40" s="712">
        <v>433488.94979623967</v>
      </c>
      <c r="G40" s="712">
        <v>447463.44781835185</v>
      </c>
      <c r="H40" s="712">
        <v>458029.29926775169</v>
      </c>
      <c r="I40" s="712">
        <v>469767.39201575395</v>
      </c>
      <c r="J40" s="712">
        <v>635380.96874096279</v>
      </c>
      <c r="K40" s="712">
        <v>609239.47516959324</v>
      </c>
      <c r="L40" s="712">
        <v>582490.75085347611</v>
      </c>
      <c r="M40" s="712">
        <v>563965.67361901782</v>
      </c>
      <c r="N40" s="712">
        <v>558658.80789417936</v>
      </c>
      <c r="O40" s="712">
        <v>589706.09253057011</v>
      </c>
      <c r="P40" s="712">
        <v>477353.51808103948</v>
      </c>
      <c r="Q40" s="712">
        <v>469620.30387739313</v>
      </c>
      <c r="R40" s="712">
        <v>507405.98296630348</v>
      </c>
      <c r="S40" s="712">
        <v>530837.34118677967</v>
      </c>
      <c r="T40" s="712">
        <v>494425.86019728985</v>
      </c>
      <c r="U40" s="712">
        <v>444211.75763995509</v>
      </c>
      <c r="V40" s="712">
        <v>338213.02954767511</v>
      </c>
      <c r="W40" s="712">
        <v>290170.66105155961</v>
      </c>
      <c r="X40" s="712">
        <v>265248.4656358448</v>
      </c>
      <c r="Y40" s="712">
        <v>286197.65710258018</v>
      </c>
      <c r="Z40" s="712">
        <v>268833.02058368165</v>
      </c>
      <c r="AA40" s="712">
        <v>312560.86558279017</v>
      </c>
      <c r="AB40" s="712">
        <v>294778.02562555013</v>
      </c>
      <c r="AC40" s="712">
        <v>305467.86913245678</v>
      </c>
      <c r="AD40" s="712">
        <v>321451.80707168591</v>
      </c>
      <c r="AE40" s="712">
        <v>284668.73577995924</v>
      </c>
      <c r="AF40" s="712">
        <v>293075.63163437834</v>
      </c>
      <c r="AG40" s="712">
        <v>301712.95462001464</v>
      </c>
      <c r="AH40" s="712">
        <v>290280.17707405728</v>
      </c>
      <c r="AI40" s="712">
        <v>235560.22439996075</v>
      </c>
    </row>
    <row r="41" spans="1:36" x14ac:dyDescent="0.4">
      <c r="A41" s="713" t="s">
        <v>370</v>
      </c>
      <c r="B41" s="714" t="s">
        <v>32</v>
      </c>
      <c r="C41" s="36">
        <v>261.52246039118</v>
      </c>
      <c r="D41" s="36">
        <v>315.38560162600601</v>
      </c>
      <c r="E41" s="36">
        <v>345.90433610386788</v>
      </c>
      <c r="F41" s="36">
        <v>356.51220656793231</v>
      </c>
      <c r="G41" s="36">
        <v>475.595399070913</v>
      </c>
      <c r="H41" s="36">
        <v>526.67188364603157</v>
      </c>
      <c r="I41" s="36">
        <v>650.44417276583806</v>
      </c>
      <c r="J41" s="36">
        <v>735.20995145005884</v>
      </c>
      <c r="K41" s="36">
        <v>476.01249899751787</v>
      </c>
      <c r="L41" s="36">
        <v>520.08998095475692</v>
      </c>
      <c r="M41" s="36">
        <v>377.93819425839473</v>
      </c>
      <c r="N41" s="36">
        <v>442.45515590537661</v>
      </c>
      <c r="O41" s="36">
        <v>465.84976489802187</v>
      </c>
      <c r="P41" s="36">
        <v>558.63333913705162</v>
      </c>
      <c r="Q41" s="36">
        <v>532.64658392411013</v>
      </c>
      <c r="R41" s="36">
        <v>480.9402893643786</v>
      </c>
      <c r="S41" s="36">
        <v>429.45634156407698</v>
      </c>
      <c r="T41" s="36">
        <v>343.97909549457557</v>
      </c>
      <c r="U41" s="36">
        <v>216.99765603324448</v>
      </c>
      <c r="V41" s="36">
        <v>359.9330244974268</v>
      </c>
      <c r="W41" s="36">
        <v>315.23670969949455</v>
      </c>
      <c r="X41" s="36">
        <v>262.47688817560561</v>
      </c>
      <c r="Y41" s="36">
        <v>305.97682678464923</v>
      </c>
      <c r="Z41" s="36">
        <v>319.59791681451179</v>
      </c>
      <c r="AA41" s="36">
        <v>345.51837615724571</v>
      </c>
      <c r="AB41" s="36">
        <v>318.47709928279073</v>
      </c>
      <c r="AC41" s="36">
        <v>365.14330077132809</v>
      </c>
      <c r="AD41" s="36">
        <v>375.8065030771769</v>
      </c>
      <c r="AE41" s="36">
        <v>339.77049186541092</v>
      </c>
      <c r="AF41" s="36">
        <v>254.60450929473353</v>
      </c>
      <c r="AG41" s="36">
        <v>330.3981273866076</v>
      </c>
      <c r="AH41" s="36">
        <v>433.3890918087871</v>
      </c>
      <c r="AI41" s="36">
        <v>323.19215000957888</v>
      </c>
    </row>
    <row r="42" spans="1:36" x14ac:dyDescent="0.4">
      <c r="A42" s="713" t="s">
        <v>371</v>
      </c>
      <c r="B42" s="715">
        <v>341.6882119205298</v>
      </c>
      <c r="C42" s="36">
        <v>82029.996387827705</v>
      </c>
      <c r="D42" s="36">
        <v>89417.847648190465</v>
      </c>
      <c r="E42" s="36">
        <v>104927.70098789291</v>
      </c>
      <c r="F42" s="36">
        <v>97395.431973576531</v>
      </c>
      <c r="G42" s="36">
        <v>96668.209825003927</v>
      </c>
      <c r="H42" s="36">
        <v>87216.860044058601</v>
      </c>
      <c r="I42" s="36">
        <v>88443.609254839321</v>
      </c>
      <c r="J42" s="36">
        <v>108507.7820598075</v>
      </c>
      <c r="K42" s="36">
        <v>103726.9476377497</v>
      </c>
      <c r="L42" s="36">
        <v>93976.426987167477</v>
      </c>
      <c r="M42" s="36">
        <v>90082.998232882019</v>
      </c>
      <c r="N42" s="36">
        <v>81357.754381845385</v>
      </c>
      <c r="O42" s="36">
        <v>77632.958728220299</v>
      </c>
      <c r="P42" s="36">
        <v>79294.930934626711</v>
      </c>
      <c r="Q42" s="36">
        <v>78039.531137201877</v>
      </c>
      <c r="R42" s="36">
        <v>74552.444239043863</v>
      </c>
      <c r="S42" s="36">
        <v>104108.2888646176</v>
      </c>
      <c r="T42" s="36">
        <v>85306.807443044876</v>
      </c>
      <c r="U42" s="36">
        <v>71844.130828364709</v>
      </c>
      <c r="V42" s="36">
        <v>99095.070645107364</v>
      </c>
      <c r="W42" s="36">
        <v>106725.92436883111</v>
      </c>
      <c r="X42" s="36">
        <v>101039.30875422299</v>
      </c>
      <c r="Y42" s="36">
        <v>95605.603697462677</v>
      </c>
      <c r="Z42" s="36">
        <v>37965.401284465683</v>
      </c>
      <c r="AA42" s="36">
        <v>96887.185225966081</v>
      </c>
      <c r="AB42" s="36">
        <v>110523.1597368934</v>
      </c>
      <c r="AC42" s="36">
        <v>108857.8237977621</v>
      </c>
      <c r="AD42" s="36">
        <v>128476.36836580539</v>
      </c>
      <c r="AE42" s="36">
        <v>129512.71234612791</v>
      </c>
      <c r="AF42" s="36">
        <v>123290.5694968148</v>
      </c>
      <c r="AG42" s="36">
        <v>140060.8192231064</v>
      </c>
      <c r="AH42" s="36">
        <v>113253.97221699941</v>
      </c>
      <c r="AI42" s="36">
        <v>112188.87658848161</v>
      </c>
    </row>
    <row r="43" spans="1:36" x14ac:dyDescent="0.4">
      <c r="A43" s="713" t="s">
        <v>372</v>
      </c>
      <c r="B43" s="714" t="s">
        <v>32</v>
      </c>
      <c r="C43" s="36">
        <v>34655.123694240101</v>
      </c>
      <c r="D43" s="36">
        <v>35031.003456805345</v>
      </c>
      <c r="E43" s="36">
        <v>34976.39686729914</v>
      </c>
      <c r="F43" s="36">
        <v>36067.490027120577</v>
      </c>
      <c r="G43" s="36">
        <v>34312.818345198124</v>
      </c>
      <c r="H43" s="36">
        <v>33808.455415071723</v>
      </c>
      <c r="I43" s="36">
        <v>35257.300579057752</v>
      </c>
      <c r="J43" s="36">
        <v>34638.234010570115</v>
      </c>
      <c r="K43" s="36">
        <v>33361.133419561156</v>
      </c>
      <c r="L43" s="36">
        <v>29577.415320948203</v>
      </c>
      <c r="M43" s="36">
        <v>27819.408006333739</v>
      </c>
      <c r="N43" s="36">
        <v>27013.45158652851</v>
      </c>
      <c r="O43" s="36">
        <v>25936.671407292939</v>
      </c>
      <c r="P43" s="36">
        <v>25491.865973263863</v>
      </c>
      <c r="Q43" s="36">
        <v>24512.10508803773</v>
      </c>
      <c r="R43" s="36">
        <v>23982.435457875959</v>
      </c>
      <c r="S43" s="36">
        <v>23032.193003167231</v>
      </c>
      <c r="T43" s="36">
        <v>21408.086708382958</v>
      </c>
      <c r="U43" s="36">
        <v>18417.29849320283</v>
      </c>
      <c r="V43" s="36">
        <v>5175.6152998625303</v>
      </c>
      <c r="W43" s="36">
        <v>5762.9727980647122</v>
      </c>
      <c r="X43" s="36">
        <v>6975.2151031248413</v>
      </c>
      <c r="Y43" s="36">
        <v>4564.4316781233802</v>
      </c>
      <c r="Z43" s="36">
        <v>4622.665698771576</v>
      </c>
      <c r="AA43" s="36">
        <v>2724.79816973993</v>
      </c>
      <c r="AB43" s="36">
        <v>3188.1918583732004</v>
      </c>
      <c r="AC43" s="36">
        <v>2659.4483483199174</v>
      </c>
      <c r="AD43" s="36">
        <v>591.65224507270807</v>
      </c>
      <c r="AE43" s="36">
        <v>0</v>
      </c>
      <c r="AF43" s="36">
        <v>0</v>
      </c>
      <c r="AG43" s="36">
        <v>0</v>
      </c>
      <c r="AH43" s="36">
        <v>0</v>
      </c>
      <c r="AI43" s="36">
        <v>0</v>
      </c>
    </row>
    <row r="44" spans="1:36" x14ac:dyDescent="0.4">
      <c r="A44" s="713" t="s">
        <v>373</v>
      </c>
      <c r="B44" s="721">
        <v>82392.643372833394</v>
      </c>
      <c r="C44" s="36">
        <v>201265.7109353847</v>
      </c>
      <c r="D44" s="36">
        <v>207783.06297122411</v>
      </c>
      <c r="E44" s="36">
        <v>215335.23141504772</v>
      </c>
      <c r="F44" s="36">
        <v>229403.2217941948</v>
      </c>
      <c r="G44" s="36">
        <v>248061.46215153241</v>
      </c>
      <c r="H44" s="36">
        <v>259171.42637931951</v>
      </c>
      <c r="I44" s="36">
        <v>268517.07138673856</v>
      </c>
      <c r="J44" s="36">
        <v>413664.03877111763</v>
      </c>
      <c r="K44" s="36">
        <v>399378.89695209323</v>
      </c>
      <c r="L44" s="36">
        <v>399201.89652564045</v>
      </c>
      <c r="M44" s="36">
        <v>398643.6663706628</v>
      </c>
      <c r="N44" s="36">
        <v>398210.28059220989</v>
      </c>
      <c r="O44" s="36">
        <v>433559.833345333</v>
      </c>
      <c r="P44" s="36">
        <v>314488.78511348699</v>
      </c>
      <c r="Q44" s="36">
        <v>302724.04805068596</v>
      </c>
      <c r="R44" s="36">
        <v>327819.62800600938</v>
      </c>
      <c r="S44" s="36">
        <v>324175.82119400363</v>
      </c>
      <c r="T44" s="36">
        <v>315909.75783888745</v>
      </c>
      <c r="U44" s="36">
        <v>274693.92435560969</v>
      </c>
      <c r="V44" s="36">
        <v>81665.019282391702</v>
      </c>
      <c r="W44" s="36">
        <v>78016.875865913782</v>
      </c>
      <c r="X44" s="36">
        <v>61966.894863477515</v>
      </c>
      <c r="Y44" s="36">
        <v>55204.848699865164</v>
      </c>
      <c r="Z44" s="36">
        <v>47044.960682315512</v>
      </c>
      <c r="AA44" s="36">
        <v>54228.147840074918</v>
      </c>
      <c r="AB44" s="36">
        <v>61649.458373916867</v>
      </c>
      <c r="AC44" s="36">
        <v>68204.885388972325</v>
      </c>
      <c r="AD44" s="36">
        <v>82641.052379849833</v>
      </c>
      <c r="AE44" s="36">
        <v>57568.929793527874</v>
      </c>
      <c r="AF44" s="36">
        <v>62808.413285814408</v>
      </c>
      <c r="AG44" s="36">
        <v>56876.741058249914</v>
      </c>
      <c r="AH44" s="36">
        <v>63283.479530858138</v>
      </c>
      <c r="AI44" s="36">
        <v>30871.429582393102</v>
      </c>
    </row>
    <row r="45" spans="1:36" x14ac:dyDescent="0.4">
      <c r="A45" s="1185" t="s">
        <v>771</v>
      </c>
      <c r="B45" s="715">
        <f>26774.2912500643+65360.0815210501</f>
        <v>92134.372771114402</v>
      </c>
      <c r="C45" s="36">
        <v>35190.970930034731</v>
      </c>
      <c r="D45" s="36">
        <v>33822.684807318954</v>
      </c>
      <c r="E45" s="36">
        <v>30890.151003768267</v>
      </c>
      <c r="F45" s="36">
        <v>36574.112063358101</v>
      </c>
      <c r="G45" s="36">
        <v>34374.438612063204</v>
      </c>
      <c r="H45" s="36">
        <v>43721.270799699749</v>
      </c>
      <c r="I45" s="36">
        <v>43501.078054792997</v>
      </c>
      <c r="J45" s="36">
        <v>44644.075202834909</v>
      </c>
      <c r="K45" s="36">
        <v>39287.562162090275</v>
      </c>
      <c r="L45" s="36">
        <v>26370.796163621486</v>
      </c>
      <c r="M45" s="36">
        <v>27258.30789375192</v>
      </c>
      <c r="N45" s="36">
        <v>28587.19170473982</v>
      </c>
      <c r="O45" s="36">
        <v>22305.264018725713</v>
      </c>
      <c r="P45" s="36">
        <v>30304.831908386557</v>
      </c>
      <c r="Q45" s="36">
        <v>34412.845268842757</v>
      </c>
      <c r="R45" s="36">
        <v>43294.867021606886</v>
      </c>
      <c r="S45" s="36">
        <v>38589.916013323586</v>
      </c>
      <c r="T45" s="36">
        <v>32943.704940824944</v>
      </c>
      <c r="U45" s="36">
        <v>41377.725583198328</v>
      </c>
      <c r="V45" s="36">
        <v>46710.298398217361</v>
      </c>
      <c r="W45" s="36">
        <v>42163.806201000545</v>
      </c>
      <c r="X45" s="36">
        <v>38386.162570611879</v>
      </c>
      <c r="Y45" s="36">
        <v>46165.031633330873</v>
      </c>
      <c r="Z45" s="36">
        <v>52197.52144615673</v>
      </c>
      <c r="AA45" s="36">
        <v>50016.005310309127</v>
      </c>
      <c r="AB45" s="36">
        <v>45772.158604759003</v>
      </c>
      <c r="AC45" s="36">
        <v>41941.140545530834</v>
      </c>
      <c r="AD45" s="36">
        <v>31714.012889089106</v>
      </c>
      <c r="AE45" s="36">
        <v>36212.842678230569</v>
      </c>
      <c r="AF45" s="36">
        <v>36433.228350446341</v>
      </c>
      <c r="AG45" s="36">
        <v>34943.476896822314</v>
      </c>
      <c r="AH45" s="36">
        <v>42437.296121922125</v>
      </c>
      <c r="AI45" s="36">
        <v>28944.547716213921</v>
      </c>
    </row>
    <row r="46" spans="1:36" x14ac:dyDescent="0.4">
      <c r="A46" s="1185" t="s">
        <v>772</v>
      </c>
      <c r="B46" s="714" t="s">
        <v>32</v>
      </c>
      <c r="C46" s="36">
        <v>34426.581013864379</v>
      </c>
      <c r="D46" s="36">
        <v>33861.779984933644</v>
      </c>
      <c r="E46" s="36">
        <v>33760.579161435802</v>
      </c>
      <c r="F46" s="36">
        <v>33691.062908028325</v>
      </c>
      <c r="G46" s="36">
        <v>33568.131059311134</v>
      </c>
      <c r="H46" s="36">
        <v>33579.279241929326</v>
      </c>
      <c r="I46" s="36">
        <v>33389.927363087474</v>
      </c>
      <c r="J46" s="36">
        <v>33180.955865859665</v>
      </c>
      <c r="K46" s="36">
        <v>32995.084543155259</v>
      </c>
      <c r="L46" s="36">
        <v>32829.071020142401</v>
      </c>
      <c r="M46" s="36">
        <v>19767.586486521028</v>
      </c>
      <c r="N46" s="36">
        <v>23027.281621299549</v>
      </c>
      <c r="O46" s="36">
        <v>29779.87184394733</v>
      </c>
      <c r="P46" s="36">
        <v>27187.50112822017</v>
      </c>
      <c r="Q46" s="36">
        <v>29370.83025174704</v>
      </c>
      <c r="R46" s="36">
        <v>37245.946305409583</v>
      </c>
      <c r="S46" s="36">
        <v>40470.413421571699</v>
      </c>
      <c r="T46" s="36">
        <v>38480.612012607467</v>
      </c>
      <c r="U46" s="36">
        <v>37625.509518173101</v>
      </c>
      <c r="V46" s="36">
        <v>105167.0108843982</v>
      </c>
      <c r="W46" s="36">
        <v>57143.129184227953</v>
      </c>
      <c r="X46" s="36">
        <v>56573.632164428564</v>
      </c>
      <c r="Y46" s="36">
        <v>84304.501404813665</v>
      </c>
      <c r="Z46" s="36">
        <v>126632.81845437421</v>
      </c>
      <c r="AA46" s="36">
        <v>108306.45369978089</v>
      </c>
      <c r="AB46" s="36">
        <v>73270.160884060417</v>
      </c>
      <c r="AC46" s="36">
        <v>83379.328361711465</v>
      </c>
      <c r="AD46" s="36">
        <v>77588.45401998458</v>
      </c>
      <c r="AE46" s="36">
        <v>60965.851317112734</v>
      </c>
      <c r="AF46" s="36">
        <v>70215.384502929621</v>
      </c>
      <c r="AG46" s="36">
        <v>69423.710188973564</v>
      </c>
      <c r="AH46" s="36">
        <v>70789.708821074862</v>
      </c>
      <c r="AI46" s="36">
        <v>63144.821681312591</v>
      </c>
    </row>
    <row r="47" spans="1:36" x14ac:dyDescent="0.4">
      <c r="A47" s="713" t="s">
        <v>374</v>
      </c>
      <c r="B47" s="714" t="s">
        <v>32</v>
      </c>
      <c r="C47" s="36">
        <v>0.51803863066828093</v>
      </c>
      <c r="D47" s="36">
        <v>0.71158510904340921</v>
      </c>
      <c r="E47" s="36">
        <v>0.91228058173099758</v>
      </c>
      <c r="F47" s="36">
        <v>1.118823393427151</v>
      </c>
      <c r="G47" s="36">
        <v>2.7924261721667163</v>
      </c>
      <c r="H47" s="36">
        <v>5.3355040268250411</v>
      </c>
      <c r="I47" s="36">
        <v>7.9612044720175055</v>
      </c>
      <c r="J47" s="36">
        <v>10.672879323025185</v>
      </c>
      <c r="K47" s="36">
        <v>13.83795594611902</v>
      </c>
      <c r="L47" s="36">
        <v>15.054855001445755</v>
      </c>
      <c r="M47" s="36">
        <v>15.768434607936294</v>
      </c>
      <c r="N47" s="36">
        <v>20.392851650807557</v>
      </c>
      <c r="O47" s="36">
        <v>25.643422152837012</v>
      </c>
      <c r="P47" s="36">
        <v>26.969683918118172</v>
      </c>
      <c r="Q47" s="36">
        <v>28.297496953668738</v>
      </c>
      <c r="R47" s="36">
        <v>29.721646993464208</v>
      </c>
      <c r="S47" s="36">
        <v>31.252348532002351</v>
      </c>
      <c r="T47" s="36">
        <v>32.912158047584199</v>
      </c>
      <c r="U47" s="36">
        <v>36.171205373197488</v>
      </c>
      <c r="V47" s="36">
        <v>40.082013200550939</v>
      </c>
      <c r="W47" s="36">
        <v>42.715923821992803</v>
      </c>
      <c r="X47" s="36">
        <v>44.77529180340639</v>
      </c>
      <c r="Y47" s="36">
        <v>47.263162199709598</v>
      </c>
      <c r="Z47" s="36">
        <v>50.055100783399133</v>
      </c>
      <c r="AA47" s="36">
        <v>52.756960761997597</v>
      </c>
      <c r="AB47" s="36">
        <v>56.419068264401588</v>
      </c>
      <c r="AC47" s="36">
        <v>60.099389388821528</v>
      </c>
      <c r="AD47" s="36">
        <v>64.460668807133089</v>
      </c>
      <c r="AE47" s="36">
        <v>68.629153094809979</v>
      </c>
      <c r="AF47" s="36">
        <v>73.431489078418878</v>
      </c>
      <c r="AG47" s="36">
        <v>77.809125475849527</v>
      </c>
      <c r="AH47" s="36">
        <v>82.331291393967859</v>
      </c>
      <c r="AI47" s="36">
        <v>87.356681549948902</v>
      </c>
    </row>
    <row r="48" spans="1:36" x14ac:dyDescent="0.4">
      <c r="A48" s="127" t="s">
        <v>774</v>
      </c>
      <c r="B48" s="716">
        <v>0</v>
      </c>
      <c r="C48" s="712">
        <v>86512.066184279567</v>
      </c>
      <c r="D48" s="712">
        <v>80639.996051633861</v>
      </c>
      <c r="E48" s="712">
        <v>91013.398689123205</v>
      </c>
      <c r="F48" s="712">
        <v>90524.850533941586</v>
      </c>
      <c r="G48" s="712">
        <v>90370.120970871925</v>
      </c>
      <c r="H48" s="712">
        <v>89982.645152109675</v>
      </c>
      <c r="I48" s="712">
        <v>95513.070611131916</v>
      </c>
      <c r="J48" s="712">
        <v>94944.275337907457</v>
      </c>
      <c r="K48" s="712">
        <v>94790.054715288032</v>
      </c>
      <c r="L48" s="712">
        <v>94716.149389234663</v>
      </c>
      <c r="M48" s="712">
        <v>93766.316156895875</v>
      </c>
      <c r="N48" s="712">
        <v>83944.724303466995</v>
      </c>
      <c r="O48" s="712">
        <v>83705.193644816565</v>
      </c>
      <c r="P48" s="712">
        <v>83153.673656456944</v>
      </c>
      <c r="Q48" s="712">
        <v>82692.353909666461</v>
      </c>
      <c r="R48" s="712">
        <v>82754.075776202779</v>
      </c>
      <c r="S48" s="712">
        <v>83122.605334381238</v>
      </c>
      <c r="T48" s="712">
        <v>82523.283093433798</v>
      </c>
      <c r="U48" s="712">
        <v>81705.868262835545</v>
      </c>
      <c r="V48" s="712">
        <v>81977.609053125125</v>
      </c>
      <c r="W48" s="712">
        <v>84371.851631650818</v>
      </c>
      <c r="X48" s="712">
        <v>82636.11375995478</v>
      </c>
      <c r="Y48" s="712">
        <v>82039.01986825731</v>
      </c>
      <c r="Z48" s="712">
        <v>83293.330647875788</v>
      </c>
      <c r="AA48" s="712">
        <v>81520.848219758584</v>
      </c>
      <c r="AB48" s="712">
        <v>80781.822645823806</v>
      </c>
      <c r="AC48" s="712">
        <v>80785.013728343634</v>
      </c>
      <c r="AD48" s="712">
        <v>80481.802147618044</v>
      </c>
      <c r="AE48" s="712">
        <v>80037.333602807892</v>
      </c>
      <c r="AF48" s="712">
        <v>79784.790708161629</v>
      </c>
      <c r="AG48" s="712">
        <v>80161.665691486647</v>
      </c>
      <c r="AH48" s="712">
        <v>80341.497769797614</v>
      </c>
      <c r="AI48" s="712">
        <v>80132.215898059585</v>
      </c>
    </row>
    <row r="49" spans="1:36" x14ac:dyDescent="0.4">
      <c r="A49" s="713" t="s">
        <v>376</v>
      </c>
      <c r="B49" s="714" t="s">
        <v>32</v>
      </c>
      <c r="C49" s="717">
        <v>0</v>
      </c>
      <c r="D49" s="717">
        <v>0</v>
      </c>
      <c r="E49" s="717">
        <v>0</v>
      </c>
      <c r="F49" s="717">
        <v>0</v>
      </c>
      <c r="G49" s="717">
        <v>0</v>
      </c>
      <c r="H49" s="717">
        <v>0</v>
      </c>
      <c r="I49" s="717">
        <v>0</v>
      </c>
      <c r="J49" s="717">
        <v>0</v>
      </c>
      <c r="K49" s="717">
        <v>0</v>
      </c>
      <c r="L49" s="717">
        <v>0</v>
      </c>
      <c r="M49" s="717">
        <v>0</v>
      </c>
      <c r="N49" s="717">
        <v>0</v>
      </c>
      <c r="O49" s="717">
        <v>0</v>
      </c>
      <c r="P49" s="717">
        <v>0</v>
      </c>
      <c r="Q49" s="717">
        <v>0</v>
      </c>
      <c r="R49" s="717">
        <v>13.6942725</v>
      </c>
      <c r="S49" s="717">
        <v>38.800438750000005</v>
      </c>
      <c r="T49" s="717">
        <v>112.97774812500001</v>
      </c>
      <c r="U49" s="717">
        <v>330.94491875</v>
      </c>
      <c r="V49" s="717">
        <v>319.54297867967733</v>
      </c>
      <c r="W49" s="717">
        <v>296.59477018371132</v>
      </c>
      <c r="X49" s="717">
        <v>285.1928301133886</v>
      </c>
      <c r="Y49" s="717">
        <v>296.73909853903183</v>
      </c>
      <c r="Z49" s="717">
        <v>262.67031569872967</v>
      </c>
      <c r="AA49" s="717">
        <v>213.6189028698353</v>
      </c>
      <c r="AB49" s="717">
        <v>213.6189028698353</v>
      </c>
      <c r="AC49" s="717">
        <v>296.73909853903183</v>
      </c>
      <c r="AD49" s="717">
        <v>296.73909853903183</v>
      </c>
      <c r="AE49" s="717">
        <v>296.73909853903183</v>
      </c>
      <c r="AF49" s="717">
        <v>57.731342128216305</v>
      </c>
      <c r="AG49" s="717">
        <v>57.731342128216305</v>
      </c>
      <c r="AH49" s="717">
        <v>57.731342128216305</v>
      </c>
      <c r="AI49" s="717">
        <v>57.731342128216305</v>
      </c>
    </row>
    <row r="50" spans="1:36" x14ac:dyDescent="0.4">
      <c r="A50" s="713" t="s">
        <v>377</v>
      </c>
      <c r="B50" s="714" t="s">
        <v>32</v>
      </c>
      <c r="C50" s="717">
        <v>754.52597487585138</v>
      </c>
      <c r="D50" s="717">
        <v>754.52597487585138</v>
      </c>
      <c r="E50" s="717">
        <v>943.15746859481419</v>
      </c>
      <c r="F50" s="717">
        <v>1037.473215454296</v>
      </c>
      <c r="G50" s="717">
        <v>1267.197855289277</v>
      </c>
      <c r="H50" s="717">
        <v>1356.8806149484171</v>
      </c>
      <c r="I50" s="717">
        <v>1668.948891560955</v>
      </c>
      <c r="J50" s="717">
        <v>1506.167183505612</v>
      </c>
      <c r="K50" s="717">
        <v>1746.1505312338711</v>
      </c>
      <c r="L50" s="717">
        <v>2060.2176303225392</v>
      </c>
      <c r="M50" s="717">
        <v>1485.5642613995151</v>
      </c>
      <c r="N50" s="717">
        <v>1480.5395736751179</v>
      </c>
      <c r="O50" s="717">
        <v>1869.0436036673891</v>
      </c>
      <c r="P50" s="717">
        <v>2190.8298713328668</v>
      </c>
      <c r="Q50" s="717">
        <v>2572.9560952134971</v>
      </c>
      <c r="R50" s="717">
        <v>3290.401677500176</v>
      </c>
      <c r="S50" s="717">
        <v>4105.5287194570656</v>
      </c>
      <c r="T50" s="717">
        <v>3704.1575332817329</v>
      </c>
      <c r="U50" s="717">
        <v>2754.0004010620128</v>
      </c>
      <c r="V50" s="717">
        <v>3088.5228978949181</v>
      </c>
      <c r="W50" s="717">
        <v>5488.6582972078804</v>
      </c>
      <c r="X50" s="717">
        <v>3730.0317920799962</v>
      </c>
      <c r="Y50" s="717">
        <v>3050.9162272433368</v>
      </c>
      <c r="Z50" s="717">
        <v>4314.5734901261058</v>
      </c>
      <c r="AA50" s="717">
        <v>2769.6889793065438</v>
      </c>
      <c r="AB50" s="717">
        <v>2233.1259849858438</v>
      </c>
      <c r="AC50" s="717">
        <v>2208.2670220378764</v>
      </c>
      <c r="AD50" s="717">
        <v>2028.5907589273179</v>
      </c>
      <c r="AE50" s="717">
        <v>1831.6374388115441</v>
      </c>
      <c r="AF50" s="717">
        <v>1430.805454977618</v>
      </c>
      <c r="AG50" s="717">
        <v>1989.1083892636841</v>
      </c>
      <c r="AH50" s="717">
        <v>2544.7853430257969</v>
      </c>
      <c r="AI50" s="717">
        <v>2502.6193473154262</v>
      </c>
    </row>
    <row r="51" spans="1:36" ht="17" x14ac:dyDescent="0.45">
      <c r="A51" s="1307" t="s">
        <v>1024</v>
      </c>
      <c r="B51" s="714" t="s">
        <v>32</v>
      </c>
      <c r="C51" s="717">
        <v>85757.540209403713</v>
      </c>
      <c r="D51" s="717">
        <v>79885.470076758007</v>
      </c>
      <c r="E51" s="717">
        <v>90070.241220528391</v>
      </c>
      <c r="F51" s="717">
        <v>89487.377318487299</v>
      </c>
      <c r="G51" s="717">
        <v>89102.923115582642</v>
      </c>
      <c r="H51" s="717">
        <v>88625.76453716126</v>
      </c>
      <c r="I51" s="717">
        <v>93844.121719570961</v>
      </c>
      <c r="J51" s="717">
        <v>93438.108154401838</v>
      </c>
      <c r="K51" s="717">
        <v>93043.904184054176</v>
      </c>
      <c r="L51" s="717">
        <v>92655.93175891212</v>
      </c>
      <c r="M51" s="717">
        <v>92280.751895496345</v>
      </c>
      <c r="N51" s="717">
        <v>82464.184729791872</v>
      </c>
      <c r="O51" s="717">
        <v>81836.150041149172</v>
      </c>
      <c r="P51" s="717">
        <v>80962.843785124074</v>
      </c>
      <c r="Q51" s="717">
        <v>80119.397814452968</v>
      </c>
      <c r="R51" s="717">
        <v>79449.979826202602</v>
      </c>
      <c r="S51" s="717">
        <v>78978.276176174171</v>
      </c>
      <c r="T51" s="717">
        <v>78706.147812027077</v>
      </c>
      <c r="U51" s="717">
        <v>78620.922943023528</v>
      </c>
      <c r="V51" s="717">
        <v>78569.543176550535</v>
      </c>
      <c r="W51" s="717">
        <v>78586.598564259213</v>
      </c>
      <c r="X51" s="717">
        <v>78620.889137761405</v>
      </c>
      <c r="Y51" s="717">
        <v>78691.364542474941</v>
      </c>
      <c r="Z51" s="717">
        <v>78716.086842050965</v>
      </c>
      <c r="AA51" s="717">
        <v>78537.540337582206</v>
      </c>
      <c r="AB51" s="717">
        <v>78335.077757968116</v>
      </c>
      <c r="AC51" s="717">
        <v>78280.007607766718</v>
      </c>
      <c r="AD51" s="717">
        <v>78156.472290151694</v>
      </c>
      <c r="AE51" s="717">
        <v>77908.957065457304</v>
      </c>
      <c r="AF51" s="717">
        <v>78296.253911055799</v>
      </c>
      <c r="AG51" s="717">
        <v>78114.825960094749</v>
      </c>
      <c r="AH51" s="717">
        <v>77738.981084643601</v>
      </c>
      <c r="AI51" s="717">
        <v>77571.865208615927</v>
      </c>
    </row>
    <row r="52" spans="1:36" ht="17" x14ac:dyDescent="0.45">
      <c r="A52" s="1306" t="s">
        <v>1023</v>
      </c>
      <c r="B52" s="716">
        <v>481383.28615922964</v>
      </c>
      <c r="C52" s="712">
        <v>240811.67932090696</v>
      </c>
      <c r="D52" s="712">
        <v>257618.54776739163</v>
      </c>
      <c r="E52" s="712">
        <v>335093.62899405533</v>
      </c>
      <c r="F52" s="712">
        <v>468673.97127764963</v>
      </c>
      <c r="G52" s="712">
        <v>756402.10091777868</v>
      </c>
      <c r="H52" s="712">
        <v>969382.06474521535</v>
      </c>
      <c r="I52" s="712">
        <v>1164390.0472507428</v>
      </c>
      <c r="J52" s="712">
        <v>1321458.4254442835</v>
      </c>
      <c r="K52" s="712">
        <v>1468256.9336579342</v>
      </c>
      <c r="L52" s="712">
        <v>1557241.1752264856</v>
      </c>
      <c r="M52" s="712">
        <v>1629634.4206355286</v>
      </c>
      <c r="N52" s="712">
        <v>1711707.2892816281</v>
      </c>
      <c r="O52" s="712">
        <v>1781923.30730359</v>
      </c>
      <c r="P52" s="712">
        <v>1833891.3121298344</v>
      </c>
      <c r="Q52" s="712">
        <v>1938874.7149130064</v>
      </c>
      <c r="R52" s="712">
        <v>2049721.8899822924</v>
      </c>
      <c r="S52" s="712">
        <v>2164377.1169528523</v>
      </c>
      <c r="T52" s="712">
        <v>2350506.4150846591</v>
      </c>
      <c r="U52" s="712">
        <v>2849818.6701855483</v>
      </c>
      <c r="V52" s="712">
        <v>2435466.7653989652</v>
      </c>
      <c r="W52" s="712">
        <v>2461426.4417496915</v>
      </c>
      <c r="X52" s="712">
        <v>2778324.4164096676</v>
      </c>
      <c r="Y52" s="712">
        <v>3437567.0597915524</v>
      </c>
      <c r="Z52" s="712">
        <v>3853364.7275333772</v>
      </c>
      <c r="AA52" s="712">
        <v>3359960.7194648078</v>
      </c>
      <c r="AB52" s="712">
        <v>3429240.6932546939</v>
      </c>
      <c r="AC52" s="712">
        <v>2922690.4040272278</v>
      </c>
      <c r="AD52" s="712">
        <v>3411635.9632133096</v>
      </c>
      <c r="AE52" s="712">
        <v>3281351.1702185632</v>
      </c>
      <c r="AF52" s="712">
        <v>3659335.1527694417</v>
      </c>
      <c r="AG52" s="712">
        <v>3615935.5158767886</v>
      </c>
      <c r="AH52" s="712">
        <v>3064205.1009885543</v>
      </c>
      <c r="AI52" s="712">
        <v>3266430.8140058643</v>
      </c>
      <c r="AJ52" s="36"/>
    </row>
    <row r="53" spans="1:36" x14ac:dyDescent="0.4">
      <c r="A53" s="713" t="s">
        <v>375</v>
      </c>
      <c r="B53" s="714" t="s">
        <v>32</v>
      </c>
      <c r="C53" s="717">
        <v>163.6413571428572</v>
      </c>
      <c r="D53" s="717">
        <v>327.28271428571429</v>
      </c>
      <c r="E53" s="717">
        <v>490.92407142857138</v>
      </c>
      <c r="F53" s="717">
        <v>654.56542857142858</v>
      </c>
      <c r="G53" s="717">
        <v>818.20678571428573</v>
      </c>
      <c r="H53" s="717">
        <v>981.84814285714276</v>
      </c>
      <c r="I53" s="717">
        <v>1145.4895000000001</v>
      </c>
      <c r="J53" s="717">
        <v>1309.1308571428572</v>
      </c>
      <c r="K53" s="717">
        <v>1472.7722142857144</v>
      </c>
      <c r="L53" s="717">
        <v>1636.4135714285719</v>
      </c>
      <c r="M53" s="717">
        <v>1800.054928571428</v>
      </c>
      <c r="N53" s="717">
        <v>1963.6962857142855</v>
      </c>
      <c r="O53" s="717">
        <v>2127.3376428571423</v>
      </c>
      <c r="P53" s="717">
        <v>2290.9789999999998</v>
      </c>
      <c r="Q53" s="717">
        <v>2454.6203571428573</v>
      </c>
      <c r="R53" s="717">
        <v>2618.2617142857148</v>
      </c>
      <c r="S53" s="717">
        <v>2781.9030714285709</v>
      </c>
      <c r="T53" s="717">
        <v>2945.5444285714289</v>
      </c>
      <c r="U53" s="717">
        <v>3109.1857857142854</v>
      </c>
      <c r="V53" s="717">
        <v>3272.8271428571429</v>
      </c>
      <c r="W53" s="717">
        <v>3436.4684999999999</v>
      </c>
      <c r="X53" s="717">
        <v>6531.3817999999992</v>
      </c>
      <c r="Y53" s="717">
        <v>3222.027</v>
      </c>
      <c r="Z53" s="717">
        <v>2876.4900000000002</v>
      </c>
      <c r="AA53" s="717">
        <v>2994.9580000000001</v>
      </c>
      <c r="AB53" s="717">
        <v>3340.5940000000001</v>
      </c>
      <c r="AC53" s="717">
        <v>3400.4080000000004</v>
      </c>
      <c r="AD53" s="717">
        <v>5828.6260000000002</v>
      </c>
      <c r="AE53" s="717">
        <v>8535.2089999999989</v>
      </c>
      <c r="AF53" s="717">
        <v>8992.380000000001</v>
      </c>
      <c r="AG53" s="717">
        <v>10436.013000000001</v>
      </c>
      <c r="AH53" s="717">
        <v>9990.1940000000013</v>
      </c>
      <c r="AI53" s="717">
        <v>8564.2169999999987</v>
      </c>
      <c r="AJ53" s="516"/>
    </row>
    <row r="54" spans="1:36" x14ac:dyDescent="0.4">
      <c r="A54" s="713" t="s">
        <v>376</v>
      </c>
      <c r="B54" s="714" t="s">
        <v>32</v>
      </c>
      <c r="C54" s="717">
        <v>0</v>
      </c>
      <c r="D54" s="717">
        <v>0</v>
      </c>
      <c r="E54" s="717">
        <v>0</v>
      </c>
      <c r="F54" s="717">
        <v>0</v>
      </c>
      <c r="G54" s="717">
        <v>0</v>
      </c>
      <c r="H54" s="717">
        <v>0</v>
      </c>
      <c r="I54" s="717">
        <v>0</v>
      </c>
      <c r="J54" s="717">
        <v>0</v>
      </c>
      <c r="K54" s="717">
        <v>0</v>
      </c>
      <c r="L54" s="717">
        <v>0</v>
      </c>
      <c r="M54" s="717">
        <v>0</v>
      </c>
      <c r="N54" s="717">
        <v>0</v>
      </c>
      <c r="O54" s="717">
        <v>0</v>
      </c>
      <c r="P54" s="717">
        <v>0</v>
      </c>
      <c r="Q54" s="717">
        <v>0</v>
      </c>
      <c r="R54" s="717">
        <v>232.76671049999999</v>
      </c>
      <c r="S54" s="717">
        <v>659.50567975000013</v>
      </c>
      <c r="T54" s="717">
        <v>1920.3253616250004</v>
      </c>
      <c r="U54" s="717">
        <v>5625.1955037500002</v>
      </c>
      <c r="V54" s="717">
        <v>5431.3924314446158</v>
      </c>
      <c r="W54" s="717">
        <v>5041.3330833869386</v>
      </c>
      <c r="X54" s="717">
        <v>4847.5300110815542</v>
      </c>
      <c r="Y54" s="717">
        <v>5043.7862868338434</v>
      </c>
      <c r="Z54" s="717">
        <v>5159.6055500068915</v>
      </c>
      <c r="AA54" s="717">
        <v>3630.9609964041956</v>
      </c>
      <c r="AB54" s="717">
        <v>3630.9609964041952</v>
      </c>
      <c r="AC54" s="717">
        <v>5043.7862868338425</v>
      </c>
      <c r="AD54" s="717">
        <v>5043.7862868338425</v>
      </c>
      <c r="AE54" s="717">
        <v>5043.7862868338425</v>
      </c>
      <c r="AF54" s="717">
        <v>981.28137876144785</v>
      </c>
      <c r="AG54" s="717">
        <v>981.28137876144785</v>
      </c>
      <c r="AH54" s="717">
        <v>981.28137876144785</v>
      </c>
      <c r="AI54" s="717">
        <v>981.28137876144785</v>
      </c>
      <c r="AJ54" s="516"/>
    </row>
    <row r="55" spans="1:36" x14ac:dyDescent="0.4">
      <c r="A55" s="713" t="s">
        <v>377</v>
      </c>
      <c r="B55" s="715">
        <v>88073.545482425121</v>
      </c>
      <c r="C55" s="717">
        <v>68687.37567258114</v>
      </c>
      <c r="D55" s="717">
        <v>68687.37567258114</v>
      </c>
      <c r="E55" s="717">
        <v>85859.21959072641</v>
      </c>
      <c r="F55" s="717">
        <v>94445.141549799038</v>
      </c>
      <c r="G55" s="717">
        <v>118685.50870854424</v>
      </c>
      <c r="H55" s="717">
        <v>131795.8492288781</v>
      </c>
      <c r="I55" s="717">
        <v>139281.86075055355</v>
      </c>
      <c r="J55" s="717">
        <v>170784.07838269841</v>
      </c>
      <c r="K55" s="717">
        <v>173304.76234678944</v>
      </c>
      <c r="L55" s="717">
        <v>146089.70036657434</v>
      </c>
      <c r="M55" s="717">
        <v>103803.02786908729</v>
      </c>
      <c r="N55" s="717">
        <v>106784.66505575596</v>
      </c>
      <c r="O55" s="717">
        <v>102372.03470196258</v>
      </c>
      <c r="P55" s="717">
        <v>96836.086763931104</v>
      </c>
      <c r="Q55" s="717">
        <v>91604.04537327931</v>
      </c>
      <c r="R55" s="717">
        <v>100060.23805140753</v>
      </c>
      <c r="S55" s="717">
        <v>91343.210095773757</v>
      </c>
      <c r="T55" s="717">
        <v>84723.448373459905</v>
      </c>
      <c r="U55" s="717">
        <v>60982.813009592617</v>
      </c>
      <c r="V55" s="717">
        <v>79237.951781557364</v>
      </c>
      <c r="W55" s="717">
        <v>107328.24258206997</v>
      </c>
      <c r="X55" s="717">
        <v>99448.690769326422</v>
      </c>
      <c r="Y55" s="717">
        <v>84397.57133226018</v>
      </c>
      <c r="Z55" s="717">
        <v>82231.850991114101</v>
      </c>
      <c r="AA55" s="717">
        <v>75731.365477471423</v>
      </c>
      <c r="AB55" s="717">
        <v>74323.33077626153</v>
      </c>
      <c r="AC55" s="717">
        <v>78446.746126000726</v>
      </c>
      <c r="AD55" s="717">
        <v>72250.736409737583</v>
      </c>
      <c r="AE55" s="717">
        <v>61995.193872062002</v>
      </c>
      <c r="AF55" s="717">
        <v>42663.984536608972</v>
      </c>
      <c r="AG55" s="717">
        <v>54598.892611646428</v>
      </c>
      <c r="AH55" s="717">
        <v>56432.113461140456</v>
      </c>
      <c r="AI55" s="717">
        <v>43496.332942007219</v>
      </c>
      <c r="AJ55" s="516"/>
    </row>
    <row r="56" spans="1:36" x14ac:dyDescent="0.4">
      <c r="A56" s="713" t="s">
        <v>378</v>
      </c>
      <c r="B56" s="715">
        <v>387899.75619760453</v>
      </c>
      <c r="C56" s="717">
        <v>150400</v>
      </c>
      <c r="D56" s="717">
        <v>148990</v>
      </c>
      <c r="E56" s="717">
        <v>144290</v>
      </c>
      <c r="F56" s="717">
        <v>135830</v>
      </c>
      <c r="G56" s="717">
        <v>124550</v>
      </c>
      <c r="H56" s="717">
        <v>114210</v>
      </c>
      <c r="I56" s="717">
        <v>105045</v>
      </c>
      <c r="J56" s="717">
        <v>88830</v>
      </c>
      <c r="K56" s="717">
        <v>89300</v>
      </c>
      <c r="L56" s="717">
        <v>85775</v>
      </c>
      <c r="M56" s="717">
        <v>84600</v>
      </c>
      <c r="N56" s="717">
        <v>78490</v>
      </c>
      <c r="O56" s="717">
        <v>76610</v>
      </c>
      <c r="P56" s="717">
        <v>74730</v>
      </c>
      <c r="Q56" s="717">
        <v>71910</v>
      </c>
      <c r="R56" s="717">
        <v>66270</v>
      </c>
      <c r="S56" s="717">
        <v>62509.999999999993</v>
      </c>
      <c r="T56" s="717">
        <v>59925</v>
      </c>
      <c r="U56" s="717">
        <v>55225</v>
      </c>
      <c r="V56" s="717">
        <v>46530</v>
      </c>
      <c r="W56" s="717">
        <v>44180</v>
      </c>
      <c r="X56" s="717">
        <v>38540</v>
      </c>
      <c r="Y56" s="717">
        <v>35720</v>
      </c>
      <c r="Z56" s="717">
        <v>36190</v>
      </c>
      <c r="AA56" s="717">
        <v>32430</v>
      </c>
      <c r="AB56" s="717">
        <v>31725.000000000004</v>
      </c>
      <c r="AC56" s="717">
        <v>31725.000000000004</v>
      </c>
      <c r="AD56" s="717">
        <v>32430</v>
      </c>
      <c r="AE56" s="717">
        <v>34545</v>
      </c>
      <c r="AF56" s="717">
        <v>33605</v>
      </c>
      <c r="AG56" s="717">
        <v>35485</v>
      </c>
      <c r="AH56" s="717">
        <v>34075</v>
      </c>
      <c r="AI56" s="717">
        <v>33840</v>
      </c>
    </row>
    <row r="57" spans="1:36" ht="17" x14ac:dyDescent="0.45">
      <c r="A57" s="1307" t="s">
        <v>1025</v>
      </c>
      <c r="B57" s="714" t="s">
        <v>32</v>
      </c>
      <c r="C57" s="717">
        <v>9103.9363622645342</v>
      </c>
      <c r="D57" s="717">
        <v>9103.9363622645342</v>
      </c>
      <c r="E57" s="717">
        <v>9103.9363622645342</v>
      </c>
      <c r="F57" s="717">
        <v>9103.9363622645342</v>
      </c>
      <c r="G57" s="717">
        <v>9103.9363622645342</v>
      </c>
      <c r="H57" s="717">
        <v>9103.9363622645342</v>
      </c>
      <c r="I57" s="717">
        <v>9103.9363622645342</v>
      </c>
      <c r="J57" s="717">
        <v>9103.9363622645342</v>
      </c>
      <c r="K57" s="717">
        <v>9103.9363622645342</v>
      </c>
      <c r="L57" s="717">
        <v>9103.9363622645342</v>
      </c>
      <c r="M57" s="717">
        <v>9103.9363622645342</v>
      </c>
      <c r="N57" s="717">
        <v>9103.9363622645342</v>
      </c>
      <c r="O57" s="717">
        <v>9103.9363622645342</v>
      </c>
      <c r="P57" s="717">
        <v>9103.9363622645342</v>
      </c>
      <c r="Q57" s="717">
        <v>49732.930686197993</v>
      </c>
      <c r="R57" s="717">
        <v>49732.930686197993</v>
      </c>
      <c r="S57" s="717">
        <v>50080.730686197989</v>
      </c>
      <c r="T57" s="717">
        <v>91505.850951920031</v>
      </c>
      <c r="U57" s="717">
        <v>65866.948715557432</v>
      </c>
      <c r="V57" s="717">
        <v>41195.757080329589</v>
      </c>
      <c r="W57" s="717">
        <v>30597.54011503841</v>
      </c>
      <c r="X57" s="717">
        <v>25765.658268994041</v>
      </c>
      <c r="Y57" s="717">
        <v>34929.934991987771</v>
      </c>
      <c r="Z57" s="717">
        <v>32695.292722439775</v>
      </c>
      <c r="AA57" s="717">
        <v>34762.987764429679</v>
      </c>
      <c r="AB57" s="717">
        <v>40587.736950441977</v>
      </c>
      <c r="AC57" s="717">
        <v>22966.660626530414</v>
      </c>
      <c r="AD57" s="717">
        <v>31500.224436429762</v>
      </c>
      <c r="AE57" s="717">
        <v>18436.830248303359</v>
      </c>
      <c r="AF57" s="717">
        <v>19886.038546188091</v>
      </c>
      <c r="AG57" s="717">
        <v>31815.033815247571</v>
      </c>
      <c r="AH57" s="717">
        <v>25651.493256536149</v>
      </c>
      <c r="AI57" s="717">
        <v>15539.194825619397</v>
      </c>
    </row>
    <row r="58" spans="1:36" ht="16.5" thickBot="1" x14ac:dyDescent="0.45">
      <c r="A58" s="713" t="s">
        <v>374</v>
      </c>
      <c r="B58" s="718">
        <v>5409.9844792000004</v>
      </c>
      <c r="C58" s="719">
        <v>12456.725928918428</v>
      </c>
      <c r="D58" s="719">
        <v>30509.953018260268</v>
      </c>
      <c r="E58" s="719">
        <v>95349.548969635798</v>
      </c>
      <c r="F58" s="719">
        <v>228640.3279370146</v>
      </c>
      <c r="G58" s="719">
        <v>503244.44906125561</v>
      </c>
      <c r="H58" s="719">
        <v>713290.43101121555</v>
      </c>
      <c r="I58" s="719">
        <v>909813.76063792477</v>
      </c>
      <c r="J58" s="719">
        <v>1051431.2798421779</v>
      </c>
      <c r="K58" s="719">
        <v>1195075.4627345945</v>
      </c>
      <c r="L58" s="719">
        <v>1314636.1249262181</v>
      </c>
      <c r="M58" s="719">
        <v>1430327.4014756053</v>
      </c>
      <c r="N58" s="719">
        <v>1515364.9915778933</v>
      </c>
      <c r="O58" s="719">
        <v>1591709.9985965057</v>
      </c>
      <c r="P58" s="719">
        <v>1650930.3100036387</v>
      </c>
      <c r="Q58" s="719">
        <v>1723173.1184963863</v>
      </c>
      <c r="R58" s="719">
        <v>1830807.6928199013</v>
      </c>
      <c r="S58" s="719">
        <v>1957001.7674197021</v>
      </c>
      <c r="T58" s="719">
        <v>2109486.2459690827</v>
      </c>
      <c r="U58" s="719">
        <v>2659009.5271709338</v>
      </c>
      <c r="V58" s="719">
        <v>2259798.8369627763</v>
      </c>
      <c r="W58" s="719">
        <v>2270842.857469196</v>
      </c>
      <c r="X58" s="719">
        <v>2603191.1555602658</v>
      </c>
      <c r="Y58" s="719">
        <v>3274253.7401804705</v>
      </c>
      <c r="Z58" s="719">
        <v>3694211.4882698166</v>
      </c>
      <c r="AA58" s="719">
        <v>3210410.4472265025</v>
      </c>
      <c r="AB58" s="719">
        <v>3275633.0705315862</v>
      </c>
      <c r="AC58" s="719">
        <v>2781107.8029878628</v>
      </c>
      <c r="AD58" s="719">
        <v>3264582.5900803083</v>
      </c>
      <c r="AE58" s="719">
        <v>3152795.1508113639</v>
      </c>
      <c r="AF58" s="719">
        <v>3553206.468307883</v>
      </c>
      <c r="AG58" s="719">
        <v>3482619.2950711334</v>
      </c>
      <c r="AH58" s="719">
        <v>2937075.0188921164</v>
      </c>
      <c r="AI58" s="719">
        <v>3164009.7878594762</v>
      </c>
    </row>
    <row r="59" spans="1:36" s="42" customFormat="1" ht="16.5" thickBot="1" x14ac:dyDescent="0.45">
      <c r="A59" s="978" t="s">
        <v>202</v>
      </c>
      <c r="B59" s="979">
        <v>656251.99051509786</v>
      </c>
      <c r="C59" s="979">
        <f t="shared" ref="C59:AI59" si="0">C40+C48+C52</f>
        <v>715154.16896556003</v>
      </c>
      <c r="D59" s="979">
        <f t="shared" si="0"/>
        <v>738491.01987423305</v>
      </c>
      <c r="E59" s="979">
        <f t="shared" si="0"/>
        <v>846343.90373530798</v>
      </c>
      <c r="F59" s="979">
        <f t="shared" si="0"/>
        <v>992687.77160783089</v>
      </c>
      <c r="G59" s="979">
        <f t="shared" si="0"/>
        <v>1294235.6697070026</v>
      </c>
      <c r="H59" s="979">
        <f t="shared" si="0"/>
        <v>1517394.0091650765</v>
      </c>
      <c r="I59" s="979">
        <f t="shared" si="0"/>
        <v>1729670.5098776286</v>
      </c>
      <c r="J59" s="979">
        <f t="shared" si="0"/>
        <v>2051783.6695231539</v>
      </c>
      <c r="K59" s="979">
        <f t="shared" si="0"/>
        <v>2172286.4635428153</v>
      </c>
      <c r="L59" s="979">
        <f t="shared" si="0"/>
        <v>2234448.0754691963</v>
      </c>
      <c r="M59" s="979">
        <f t="shared" si="0"/>
        <v>2287366.4104114422</v>
      </c>
      <c r="N59" s="979">
        <f t="shared" si="0"/>
        <v>2354310.8214792744</v>
      </c>
      <c r="O59" s="979">
        <f t="shared" si="0"/>
        <v>2455334.5934789767</v>
      </c>
      <c r="P59" s="979">
        <f t="shared" si="0"/>
        <v>2394398.503867331</v>
      </c>
      <c r="Q59" s="979">
        <f t="shared" si="0"/>
        <v>2491187.3727000658</v>
      </c>
      <c r="R59" s="979">
        <f t="shared" si="0"/>
        <v>2639881.9487247989</v>
      </c>
      <c r="S59" s="979">
        <f t="shared" si="0"/>
        <v>2778337.0634740135</v>
      </c>
      <c r="T59" s="979">
        <f t="shared" si="0"/>
        <v>2927455.5583753828</v>
      </c>
      <c r="U59" s="979">
        <f t="shared" si="0"/>
        <v>3375736.2960883388</v>
      </c>
      <c r="V59" s="979">
        <f t="shared" si="0"/>
        <v>2855657.4039997654</v>
      </c>
      <c r="W59" s="979">
        <f t="shared" si="0"/>
        <v>2835968.9544329019</v>
      </c>
      <c r="X59" s="979">
        <f t="shared" si="0"/>
        <v>3126208.995805467</v>
      </c>
      <c r="Y59" s="979">
        <f t="shared" si="0"/>
        <v>3805803.73676239</v>
      </c>
      <c r="Z59" s="979">
        <f t="shared" si="0"/>
        <v>4205491.078764935</v>
      </c>
      <c r="AA59" s="979">
        <f t="shared" si="0"/>
        <v>3754042.4332673564</v>
      </c>
      <c r="AB59" s="979">
        <f t="shared" si="0"/>
        <v>3804800.541526068</v>
      </c>
      <c r="AC59" s="979">
        <f t="shared" si="0"/>
        <v>3308943.286888028</v>
      </c>
      <c r="AD59" s="979">
        <f t="shared" si="0"/>
        <v>3813569.5724326135</v>
      </c>
      <c r="AE59" s="979">
        <f t="shared" si="0"/>
        <v>3646057.2396013304</v>
      </c>
      <c r="AF59" s="979">
        <f t="shared" si="0"/>
        <v>4032195.5751119815</v>
      </c>
      <c r="AG59" s="979">
        <f t="shared" si="0"/>
        <v>3997810.1361882901</v>
      </c>
      <c r="AH59" s="979">
        <f t="shared" si="0"/>
        <v>3434826.775832409</v>
      </c>
      <c r="AI59" s="979">
        <f t="shared" si="0"/>
        <v>3582123.2543038847</v>
      </c>
      <c r="AJ59" s="654"/>
    </row>
    <row r="60" spans="1:36" x14ac:dyDescent="0.4">
      <c r="A60" s="665" t="s">
        <v>1063</v>
      </c>
      <c r="B60" s="1186"/>
      <c r="C60" s="1057"/>
      <c r="D60" s="1057"/>
      <c r="E60" s="1057"/>
      <c r="F60" s="1057"/>
      <c r="G60" s="1057"/>
      <c r="H60" s="1057"/>
      <c r="I60" s="1057"/>
      <c r="J60" s="1057"/>
      <c r="K60" s="1057"/>
      <c r="L60" s="1057"/>
      <c r="M60" s="1057"/>
      <c r="N60" s="1057"/>
      <c r="O60" s="1057"/>
      <c r="P60" s="1057"/>
      <c r="Q60" s="1057"/>
      <c r="R60" s="1057"/>
      <c r="S60" s="1057"/>
      <c r="T60" s="1057"/>
      <c r="U60" s="1057"/>
      <c r="V60" s="1057"/>
      <c r="W60" s="1057"/>
      <c r="X60" s="1057"/>
      <c r="Y60" s="1057"/>
      <c r="Z60" s="1057"/>
      <c r="AA60" s="1057"/>
      <c r="AB60" s="1057"/>
      <c r="AC60" s="1057"/>
      <c r="AD60" s="1057"/>
      <c r="AE60" s="1057"/>
      <c r="AF60" s="1057"/>
      <c r="AG60" s="1057"/>
      <c r="AH60" s="1057"/>
      <c r="AI60" s="1057"/>
    </row>
    <row r="61" spans="1:36" x14ac:dyDescent="0.4">
      <c r="B61" s="1350"/>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row>
    <row r="62" spans="1:36" x14ac:dyDescent="0.4">
      <c r="A62" s="1393" t="s">
        <v>1412</v>
      </c>
      <c r="B62" s="32"/>
      <c r="C62" s="32"/>
      <c r="D62" s="32"/>
      <c r="E62" s="32"/>
      <c r="F62" s="32"/>
      <c r="N62" s="720"/>
    </row>
    <row r="63" spans="1:36" x14ac:dyDescent="0.4">
      <c r="A63" s="1403" t="s">
        <v>1314</v>
      </c>
    </row>
    <row r="64" spans="1:36" x14ac:dyDescent="0.4">
      <c r="A64" s="1389" t="s">
        <v>1315</v>
      </c>
    </row>
    <row r="65" spans="1:1" x14ac:dyDescent="0.4">
      <c r="A65" s="28"/>
    </row>
    <row r="66" spans="1:1" x14ac:dyDescent="0.4">
      <c r="A66" s="395" t="s">
        <v>1064</v>
      </c>
    </row>
  </sheetData>
  <phoneticPr fontId="34" type="noConversion"/>
  <hyperlinks>
    <hyperlink ref="A2" location="Contents!A1" display="Return to Contents tab" xr:uid="{775FBBE7-8EA1-49B3-A5BF-D92D4442CC4D}"/>
    <hyperlink ref="A3" location="'Industrial Process'!A31" display="Go to Data on Industrial Process Worksheet" xr:uid="{9C3D5B22-39E5-4792-8F4E-70D6C0299BE8}"/>
  </hyperlinks>
  <pageMargins left="0.7" right="0.7" top="0.75" bottom="0.75" header="0.3" footer="0.3"/>
  <pageSetup scale="22" orientation="landscape" r:id="rId1"/>
  <headerFooter>
    <oddFooter>&amp;L&amp;F &amp;A&amp;R Page &amp;P of &amp;N</oddFooter>
  </headerFooter>
  <drawing r:id="rId2"/>
  <tableParts count="2">
    <tablePart r:id="rId3"/>
    <tablePart r:id="rId4"/>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J59"/>
  <sheetViews>
    <sheetView zoomScaleNormal="100" workbookViewId="0"/>
  </sheetViews>
  <sheetFormatPr defaultColWidth="8.81640625" defaultRowHeight="16" x14ac:dyDescent="0.4"/>
  <cols>
    <col min="1" max="1" width="34.81640625" style="3" customWidth="1"/>
    <col min="2" max="2" width="18" style="3" customWidth="1"/>
    <col min="3" max="3" width="12.54296875" style="3" customWidth="1"/>
    <col min="4" max="4" width="15.26953125" style="3" customWidth="1"/>
    <col min="5" max="35" width="10.453125" style="3" customWidth="1"/>
    <col min="36" max="16384" width="8.81640625" style="3"/>
  </cols>
  <sheetData>
    <row r="1" spans="1:18" ht="21" x14ac:dyDescent="0.5">
      <c r="A1" s="52" t="s">
        <v>203</v>
      </c>
      <c r="D1" s="88"/>
      <c r="J1" s="28"/>
    </row>
    <row r="2" spans="1:18" x14ac:dyDescent="0.4">
      <c r="A2" s="1011" t="s">
        <v>730</v>
      </c>
      <c r="D2" s="88"/>
      <c r="J2" s="28"/>
    </row>
    <row r="3" spans="1:18" x14ac:dyDescent="0.4">
      <c r="A3" s="1265" t="s">
        <v>904</v>
      </c>
      <c r="D3" s="88"/>
      <c r="J3" s="28"/>
    </row>
    <row r="4" spans="1:18" x14ac:dyDescent="0.4">
      <c r="A4" s="1052"/>
      <c r="D4" s="88"/>
      <c r="J4" s="28"/>
    </row>
    <row r="5" spans="1:18" x14ac:dyDescent="0.4">
      <c r="A5" s="108" t="s">
        <v>1079</v>
      </c>
      <c r="D5" s="88"/>
      <c r="J5" s="28"/>
    </row>
    <row r="6" spans="1:18" x14ac:dyDescent="0.4">
      <c r="A6" s="1175" t="s">
        <v>912</v>
      </c>
      <c r="B6" s="1174" t="s">
        <v>676</v>
      </c>
      <c r="C6" s="1174" t="s">
        <v>673</v>
      </c>
      <c r="D6" s="1174" t="s">
        <v>888</v>
      </c>
      <c r="E6" s="88"/>
      <c r="F6" s="88"/>
      <c r="G6" s="88"/>
      <c r="H6" s="88"/>
      <c r="I6" s="88"/>
      <c r="J6" s="88"/>
      <c r="K6" s="88"/>
    </row>
    <row r="7" spans="1:18" x14ac:dyDescent="0.4">
      <c r="A7" s="1004">
        <v>1990</v>
      </c>
      <c r="B7" s="1005" t="s">
        <v>703</v>
      </c>
      <c r="C7" s="1313" t="s">
        <v>1052</v>
      </c>
      <c r="D7" s="1061">
        <v>44916</v>
      </c>
      <c r="E7" s="88"/>
      <c r="F7" s="88"/>
      <c r="G7" s="88"/>
      <c r="H7" s="88"/>
      <c r="I7" s="88"/>
      <c r="J7" s="88"/>
      <c r="K7" s="88"/>
    </row>
    <row r="8" spans="1:18" x14ac:dyDescent="0.4">
      <c r="A8" s="1003" t="s">
        <v>675</v>
      </c>
      <c r="B8" s="1006" t="s">
        <v>674</v>
      </c>
      <c r="C8" s="1006" t="s">
        <v>672</v>
      </c>
      <c r="D8" s="1007">
        <v>46050</v>
      </c>
      <c r="E8" s="88"/>
      <c r="F8" s="88"/>
      <c r="G8" s="88"/>
      <c r="H8" s="88"/>
      <c r="I8" s="88"/>
      <c r="J8" s="88"/>
      <c r="K8" s="88"/>
    </row>
    <row r="9" spans="1:18" x14ac:dyDescent="0.4">
      <c r="A9" s="28" t="s">
        <v>1063</v>
      </c>
      <c r="B9" s="86"/>
      <c r="C9" s="86"/>
      <c r="D9" s="1009"/>
      <c r="E9" s="88"/>
      <c r="F9" s="88"/>
      <c r="G9" s="88"/>
      <c r="H9" s="88"/>
      <c r="I9" s="88"/>
      <c r="J9" s="88"/>
      <c r="K9" s="88"/>
    </row>
    <row r="10" spans="1:18" x14ac:dyDescent="0.4">
      <c r="A10" s="28"/>
      <c r="C10" s="87"/>
      <c r="D10" s="12"/>
      <c r="E10" s="88"/>
      <c r="F10" s="88"/>
      <c r="G10" s="88"/>
      <c r="H10" s="88"/>
      <c r="I10" s="88"/>
      <c r="J10" s="88"/>
      <c r="K10" s="88"/>
    </row>
    <row r="11" spans="1:18" x14ac:dyDescent="0.4">
      <c r="A11" s="108" t="s">
        <v>1067</v>
      </c>
      <c r="C11" s="87"/>
      <c r="D11" s="12"/>
      <c r="E11" s="88"/>
      <c r="F11" s="88"/>
      <c r="G11" s="88"/>
      <c r="H11" s="88"/>
      <c r="I11" s="88"/>
      <c r="J11" s="88"/>
      <c r="K11" s="88"/>
    </row>
    <row r="12" spans="1:18" ht="17" x14ac:dyDescent="0.45">
      <c r="A12" s="1365" t="s">
        <v>1203</v>
      </c>
      <c r="C12" s="87"/>
      <c r="D12" s="12"/>
      <c r="E12" s="88"/>
      <c r="F12" s="88"/>
      <c r="G12" s="88"/>
      <c r="H12" s="88"/>
      <c r="I12" s="88"/>
      <c r="J12" s="88"/>
      <c r="K12" s="88"/>
    </row>
    <row r="13" spans="1:18" ht="17" x14ac:dyDescent="0.45">
      <c r="A13" s="1365" t="s">
        <v>1197</v>
      </c>
      <c r="C13" s="87"/>
      <c r="D13" s="12"/>
      <c r="E13" s="88"/>
      <c r="F13" s="88"/>
      <c r="G13" s="88"/>
      <c r="H13" s="88"/>
      <c r="I13" s="88"/>
      <c r="J13" s="88"/>
      <c r="K13" s="88"/>
    </row>
    <row r="14" spans="1:18" ht="17" x14ac:dyDescent="0.45">
      <c r="A14" s="1365" t="s">
        <v>1198</v>
      </c>
      <c r="C14" s="87"/>
      <c r="D14" s="12"/>
      <c r="E14" s="88"/>
      <c r="F14" s="88"/>
      <c r="G14" s="88"/>
      <c r="H14" s="88"/>
      <c r="I14" s="88"/>
      <c r="J14" s="88"/>
      <c r="K14" s="88"/>
    </row>
    <row r="15" spans="1:18" x14ac:dyDescent="0.4">
      <c r="A15" s="196" t="s">
        <v>769</v>
      </c>
      <c r="C15" s="87"/>
      <c r="D15" s="12"/>
      <c r="E15" s="88"/>
      <c r="F15" s="88"/>
      <c r="G15" s="88"/>
      <c r="H15" s="88"/>
      <c r="I15" s="88"/>
      <c r="J15" s="88"/>
      <c r="K15" s="88"/>
    </row>
    <row r="16" spans="1:18" x14ac:dyDescent="0.4">
      <c r="A16" s="12"/>
      <c r="B16" s="88"/>
      <c r="C16" s="12"/>
      <c r="D16" s="88"/>
      <c r="E16" s="88"/>
      <c r="F16" s="88"/>
      <c r="G16" s="88"/>
      <c r="H16" s="88"/>
      <c r="I16" s="88"/>
      <c r="J16" s="88"/>
      <c r="K16" s="88"/>
      <c r="Q16" s="91"/>
      <c r="R16" s="28"/>
    </row>
    <row r="17" spans="1:36" ht="17.5" thickBot="1" x14ac:dyDescent="0.5">
      <c r="A17" s="93" t="s">
        <v>1199</v>
      </c>
      <c r="B17" s="29"/>
      <c r="C17" s="29"/>
      <c r="D17" s="94"/>
      <c r="E17" s="94"/>
      <c r="F17" s="94"/>
      <c r="G17" s="94"/>
      <c r="H17" s="94"/>
      <c r="I17" s="94"/>
      <c r="J17" s="94"/>
      <c r="K17" s="94"/>
      <c r="L17" s="94"/>
      <c r="M17" s="94"/>
      <c r="N17" s="94"/>
      <c r="O17" s="94"/>
      <c r="P17" s="94"/>
      <c r="Q17" s="94"/>
      <c r="R17" s="94"/>
      <c r="S17" s="95"/>
      <c r="T17" s="95"/>
      <c r="U17" s="30"/>
      <c r="V17" s="30"/>
      <c r="W17" s="30"/>
      <c r="AB17" s="12"/>
      <c r="AD17" s="12"/>
      <c r="AE17" s="12"/>
      <c r="AF17" s="12"/>
      <c r="AH17" s="89"/>
      <c r="AI17" s="89"/>
      <c r="AJ17" s="89"/>
    </row>
    <row r="18" spans="1:36" s="28" customFormat="1" ht="16.5" thickBot="1" x14ac:dyDescent="0.45">
      <c r="A18" s="93" t="s">
        <v>706</v>
      </c>
      <c r="B18" s="977" t="s">
        <v>391</v>
      </c>
      <c r="C18" s="975" t="s">
        <v>392</v>
      </c>
      <c r="D18" s="975" t="s">
        <v>393</v>
      </c>
      <c r="E18" s="975" t="s">
        <v>394</v>
      </c>
      <c r="F18" s="975" t="s">
        <v>395</v>
      </c>
      <c r="G18" s="975" t="s">
        <v>396</v>
      </c>
      <c r="H18" s="975" t="s">
        <v>397</v>
      </c>
      <c r="I18" s="975" t="s">
        <v>398</v>
      </c>
      <c r="J18" s="975" t="s">
        <v>399</v>
      </c>
      <c r="K18" s="975" t="s">
        <v>400</v>
      </c>
      <c r="L18" s="975" t="s">
        <v>401</v>
      </c>
      <c r="M18" s="975" t="s">
        <v>402</v>
      </c>
      <c r="N18" s="975" t="s">
        <v>403</v>
      </c>
      <c r="O18" s="975" t="s">
        <v>404</v>
      </c>
      <c r="P18" s="975" t="s">
        <v>405</v>
      </c>
      <c r="Q18" s="975" t="s">
        <v>406</v>
      </c>
      <c r="R18" s="975" t="s">
        <v>407</v>
      </c>
      <c r="S18" s="975" t="s">
        <v>408</v>
      </c>
      <c r="T18" s="975" t="s">
        <v>409</v>
      </c>
      <c r="U18" s="975" t="s">
        <v>410</v>
      </c>
      <c r="V18" s="975" t="s">
        <v>411</v>
      </c>
      <c r="W18" s="975" t="s">
        <v>412</v>
      </c>
      <c r="X18" s="975" t="s">
        <v>413</v>
      </c>
      <c r="Y18" s="975" t="s">
        <v>414</v>
      </c>
      <c r="Z18" s="975" t="s">
        <v>415</v>
      </c>
      <c r="AA18" s="975" t="s">
        <v>416</v>
      </c>
      <c r="AB18" s="975" t="s">
        <v>417</v>
      </c>
      <c r="AC18" s="975" t="s">
        <v>418</v>
      </c>
      <c r="AD18" s="975" t="s">
        <v>419</v>
      </c>
      <c r="AE18" s="975" t="s">
        <v>420</v>
      </c>
      <c r="AF18" s="975" t="s">
        <v>421</v>
      </c>
      <c r="AG18" s="975" t="s">
        <v>422</v>
      </c>
      <c r="AH18" s="975" t="s">
        <v>423</v>
      </c>
      <c r="AI18" s="975" t="s">
        <v>424</v>
      </c>
      <c r="AJ18" s="230"/>
    </row>
    <row r="19" spans="1:36" x14ac:dyDescent="0.4">
      <c r="A19" s="28" t="s">
        <v>205</v>
      </c>
      <c r="B19" s="97">
        <v>0.16584415176951664</v>
      </c>
      <c r="C19" s="98">
        <v>0.16189156684970454</v>
      </c>
      <c r="D19" s="98">
        <v>0.16352429267927712</v>
      </c>
      <c r="E19" s="98">
        <v>0.16261436584884695</v>
      </c>
      <c r="F19" s="98">
        <v>0.15569536864349579</v>
      </c>
      <c r="G19" s="98">
        <v>0.15042816497817388</v>
      </c>
      <c r="H19" s="98">
        <v>0.14740434888668677</v>
      </c>
      <c r="I19" s="98">
        <v>0.14514789817286347</v>
      </c>
      <c r="J19" s="98">
        <v>0.14416300369742105</v>
      </c>
      <c r="K19" s="98">
        <v>0.13984825590053701</v>
      </c>
      <c r="L19" s="98">
        <v>0.13335202504973048</v>
      </c>
      <c r="M19" s="98">
        <v>0.11553342772021198</v>
      </c>
      <c r="N19" s="98">
        <v>0.11962789935531858</v>
      </c>
      <c r="O19" s="98">
        <v>0.11525858020799928</v>
      </c>
      <c r="P19" s="98">
        <v>0.10827314255088258</v>
      </c>
      <c r="Q19" s="98">
        <v>0.10715494572736291</v>
      </c>
      <c r="R19" s="98">
        <v>0.10726237044930402</v>
      </c>
      <c r="S19" s="98">
        <v>0.10212325583421433</v>
      </c>
      <c r="T19" s="98">
        <v>0.10535734544958776</v>
      </c>
      <c r="U19" s="98">
        <v>0.10207934055110465</v>
      </c>
      <c r="V19" s="98">
        <v>9.7734861776470686E-2</v>
      </c>
      <c r="W19" s="98">
        <v>9.2796500217483313E-2</v>
      </c>
      <c r="X19" s="98">
        <v>9.2079059718226788E-2</v>
      </c>
      <c r="Y19" s="98">
        <v>9.0490244583244311E-2</v>
      </c>
      <c r="Z19" s="98">
        <v>8.8874120920375596E-2</v>
      </c>
      <c r="AA19" s="98">
        <v>8.8621777075169647E-2</v>
      </c>
      <c r="AB19" s="98">
        <v>8.8011300920530125E-2</v>
      </c>
      <c r="AC19" s="98">
        <v>8.6176125712584692E-2</v>
      </c>
      <c r="AD19" s="98">
        <v>8.6635657043337769E-2</v>
      </c>
      <c r="AE19" s="98">
        <v>8.3964304883527421E-2</v>
      </c>
      <c r="AF19" s="98">
        <v>7.8787047516443373E-2</v>
      </c>
      <c r="AG19" s="98">
        <v>8.2223095124237533E-2</v>
      </c>
      <c r="AH19" s="98">
        <v>8.3333882819284416E-2</v>
      </c>
      <c r="AI19" s="98">
        <v>8.1670242316015801E-2</v>
      </c>
    </row>
    <row r="20" spans="1:36" x14ac:dyDescent="0.4">
      <c r="A20" s="28" t="s">
        <v>206</v>
      </c>
      <c r="B20" s="97">
        <v>4.8168883118203804E-2</v>
      </c>
      <c r="C20" s="98">
        <v>4.2914634250460576E-2</v>
      </c>
      <c r="D20" s="98">
        <v>4.0860938894000554E-2</v>
      </c>
      <c r="E20" s="98">
        <v>4.1177529657419033E-2</v>
      </c>
      <c r="F20" s="98">
        <v>3.9251360422547232E-2</v>
      </c>
      <c r="G20" s="98">
        <v>3.8060879453888571E-2</v>
      </c>
      <c r="H20" s="98">
        <v>3.7684353183780668E-2</v>
      </c>
      <c r="I20" s="98">
        <v>3.960870484670144E-2</v>
      </c>
      <c r="J20" s="98">
        <v>4.1917582089986763E-2</v>
      </c>
      <c r="K20" s="98">
        <v>4.2203964479313447E-2</v>
      </c>
      <c r="L20" s="98">
        <v>3.9821278458622579E-2</v>
      </c>
      <c r="M20" s="98">
        <v>3.7714257487542202E-2</v>
      </c>
      <c r="N20" s="98">
        <v>3.8664234936673827E-2</v>
      </c>
      <c r="O20" s="98">
        <v>3.8136593809149293E-2</v>
      </c>
      <c r="P20" s="98">
        <v>3.4192796545695771E-2</v>
      </c>
      <c r="Q20" s="98">
        <v>3.4413006669888252E-2</v>
      </c>
      <c r="R20" s="98">
        <v>3.2963190504035032E-2</v>
      </c>
      <c r="S20" s="98">
        <v>3.318751706387274E-2</v>
      </c>
      <c r="T20" s="98">
        <v>3.2659800600512934E-2</v>
      </c>
      <c r="U20" s="98">
        <v>3.2202158268638072E-2</v>
      </c>
      <c r="V20" s="98">
        <v>3.3455879489908288E-2</v>
      </c>
      <c r="W20" s="98">
        <v>3.0178276989925961E-2</v>
      </c>
      <c r="X20" s="98">
        <v>2.7927088745437291E-2</v>
      </c>
      <c r="Y20" s="98">
        <v>2.7769848873544514E-2</v>
      </c>
      <c r="Z20" s="98">
        <v>2.7539002063543636E-2</v>
      </c>
      <c r="AA20" s="98">
        <v>3.0266861097028492E-2</v>
      </c>
      <c r="AB20" s="98">
        <v>2.762333642241541E-2</v>
      </c>
      <c r="AC20" s="98">
        <v>2.3085352667617909E-2</v>
      </c>
      <c r="AD20" s="98">
        <v>2.4286409724179246E-2</v>
      </c>
      <c r="AE20" s="98">
        <v>2.0374963663384017E-2</v>
      </c>
      <c r="AF20" s="98">
        <v>1.9859150349477165E-2</v>
      </c>
      <c r="AG20" s="98">
        <v>1.9746854976198689E-2</v>
      </c>
      <c r="AH20" s="98">
        <v>1.8580603526944031E-2</v>
      </c>
      <c r="AI20" s="98">
        <v>1.852799650380163E-2</v>
      </c>
    </row>
    <row r="21" spans="1:36" x14ac:dyDescent="0.4">
      <c r="A21" s="28" t="s">
        <v>207</v>
      </c>
      <c r="B21" s="97">
        <v>0.23208773411825218</v>
      </c>
      <c r="C21" s="98">
        <v>0.21097458041396622</v>
      </c>
      <c r="D21" s="98">
        <v>0.21570223374600378</v>
      </c>
      <c r="E21" s="98">
        <v>0.20143330032511012</v>
      </c>
      <c r="F21" s="98">
        <v>0.21516487514302068</v>
      </c>
      <c r="G21" s="98">
        <v>0.21241989574468181</v>
      </c>
      <c r="H21" s="98">
        <v>0.19718842943784529</v>
      </c>
      <c r="I21" s="98">
        <v>0.19405014533945711</v>
      </c>
      <c r="J21" s="98">
        <v>0.19572448346030819</v>
      </c>
      <c r="K21" s="98">
        <v>0.20403432190549264</v>
      </c>
      <c r="L21" s="98">
        <v>0.20090187479326724</v>
      </c>
      <c r="M21" s="98">
        <v>0.19533928082121074</v>
      </c>
      <c r="N21" s="98">
        <v>0.21274188699276059</v>
      </c>
      <c r="O21" s="98">
        <v>0.19235681557291523</v>
      </c>
      <c r="P21" s="98">
        <v>0.19122862599772336</v>
      </c>
      <c r="Q21" s="98">
        <v>0.19600092376322881</v>
      </c>
      <c r="R21" s="98">
        <v>0.19396766889491096</v>
      </c>
      <c r="S21" s="98">
        <v>0.17902758650024522</v>
      </c>
      <c r="T21" s="98">
        <v>0.18555009549784238</v>
      </c>
      <c r="U21" s="98">
        <v>0.17802192137450684</v>
      </c>
      <c r="V21" s="98">
        <v>0.17610041122394229</v>
      </c>
      <c r="W21" s="98">
        <v>0.18034210367079936</v>
      </c>
      <c r="X21" s="98">
        <v>0.17552955695858069</v>
      </c>
      <c r="Y21" s="98">
        <v>0.1744280806676651</v>
      </c>
      <c r="Z21" s="98">
        <v>0.16376087614604273</v>
      </c>
      <c r="AA21" s="98">
        <v>0.17058863179195471</v>
      </c>
      <c r="AB21" s="98">
        <v>0.15063523118028124</v>
      </c>
      <c r="AC21" s="98">
        <v>0.17546024370539159</v>
      </c>
      <c r="AD21" s="98">
        <v>0.16137111592700012</v>
      </c>
      <c r="AE21" s="98">
        <v>0.15916510210770277</v>
      </c>
      <c r="AF21" s="98">
        <v>0.15396329526429398</v>
      </c>
      <c r="AG21" s="98">
        <v>0.15658287387868247</v>
      </c>
      <c r="AH21" s="98">
        <v>0.15446320394371271</v>
      </c>
      <c r="AI21" s="98">
        <v>0.15573133170809947</v>
      </c>
    </row>
    <row r="22" spans="1:36" x14ac:dyDescent="0.4">
      <c r="A22" s="28" t="s">
        <v>208</v>
      </c>
      <c r="B22" s="97">
        <v>0</v>
      </c>
      <c r="C22" s="98">
        <v>0</v>
      </c>
      <c r="D22" s="98">
        <v>0</v>
      </c>
      <c r="E22" s="98">
        <v>0</v>
      </c>
      <c r="F22" s="98">
        <v>0</v>
      </c>
      <c r="G22" s="98">
        <v>0</v>
      </c>
      <c r="H22" s="98">
        <v>0</v>
      </c>
      <c r="I22" s="98">
        <v>0</v>
      </c>
      <c r="J22" s="98">
        <v>0</v>
      </c>
      <c r="K22" s="98">
        <v>0</v>
      </c>
      <c r="L22" s="98">
        <v>0</v>
      </c>
      <c r="M22" s="98">
        <v>0</v>
      </c>
      <c r="N22" s="98">
        <v>0</v>
      </c>
      <c r="O22" s="98">
        <v>0</v>
      </c>
      <c r="P22" s="98">
        <v>0</v>
      </c>
      <c r="Q22" s="98">
        <v>0</v>
      </c>
      <c r="R22" s="98">
        <v>0</v>
      </c>
      <c r="S22" s="98">
        <v>0</v>
      </c>
      <c r="T22" s="98">
        <v>0</v>
      </c>
      <c r="U22" s="98">
        <v>0</v>
      </c>
      <c r="V22" s="98">
        <v>0</v>
      </c>
      <c r="W22" s="98">
        <v>0</v>
      </c>
      <c r="X22" s="98">
        <v>0</v>
      </c>
      <c r="Y22" s="98">
        <v>0</v>
      </c>
      <c r="Z22" s="98">
        <v>0</v>
      </c>
      <c r="AA22" s="98">
        <v>0</v>
      </c>
      <c r="AB22" s="98">
        <v>0</v>
      </c>
      <c r="AC22" s="98">
        <v>0</v>
      </c>
      <c r="AD22" s="98">
        <v>0</v>
      </c>
      <c r="AE22" s="98">
        <v>0</v>
      </c>
      <c r="AF22" s="98">
        <v>0</v>
      </c>
      <c r="AG22" s="98">
        <v>0</v>
      </c>
      <c r="AH22" s="98">
        <v>0</v>
      </c>
      <c r="AI22" s="98">
        <v>0</v>
      </c>
    </row>
    <row r="23" spans="1:36" x14ac:dyDescent="0.4">
      <c r="A23" s="28" t="s">
        <v>209</v>
      </c>
      <c r="B23" s="97">
        <v>0</v>
      </c>
      <c r="C23" s="98">
        <v>0</v>
      </c>
      <c r="D23" s="98">
        <v>0</v>
      </c>
      <c r="E23" s="98">
        <v>0</v>
      </c>
      <c r="F23" s="98">
        <v>0</v>
      </c>
      <c r="G23" s="98">
        <v>0</v>
      </c>
      <c r="H23" s="98">
        <v>0</v>
      </c>
      <c r="I23" s="98">
        <v>0</v>
      </c>
      <c r="J23" s="98">
        <v>0</v>
      </c>
      <c r="K23" s="98">
        <v>0</v>
      </c>
      <c r="L23" s="98">
        <v>0</v>
      </c>
      <c r="M23" s="98">
        <v>0</v>
      </c>
      <c r="N23" s="98">
        <v>0</v>
      </c>
      <c r="O23" s="98">
        <v>0</v>
      </c>
      <c r="P23" s="98">
        <v>0</v>
      </c>
      <c r="Q23" s="98">
        <v>0</v>
      </c>
      <c r="R23" s="98">
        <v>0</v>
      </c>
      <c r="S23" s="98">
        <v>0</v>
      </c>
      <c r="T23" s="98">
        <v>0</v>
      </c>
      <c r="U23" s="98">
        <v>0</v>
      </c>
      <c r="V23" s="98">
        <v>2.294219744443772E-2</v>
      </c>
      <c r="W23" s="98">
        <v>0</v>
      </c>
      <c r="X23" s="98">
        <v>0</v>
      </c>
      <c r="Y23" s="98">
        <v>0</v>
      </c>
      <c r="Z23" s="98">
        <v>0</v>
      </c>
      <c r="AA23" s="98">
        <v>0</v>
      </c>
      <c r="AB23" s="98">
        <v>0</v>
      </c>
      <c r="AC23" s="98">
        <v>0</v>
      </c>
      <c r="AD23" s="98">
        <v>0</v>
      </c>
      <c r="AE23" s="98">
        <v>0</v>
      </c>
      <c r="AF23" s="98">
        <v>0</v>
      </c>
      <c r="AG23" s="98">
        <v>1.1803805223911515E-2</v>
      </c>
      <c r="AH23" s="98">
        <v>0</v>
      </c>
      <c r="AI23" s="98">
        <v>0</v>
      </c>
    </row>
    <row r="24" spans="1:36" x14ac:dyDescent="0.4">
      <c r="A24" s="28" t="s">
        <v>210</v>
      </c>
      <c r="B24" s="97">
        <v>2.6403725543560435E-3</v>
      </c>
      <c r="C24" s="98">
        <v>2.5486603163083249E-3</v>
      </c>
      <c r="D24" s="98">
        <v>2.6618489824306751E-3</v>
      </c>
      <c r="E24" s="98">
        <v>2.0780988841513199E-3</v>
      </c>
      <c r="F24" s="98">
        <v>2.179395083008255E-3</v>
      </c>
      <c r="G24" s="98">
        <v>2.787119054099005E-3</v>
      </c>
      <c r="H24" s="98">
        <v>1.8001400707611361E-3</v>
      </c>
      <c r="I24" s="98">
        <v>1.9693941758142071E-3</v>
      </c>
      <c r="J24" s="98">
        <v>2.5539878435997458E-3</v>
      </c>
      <c r="K24" s="98">
        <v>3.8575289243702559E-3</v>
      </c>
      <c r="L24" s="98">
        <v>3.2551857026217909E-3</v>
      </c>
      <c r="M24" s="98">
        <v>3.2328204662977408E-3</v>
      </c>
      <c r="N24" s="98">
        <v>2.228463152801717E-3</v>
      </c>
      <c r="O24" s="98">
        <v>2.0115939399437538E-3</v>
      </c>
      <c r="P24" s="98">
        <v>2.9026441682542558E-3</v>
      </c>
      <c r="Q24" s="98">
        <v>2.9861881520457218E-3</v>
      </c>
      <c r="R24" s="98">
        <v>2.6760472950497442E-3</v>
      </c>
      <c r="S24" s="98">
        <v>2.8427933109558801E-3</v>
      </c>
      <c r="T24" s="98">
        <v>2.1178158396080921E-3</v>
      </c>
      <c r="U24" s="98">
        <v>1.9815088451419758E-3</v>
      </c>
      <c r="V24" s="98">
        <v>1.776093017629805E-3</v>
      </c>
      <c r="W24" s="98">
        <v>1.1739001481750281E-3</v>
      </c>
      <c r="X24" s="98">
        <v>8.3594278629532182E-4</v>
      </c>
      <c r="Y24" s="98">
        <v>8.5555112038465024E-4</v>
      </c>
      <c r="Z24" s="98">
        <v>7.197071577610451E-4</v>
      </c>
      <c r="AA24" s="98">
        <v>7.1876379690949226E-4</v>
      </c>
      <c r="AB24" s="98">
        <v>6.2669364056971793E-4</v>
      </c>
      <c r="AC24" s="98">
        <v>7.8454972362728499E-4</v>
      </c>
      <c r="AD24" s="98">
        <v>8.0048792265794506E-4</v>
      </c>
      <c r="AE24" s="98">
        <v>7.7781776336734675E-4</v>
      </c>
      <c r="AF24" s="98">
        <v>7.4234808496037163E-4</v>
      </c>
      <c r="AG24" s="98">
        <v>6.9736911345271769E-4</v>
      </c>
      <c r="AH24" s="98">
        <v>6.4532529408223131E-4</v>
      </c>
      <c r="AI24" s="98">
        <v>5.9120709976140124E-4</v>
      </c>
    </row>
    <row r="25" spans="1:36" x14ac:dyDescent="0.4">
      <c r="A25" s="28" t="s">
        <v>211</v>
      </c>
      <c r="B25" s="97">
        <v>0</v>
      </c>
      <c r="C25" s="98">
        <v>1.9812245517135037E-5</v>
      </c>
      <c r="D25" s="98">
        <v>2.079070082513884E-5</v>
      </c>
      <c r="E25" s="98">
        <v>2.1001410878620072E-5</v>
      </c>
      <c r="F25" s="98">
        <v>2.3708279262821226E-5</v>
      </c>
      <c r="G25" s="98">
        <v>2.6135398532210599E-5</v>
      </c>
      <c r="H25" s="98">
        <v>2.3415758660784011E-5</v>
      </c>
      <c r="I25" s="98">
        <v>1.9575803713156854E-5</v>
      </c>
      <c r="J25" s="98">
        <v>1.968509508970837E-5</v>
      </c>
      <c r="K25" s="98">
        <v>2.0119119361882494E-5</v>
      </c>
      <c r="L25" s="98">
        <v>2.4108198089840094E-5</v>
      </c>
      <c r="M25" s="98">
        <v>1.9986431432383977E-5</v>
      </c>
      <c r="N25" s="98">
        <v>2.0186678497117763E-5</v>
      </c>
      <c r="O25" s="98">
        <v>1.9499697963806032E-5</v>
      </c>
      <c r="P25" s="98">
        <v>2.0810197243825919E-5</v>
      </c>
      <c r="Q25" s="98">
        <v>1.9767691207033849E-5</v>
      </c>
      <c r="R25" s="98">
        <v>1.9046580121665366E-5</v>
      </c>
      <c r="S25" s="98">
        <v>1.7763620565665491E-5</v>
      </c>
      <c r="T25" s="98">
        <v>1.8974571534615551E-5</v>
      </c>
      <c r="U25" s="98">
        <v>1.7178079179318718E-5</v>
      </c>
      <c r="V25" s="98">
        <v>1.7749617509708842E-5</v>
      </c>
      <c r="W25" s="98">
        <v>2.0576876582049129E-5</v>
      </c>
      <c r="X25" s="98">
        <v>2.2146093360941016E-5</v>
      </c>
      <c r="Y25" s="98">
        <v>1.9019802773498604E-5</v>
      </c>
      <c r="Z25" s="98">
        <v>1.579760411294524E-5</v>
      </c>
      <c r="AA25" s="98">
        <v>1.8618401299696744E-5</v>
      </c>
      <c r="AB25" s="98">
        <v>1.9855605452660716E-5</v>
      </c>
      <c r="AC25" s="98">
        <v>1.9141443664505611E-5</v>
      </c>
      <c r="AD25" s="98">
        <v>1.9436456154051301E-5</v>
      </c>
      <c r="AE25" s="98">
        <v>1.9280292715956412E-5</v>
      </c>
      <c r="AF25" s="98">
        <v>1.933260419147216E-5</v>
      </c>
      <c r="AG25" s="98">
        <v>1.9295361021611969E-5</v>
      </c>
      <c r="AH25" s="98">
        <v>1.9301274488908074E-5</v>
      </c>
      <c r="AI25" s="98">
        <v>1.9290066906788723E-5</v>
      </c>
    </row>
    <row r="26" spans="1:36" s="61" customFormat="1" x14ac:dyDescent="0.4">
      <c r="A26" s="109" t="s">
        <v>20</v>
      </c>
      <c r="B26" s="110">
        <v>0.44874114156032868</v>
      </c>
      <c r="C26" s="111">
        <v>0.4183492540759568</v>
      </c>
      <c r="D26" s="111">
        <v>0.4227701050025372</v>
      </c>
      <c r="E26" s="111">
        <v>0.40732429612640603</v>
      </c>
      <c r="F26" s="111">
        <v>0.41231470757133476</v>
      </c>
      <c r="G26" s="111">
        <v>0.40372219462937547</v>
      </c>
      <c r="H26" s="111">
        <v>0.38410068733773461</v>
      </c>
      <c r="I26" s="111">
        <v>0.38079571833854942</v>
      </c>
      <c r="J26" s="111">
        <v>0.38437874218640544</v>
      </c>
      <c r="K26" s="111">
        <v>0.38996419032907526</v>
      </c>
      <c r="L26" s="111">
        <v>0.37735447220233193</v>
      </c>
      <c r="M26" s="111">
        <v>0.35183977292669499</v>
      </c>
      <c r="N26" s="111">
        <v>0.37328267111605185</v>
      </c>
      <c r="O26" s="111">
        <v>0.34778308322797141</v>
      </c>
      <c r="P26" s="111">
        <v>0.3366180194597998</v>
      </c>
      <c r="Q26" s="111">
        <v>0.34057483200373273</v>
      </c>
      <c r="R26" s="111">
        <v>0.33688832372342137</v>
      </c>
      <c r="S26" s="111">
        <v>0.31719891632985386</v>
      </c>
      <c r="T26" s="111">
        <v>0.3257040319590857</v>
      </c>
      <c r="U26" s="111">
        <v>0.31430210711857087</v>
      </c>
      <c r="V26" s="111">
        <v>0.33202719256989849</v>
      </c>
      <c r="W26" s="111">
        <v>0.30451135790296568</v>
      </c>
      <c r="X26" s="111">
        <v>0.29639379430190105</v>
      </c>
      <c r="Y26" s="111">
        <v>0.29356274504761209</v>
      </c>
      <c r="Z26" s="111">
        <v>0.280909503891836</v>
      </c>
      <c r="AA26" s="111">
        <v>0.29021465216236203</v>
      </c>
      <c r="AB26" s="111">
        <v>0.26691641776924913</v>
      </c>
      <c r="AC26" s="111">
        <v>0.285525413252886</v>
      </c>
      <c r="AD26" s="111">
        <v>0.27311310707332914</v>
      </c>
      <c r="AE26" s="111">
        <v>0.26430146871069748</v>
      </c>
      <c r="AF26" s="111">
        <v>0.25337117381936636</v>
      </c>
      <c r="AG26" s="111">
        <v>0.27107329367750455</v>
      </c>
      <c r="AH26" s="111">
        <v>0.25704231685851231</v>
      </c>
      <c r="AI26" s="111">
        <v>0.25654006769458504</v>
      </c>
      <c r="AJ26" s="99"/>
    </row>
    <row r="27" spans="1:36" x14ac:dyDescent="0.4">
      <c r="A27" s="1055" t="s">
        <v>1063</v>
      </c>
      <c r="B27" s="1078"/>
      <c r="C27" s="1077"/>
      <c r="D27" s="1077"/>
      <c r="E27" s="1077"/>
      <c r="F27" s="1077"/>
      <c r="G27" s="1077"/>
      <c r="H27" s="1077"/>
      <c r="I27" s="1077"/>
      <c r="J27" s="1077"/>
      <c r="K27" s="1077"/>
      <c r="L27" s="1077"/>
      <c r="M27" s="1077"/>
      <c r="N27" s="1077"/>
      <c r="O27" s="1077"/>
      <c r="P27" s="1077"/>
      <c r="Q27" s="1077"/>
      <c r="R27" s="1077"/>
      <c r="S27" s="1077"/>
      <c r="T27" s="1077"/>
      <c r="U27" s="1077"/>
      <c r="V27" s="1077"/>
      <c r="W27" s="1077"/>
      <c r="X27" s="1077"/>
      <c r="Y27" s="1077"/>
      <c r="Z27" s="1077"/>
      <c r="AA27" s="1077"/>
      <c r="AB27" s="1077"/>
      <c r="AC27" s="1077"/>
      <c r="AD27" s="1077"/>
      <c r="AE27" s="1077"/>
      <c r="AF27" s="1077"/>
      <c r="AG27" s="1077"/>
      <c r="AH27" s="1077"/>
      <c r="AI27" s="1077"/>
      <c r="AJ27" s="100"/>
    </row>
    <row r="28" spans="1:36" x14ac:dyDescent="0.4">
      <c r="A28" s="28"/>
      <c r="B28" s="28"/>
      <c r="C28" s="28"/>
      <c r="D28" s="28"/>
      <c r="E28" s="28"/>
      <c r="F28" s="28"/>
      <c r="G28" s="28"/>
      <c r="H28" s="28"/>
      <c r="I28" s="28"/>
      <c r="J28" s="28"/>
      <c r="K28" s="28"/>
      <c r="L28" s="28"/>
      <c r="M28" s="28"/>
      <c r="N28" s="28"/>
      <c r="O28" s="28"/>
      <c r="P28" s="28"/>
      <c r="Q28" s="28"/>
      <c r="R28" s="28"/>
      <c r="S28" s="28"/>
      <c r="T28" s="28"/>
      <c r="U28" s="28"/>
      <c r="V28" s="28"/>
      <c r="W28" s="28"/>
      <c r="AB28" s="12"/>
      <c r="AC28" s="12"/>
      <c r="AF28" s="28"/>
      <c r="AG28" s="28"/>
      <c r="AH28" s="28"/>
      <c r="AI28" s="41"/>
    </row>
    <row r="29" spans="1:36" ht="17.5" thickBot="1" x14ac:dyDescent="0.5">
      <c r="A29" s="93" t="s">
        <v>1200</v>
      </c>
      <c r="B29" s="94"/>
      <c r="C29" s="29"/>
      <c r="D29" s="94"/>
      <c r="E29" s="94"/>
      <c r="F29" s="94"/>
      <c r="G29" s="94"/>
      <c r="H29" s="94"/>
      <c r="I29" s="94"/>
      <c r="J29" s="94"/>
      <c r="K29" s="94"/>
      <c r="L29" s="94"/>
      <c r="M29" s="94"/>
      <c r="N29" s="94"/>
      <c r="O29" s="94"/>
      <c r="P29" s="94"/>
      <c r="Q29" s="94"/>
      <c r="R29" s="94"/>
      <c r="S29" s="94"/>
      <c r="T29" s="94"/>
      <c r="U29" s="94"/>
      <c r="V29" s="94"/>
      <c r="W29" s="94"/>
      <c r="AB29" s="12"/>
      <c r="AC29" s="12"/>
      <c r="AD29" s="12"/>
      <c r="AE29" s="12"/>
      <c r="AF29" s="28"/>
      <c r="AG29" s="28"/>
      <c r="AH29" s="28"/>
      <c r="AI29" s="41"/>
    </row>
    <row r="30" spans="1:36" s="28" customFormat="1" ht="16.5" thickBot="1" x14ac:dyDescent="0.45">
      <c r="A30" s="93" t="s">
        <v>707</v>
      </c>
      <c r="B30" s="977" t="s">
        <v>391</v>
      </c>
      <c r="C30" s="975" t="s">
        <v>392</v>
      </c>
      <c r="D30" s="975" t="s">
        <v>393</v>
      </c>
      <c r="E30" s="975" t="s">
        <v>394</v>
      </c>
      <c r="F30" s="975" t="s">
        <v>395</v>
      </c>
      <c r="G30" s="975" t="s">
        <v>396</v>
      </c>
      <c r="H30" s="975" t="s">
        <v>397</v>
      </c>
      <c r="I30" s="975" t="s">
        <v>398</v>
      </c>
      <c r="J30" s="975" t="s">
        <v>399</v>
      </c>
      <c r="K30" s="975" t="s">
        <v>400</v>
      </c>
      <c r="L30" s="975" t="s">
        <v>401</v>
      </c>
      <c r="M30" s="975" t="s">
        <v>402</v>
      </c>
      <c r="N30" s="975" t="s">
        <v>403</v>
      </c>
      <c r="O30" s="975" t="s">
        <v>404</v>
      </c>
      <c r="P30" s="975" t="s">
        <v>405</v>
      </c>
      <c r="Q30" s="975" t="s">
        <v>406</v>
      </c>
      <c r="R30" s="975" t="s">
        <v>407</v>
      </c>
      <c r="S30" s="975" t="s">
        <v>408</v>
      </c>
      <c r="T30" s="975" t="s">
        <v>409</v>
      </c>
      <c r="U30" s="975" t="s">
        <v>410</v>
      </c>
      <c r="V30" s="975" t="s">
        <v>411</v>
      </c>
      <c r="W30" s="975" t="s">
        <v>412</v>
      </c>
      <c r="X30" s="975" t="s">
        <v>413</v>
      </c>
      <c r="Y30" s="975" t="s">
        <v>414</v>
      </c>
      <c r="Z30" s="975" t="s">
        <v>415</v>
      </c>
      <c r="AA30" s="975" t="s">
        <v>416</v>
      </c>
      <c r="AB30" s="975" t="s">
        <v>417</v>
      </c>
      <c r="AC30" s="975" t="s">
        <v>418</v>
      </c>
      <c r="AD30" s="975" t="s">
        <v>419</v>
      </c>
      <c r="AE30" s="975" t="s">
        <v>420</v>
      </c>
      <c r="AF30" s="975" t="s">
        <v>421</v>
      </c>
      <c r="AG30" s="975" t="s">
        <v>422</v>
      </c>
      <c r="AH30" s="975" t="s">
        <v>423</v>
      </c>
      <c r="AI30" s="975" t="s">
        <v>424</v>
      </c>
      <c r="AJ30" s="86"/>
    </row>
    <row r="31" spans="1:36" ht="17" x14ac:dyDescent="0.45">
      <c r="A31" s="101" t="s">
        <v>1201</v>
      </c>
      <c r="B31" s="102">
        <v>2.6403725543560435E-3</v>
      </c>
      <c r="C31" s="103">
        <v>2.5486603163083249E-3</v>
      </c>
      <c r="D31" s="103">
        <v>2.6618489824306751E-3</v>
      </c>
      <c r="E31" s="103">
        <v>2.0780988841513199E-3</v>
      </c>
      <c r="F31" s="103">
        <v>2.179395083008255E-3</v>
      </c>
      <c r="G31" s="103">
        <v>2.787119054099005E-3</v>
      </c>
      <c r="H31" s="103">
        <v>1.8001400707611361E-3</v>
      </c>
      <c r="I31" s="103">
        <v>1.9693941758142071E-3</v>
      </c>
      <c r="J31" s="103">
        <v>2.5539878435997458E-3</v>
      </c>
      <c r="K31" s="103">
        <v>3.8575289243702559E-3</v>
      </c>
      <c r="L31" s="103">
        <v>3.2551857026217909E-3</v>
      </c>
      <c r="M31" s="103">
        <v>3.2328204662977408E-3</v>
      </c>
      <c r="N31" s="103">
        <v>2.228463152801717E-3</v>
      </c>
      <c r="O31" s="103">
        <v>2.0115939399437538E-3</v>
      </c>
      <c r="P31" s="103">
        <v>2.9026441682542558E-3</v>
      </c>
      <c r="Q31" s="103">
        <v>2.9861881520457218E-3</v>
      </c>
      <c r="R31" s="103">
        <v>2.6760472950497442E-3</v>
      </c>
      <c r="S31" s="103">
        <v>2.8427933109558801E-3</v>
      </c>
      <c r="T31" s="103">
        <v>2.1178158396080921E-3</v>
      </c>
      <c r="U31" s="103">
        <v>1.9815088451419758E-3</v>
      </c>
      <c r="V31" s="103">
        <v>2.4718290462067527E-2</v>
      </c>
      <c r="W31" s="103">
        <v>1.1739001481750281E-3</v>
      </c>
      <c r="X31" s="103">
        <v>8.3594278629532182E-4</v>
      </c>
      <c r="Y31" s="103">
        <v>8.5555112038465024E-4</v>
      </c>
      <c r="Z31" s="103">
        <v>7.197071577610451E-4</v>
      </c>
      <c r="AA31" s="103">
        <v>7.1876379690949226E-4</v>
      </c>
      <c r="AB31" s="103">
        <v>6.2669364056971793E-4</v>
      </c>
      <c r="AC31" s="103">
        <v>7.8454972362728499E-4</v>
      </c>
      <c r="AD31" s="103">
        <v>8.0048792265794506E-4</v>
      </c>
      <c r="AE31" s="103">
        <v>7.7781776336734675E-4</v>
      </c>
      <c r="AF31" s="103">
        <v>7.4234808496037163E-4</v>
      </c>
      <c r="AG31" s="103">
        <v>1.2501174337364232E-2</v>
      </c>
      <c r="AH31" s="103">
        <v>6.4532529408223131E-4</v>
      </c>
      <c r="AI31" s="103">
        <v>5.9120709976140124E-4</v>
      </c>
      <c r="AJ31" s="100"/>
    </row>
    <row r="32" spans="1:36" x14ac:dyDescent="0.4">
      <c r="A32" s="104" t="s">
        <v>209</v>
      </c>
      <c r="B32" s="97">
        <v>0</v>
      </c>
      <c r="C32" s="98">
        <v>0</v>
      </c>
      <c r="D32" s="98">
        <v>0</v>
      </c>
      <c r="E32" s="98">
        <v>0</v>
      </c>
      <c r="F32" s="98">
        <v>0</v>
      </c>
      <c r="G32" s="98">
        <v>0</v>
      </c>
      <c r="H32" s="98">
        <v>0</v>
      </c>
      <c r="I32" s="98">
        <v>0</v>
      </c>
      <c r="J32" s="98">
        <v>0</v>
      </c>
      <c r="K32" s="98">
        <v>0</v>
      </c>
      <c r="L32" s="98">
        <v>0</v>
      </c>
      <c r="M32" s="98">
        <v>0</v>
      </c>
      <c r="N32" s="98">
        <v>0</v>
      </c>
      <c r="O32" s="98">
        <v>0</v>
      </c>
      <c r="P32" s="98">
        <v>0</v>
      </c>
      <c r="Q32" s="98">
        <v>0</v>
      </c>
      <c r="R32" s="98">
        <v>0</v>
      </c>
      <c r="S32" s="98">
        <v>0</v>
      </c>
      <c r="T32" s="98">
        <v>0</v>
      </c>
      <c r="U32" s="98">
        <v>0</v>
      </c>
      <c r="V32" s="98">
        <v>2.294219744443772E-2</v>
      </c>
      <c r="W32" s="98">
        <v>0</v>
      </c>
      <c r="X32" s="98">
        <v>0</v>
      </c>
      <c r="Y32" s="98">
        <v>0</v>
      </c>
      <c r="Z32" s="98">
        <v>0</v>
      </c>
      <c r="AA32" s="98">
        <v>0</v>
      </c>
      <c r="AB32" s="98">
        <v>0</v>
      </c>
      <c r="AC32" s="98">
        <v>0</v>
      </c>
      <c r="AD32" s="98">
        <v>0</v>
      </c>
      <c r="AE32" s="98">
        <v>0</v>
      </c>
      <c r="AF32" s="98">
        <v>0</v>
      </c>
      <c r="AG32" s="98">
        <v>1.1803805223911515E-2</v>
      </c>
      <c r="AH32" s="98">
        <v>0</v>
      </c>
      <c r="AI32" s="98">
        <v>0</v>
      </c>
    </row>
    <row r="33" spans="1:36" x14ac:dyDescent="0.4">
      <c r="A33" s="104" t="s">
        <v>210</v>
      </c>
      <c r="B33" s="97">
        <v>2.6403725543560435E-3</v>
      </c>
      <c r="C33" s="98">
        <v>2.5486603163083249E-3</v>
      </c>
      <c r="D33" s="98">
        <v>2.6618489824306751E-3</v>
      </c>
      <c r="E33" s="98">
        <v>2.0780988841513199E-3</v>
      </c>
      <c r="F33" s="98">
        <v>2.179395083008255E-3</v>
      </c>
      <c r="G33" s="98">
        <v>2.787119054099005E-3</v>
      </c>
      <c r="H33" s="98">
        <v>1.8001400707611361E-3</v>
      </c>
      <c r="I33" s="98">
        <v>1.9693941758142071E-3</v>
      </c>
      <c r="J33" s="98">
        <v>2.5539878435997458E-3</v>
      </c>
      <c r="K33" s="98">
        <v>3.8575289243702559E-3</v>
      </c>
      <c r="L33" s="98">
        <v>3.2551857026217909E-3</v>
      </c>
      <c r="M33" s="98">
        <v>3.2328204662977408E-3</v>
      </c>
      <c r="N33" s="98">
        <v>2.228463152801717E-3</v>
      </c>
      <c r="O33" s="98">
        <v>2.0115939399437538E-3</v>
      </c>
      <c r="P33" s="98">
        <v>2.9026441682542558E-3</v>
      </c>
      <c r="Q33" s="98">
        <v>2.9861881520457218E-3</v>
      </c>
      <c r="R33" s="98">
        <v>2.6760472950497442E-3</v>
      </c>
      <c r="S33" s="98">
        <v>2.8427933109558801E-3</v>
      </c>
      <c r="T33" s="98">
        <v>2.1178158396080921E-3</v>
      </c>
      <c r="U33" s="98">
        <v>1.9815088451419758E-3</v>
      </c>
      <c r="V33" s="98">
        <v>1.776093017629805E-3</v>
      </c>
      <c r="W33" s="98">
        <v>1.1739001481750281E-3</v>
      </c>
      <c r="X33" s="98">
        <v>8.3594278629532182E-4</v>
      </c>
      <c r="Y33" s="98">
        <v>8.5555112038465024E-4</v>
      </c>
      <c r="Z33" s="98">
        <v>7.197071577610451E-4</v>
      </c>
      <c r="AA33" s="98">
        <v>7.1876379690949226E-4</v>
      </c>
      <c r="AB33" s="98">
        <v>6.2669364056971793E-4</v>
      </c>
      <c r="AC33" s="98">
        <v>7.8454972362728499E-4</v>
      </c>
      <c r="AD33" s="98">
        <v>8.0048792265794506E-4</v>
      </c>
      <c r="AE33" s="98">
        <v>7.7781776336734675E-4</v>
      </c>
      <c r="AF33" s="98">
        <v>7.4234808496037163E-4</v>
      </c>
      <c r="AG33" s="98">
        <v>6.9736911345271769E-4</v>
      </c>
      <c r="AH33" s="98">
        <v>6.4532529408223131E-4</v>
      </c>
      <c r="AI33" s="98">
        <v>5.9120709976140124E-4</v>
      </c>
    </row>
    <row r="34" spans="1:36" ht="17" x14ac:dyDescent="0.45">
      <c r="A34" s="101" t="s">
        <v>587</v>
      </c>
      <c r="B34" s="105">
        <v>7.7459129258656036E-3</v>
      </c>
      <c r="C34" s="106">
        <v>7.5250284108429035E-3</v>
      </c>
      <c r="D34" s="106">
        <v>7.5038836687217171E-3</v>
      </c>
      <c r="E34" s="106">
        <v>7.4908580964945506E-3</v>
      </c>
      <c r="F34" s="106">
        <v>7.1508155955688386E-3</v>
      </c>
      <c r="G34" s="106">
        <v>6.9118953484645813E-3</v>
      </c>
      <c r="H34" s="106">
        <v>6.7707877456918966E-3</v>
      </c>
      <c r="I34" s="106">
        <v>6.7413248877980459E-3</v>
      </c>
      <c r="J34" s="106">
        <v>6.8041164001449951E-3</v>
      </c>
      <c r="K34" s="106">
        <v>6.6681948440857229E-3</v>
      </c>
      <c r="L34" s="106">
        <v>6.3484154489209486E-3</v>
      </c>
      <c r="M34" s="106">
        <v>5.6063072326774334E-3</v>
      </c>
      <c r="N34" s="106">
        <v>5.8091624315440285E-3</v>
      </c>
      <c r="O34" s="106">
        <v>5.6155400167833954E-3</v>
      </c>
      <c r="P34" s="106">
        <v>5.2398096367531847E-3</v>
      </c>
      <c r="Q34" s="106">
        <v>5.2253913824707706E-3</v>
      </c>
      <c r="R34" s="106">
        <v>5.1856314956201686E-3</v>
      </c>
      <c r="S34" s="106">
        <v>5.0273548632801405E-3</v>
      </c>
      <c r="T34" s="106">
        <v>5.1385646125118945E-3</v>
      </c>
      <c r="U34" s="106">
        <v>5.0020124091651966E-3</v>
      </c>
      <c r="V34" s="106">
        <v>4.9012799729182431E-3</v>
      </c>
      <c r="W34" s="106">
        <v>4.555139635411925E-3</v>
      </c>
      <c r="X34" s="106">
        <v>4.4767562168486286E-3</v>
      </c>
      <c r="Y34" s="106">
        <v>4.3995755437598368E-3</v>
      </c>
      <c r="Z34" s="106">
        <v>4.3171267182354903E-3</v>
      </c>
      <c r="AA34" s="106">
        <v>4.417103997517732E-3</v>
      </c>
      <c r="AB34" s="106">
        <v>4.2959033723526316E-3</v>
      </c>
      <c r="AC34" s="106">
        <v>4.0456590071390021E-3</v>
      </c>
      <c r="AD34" s="106">
        <v>4.1073151893665834E-3</v>
      </c>
      <c r="AE34" s="106">
        <v>3.8647822253732294E-3</v>
      </c>
      <c r="AF34" s="106">
        <v>3.638330901765424E-3</v>
      </c>
      <c r="AG34" s="106">
        <v>3.7769243151750047E-3</v>
      </c>
      <c r="AH34" s="106">
        <v>3.783119967211868E-3</v>
      </c>
      <c r="AI34" s="106">
        <v>3.7169170978410332E-3</v>
      </c>
      <c r="AJ34" s="100"/>
    </row>
    <row r="35" spans="1:36" x14ac:dyDescent="0.4">
      <c r="A35" s="104" t="s">
        <v>205</v>
      </c>
      <c r="B35" s="97">
        <v>6.6337660707806653E-3</v>
      </c>
      <c r="C35" s="98">
        <v>6.4756626739881813E-3</v>
      </c>
      <c r="D35" s="98">
        <v>6.5409717071710852E-3</v>
      </c>
      <c r="E35" s="98">
        <v>6.5045746339538781E-3</v>
      </c>
      <c r="F35" s="98">
        <v>6.2278147457398318E-3</v>
      </c>
      <c r="G35" s="98">
        <v>6.0171265991269549E-3</v>
      </c>
      <c r="H35" s="98">
        <v>5.896173955467471E-3</v>
      </c>
      <c r="I35" s="98">
        <v>5.8059159269145391E-3</v>
      </c>
      <c r="J35" s="98">
        <v>5.7665201478968421E-3</v>
      </c>
      <c r="K35" s="98">
        <v>5.5939302360214806E-3</v>
      </c>
      <c r="L35" s="98">
        <v>5.3340810019892196E-3</v>
      </c>
      <c r="M35" s="98">
        <v>4.6213371088084793E-3</v>
      </c>
      <c r="N35" s="98">
        <v>4.785115974212743E-3</v>
      </c>
      <c r="O35" s="98">
        <v>4.6103432083199718E-3</v>
      </c>
      <c r="P35" s="98">
        <v>4.3309257020353034E-3</v>
      </c>
      <c r="Q35" s="98">
        <v>4.2861978290945164E-3</v>
      </c>
      <c r="R35" s="98">
        <v>4.2904948179721611E-3</v>
      </c>
      <c r="S35" s="98">
        <v>4.0849302333685732E-3</v>
      </c>
      <c r="T35" s="98">
        <v>4.2142938179835108E-3</v>
      </c>
      <c r="U35" s="98">
        <v>4.083173622044186E-3</v>
      </c>
      <c r="V35" s="98">
        <v>3.9093944710588274E-3</v>
      </c>
      <c r="W35" s="98">
        <v>3.7118600086993325E-3</v>
      </c>
      <c r="X35" s="98">
        <v>3.6831623887290717E-3</v>
      </c>
      <c r="Y35" s="98">
        <v>3.6196097833297723E-3</v>
      </c>
      <c r="Z35" s="98">
        <v>3.5549648368150238E-3</v>
      </c>
      <c r="AA35" s="98">
        <v>3.5448710830067857E-3</v>
      </c>
      <c r="AB35" s="98">
        <v>3.5204520368212048E-3</v>
      </c>
      <c r="AC35" s="98">
        <v>3.4470450285033877E-3</v>
      </c>
      <c r="AD35" s="98">
        <v>3.4654262817335108E-3</v>
      </c>
      <c r="AE35" s="98">
        <v>3.3585721953410968E-3</v>
      </c>
      <c r="AF35" s="98">
        <v>3.1514819006577348E-3</v>
      </c>
      <c r="AG35" s="98">
        <v>3.2889238049695012E-3</v>
      </c>
      <c r="AH35" s="98">
        <v>3.3333553127713766E-3</v>
      </c>
      <c r="AI35" s="98">
        <v>3.2668096926406322E-3</v>
      </c>
    </row>
    <row r="36" spans="1:36" x14ac:dyDescent="0.4">
      <c r="A36" s="104" t="s">
        <v>206</v>
      </c>
      <c r="B36" s="97">
        <v>1.1121468550849387E-3</v>
      </c>
      <c r="C36" s="98">
        <v>1.0489431540721243E-3</v>
      </c>
      <c r="D36" s="98">
        <v>9.62460442530161E-4</v>
      </c>
      <c r="E36" s="98">
        <v>9.8582934592449925E-4</v>
      </c>
      <c r="F36" s="98">
        <v>9.224870956366228E-4</v>
      </c>
      <c r="G36" s="98">
        <v>8.9420637884420225E-4</v>
      </c>
      <c r="H36" s="98">
        <v>8.7409527978969085E-4</v>
      </c>
      <c r="I36" s="98">
        <v>9.3497565226387605E-4</v>
      </c>
      <c r="J36" s="98">
        <v>1.0371568363647728E-3</v>
      </c>
      <c r="K36" s="98">
        <v>1.0738179301956565E-3</v>
      </c>
      <c r="L36" s="98">
        <v>1.0138201920137516E-3</v>
      </c>
      <c r="M36" s="98">
        <v>9.8452964389172514E-4</v>
      </c>
      <c r="N36" s="98">
        <v>1.0236009267223991E-3</v>
      </c>
      <c r="O36" s="98">
        <v>1.0047754102807285E-3</v>
      </c>
      <c r="P36" s="98">
        <v>9.0842960282462744E-4</v>
      </c>
      <c r="Q36" s="98">
        <v>9.3876749824525622E-4</v>
      </c>
      <c r="R36" s="98">
        <v>8.9472463145991795E-4</v>
      </c>
      <c r="S36" s="98">
        <v>9.4203654250346917E-4</v>
      </c>
      <c r="T36" s="98">
        <v>9.2387307014997716E-4</v>
      </c>
      <c r="U36" s="98">
        <v>9.1845810761731028E-4</v>
      </c>
      <c r="V36" s="98">
        <v>9.9150906488159902E-4</v>
      </c>
      <c r="W36" s="98">
        <v>8.4284355739875283E-4</v>
      </c>
      <c r="X36" s="98">
        <v>7.9311925920919979E-4</v>
      </c>
      <c r="Y36" s="98">
        <v>7.7955418930769659E-4</v>
      </c>
      <c r="Z36" s="98">
        <v>7.6181979280971323E-4</v>
      </c>
      <c r="AA36" s="98">
        <v>8.7182790897907553E-4</v>
      </c>
      <c r="AB36" s="98">
        <v>7.7502051565728192E-4</v>
      </c>
      <c r="AC36" s="98">
        <v>5.9819805263767003E-4</v>
      </c>
      <c r="AD36" s="98">
        <v>6.4146744877006121E-4</v>
      </c>
      <c r="AE36" s="98">
        <v>5.0579182191034838E-4</v>
      </c>
      <c r="AF36" s="98">
        <v>4.8643005576719895E-4</v>
      </c>
      <c r="AG36" s="98">
        <v>4.8758241711240833E-4</v>
      </c>
      <c r="AH36" s="98">
        <v>4.4934661538047254E-4</v>
      </c>
      <c r="AI36" s="98">
        <v>4.4968967870046386E-4</v>
      </c>
    </row>
    <row r="37" spans="1:36" x14ac:dyDescent="0.4">
      <c r="A37" s="104" t="s">
        <v>208</v>
      </c>
      <c r="B37" s="97">
        <v>0</v>
      </c>
      <c r="C37" s="98">
        <v>0</v>
      </c>
      <c r="D37" s="98">
        <v>0</v>
      </c>
      <c r="E37" s="98">
        <v>0</v>
      </c>
      <c r="F37" s="98">
        <v>0</v>
      </c>
      <c r="G37" s="98">
        <v>0</v>
      </c>
      <c r="H37" s="98">
        <v>0</v>
      </c>
      <c r="I37" s="98">
        <v>0</v>
      </c>
      <c r="J37" s="98">
        <v>0</v>
      </c>
      <c r="K37" s="98">
        <v>0</v>
      </c>
      <c r="L37" s="98">
        <v>0</v>
      </c>
      <c r="M37" s="98">
        <v>0</v>
      </c>
      <c r="N37" s="98">
        <v>0</v>
      </c>
      <c r="O37" s="98">
        <v>0</v>
      </c>
      <c r="P37" s="98">
        <v>0</v>
      </c>
      <c r="Q37" s="98">
        <v>0</v>
      </c>
      <c r="R37" s="98">
        <v>0</v>
      </c>
      <c r="S37" s="98">
        <v>0</v>
      </c>
      <c r="T37" s="98">
        <v>0</v>
      </c>
      <c r="U37" s="98">
        <v>0</v>
      </c>
      <c r="V37" s="98">
        <v>0</v>
      </c>
      <c r="W37" s="98">
        <v>0</v>
      </c>
      <c r="X37" s="98">
        <v>0</v>
      </c>
      <c r="Y37" s="98">
        <v>0</v>
      </c>
      <c r="Z37" s="98">
        <v>0</v>
      </c>
      <c r="AA37" s="98">
        <v>0</v>
      </c>
      <c r="AB37" s="98">
        <v>0</v>
      </c>
      <c r="AC37" s="98">
        <v>0</v>
      </c>
      <c r="AD37" s="98">
        <v>0</v>
      </c>
      <c r="AE37" s="98">
        <v>0</v>
      </c>
      <c r="AF37" s="98">
        <v>0</v>
      </c>
      <c r="AG37" s="98">
        <v>0</v>
      </c>
      <c r="AH37" s="98">
        <v>0</v>
      </c>
      <c r="AI37" s="98">
        <v>0</v>
      </c>
    </row>
    <row r="38" spans="1:36" x14ac:dyDescent="0.4">
      <c r="A38" s="104" t="s">
        <v>211</v>
      </c>
      <c r="B38" s="97">
        <v>0</v>
      </c>
      <c r="C38" s="98">
        <v>4.2258278259681518E-7</v>
      </c>
      <c r="D38" s="98">
        <v>4.5151902047130824E-7</v>
      </c>
      <c r="E38" s="98">
        <v>4.5411661617371672E-7</v>
      </c>
      <c r="F38" s="98">
        <v>5.137541923848001E-7</v>
      </c>
      <c r="G38" s="98">
        <v>5.6237049342329742E-7</v>
      </c>
      <c r="H38" s="98">
        <v>5.1851043473540421E-7</v>
      </c>
      <c r="I38" s="98">
        <v>4.3330861963208386E-7</v>
      </c>
      <c r="J38" s="98">
        <v>4.3941588338098811E-7</v>
      </c>
      <c r="K38" s="98">
        <v>4.4667786858711466E-7</v>
      </c>
      <c r="L38" s="98">
        <v>5.1425491797753355E-7</v>
      </c>
      <c r="M38" s="98">
        <v>4.4047997722954451E-7</v>
      </c>
      <c r="N38" s="98">
        <v>4.4553060888649672E-7</v>
      </c>
      <c r="O38" s="98">
        <v>4.2139818269646318E-7</v>
      </c>
      <c r="P38" s="98">
        <v>4.5433189325379739E-7</v>
      </c>
      <c r="Q38" s="98">
        <v>4.2605513099936532E-7</v>
      </c>
      <c r="R38" s="98">
        <v>4.1204618808971051E-7</v>
      </c>
      <c r="S38" s="98">
        <v>3.8808740809717315E-7</v>
      </c>
      <c r="T38" s="98">
        <v>3.9772437840644526E-7</v>
      </c>
      <c r="U38" s="98">
        <v>3.8067950370001094E-7</v>
      </c>
      <c r="V38" s="98">
        <v>3.7643697781603725E-7</v>
      </c>
      <c r="W38" s="98">
        <v>4.3606931383976547E-7</v>
      </c>
      <c r="X38" s="98">
        <v>4.7456891035826837E-7</v>
      </c>
      <c r="Y38" s="98">
        <v>4.1157112236742327E-7</v>
      </c>
      <c r="Z38" s="98">
        <v>3.4208861075377319E-7</v>
      </c>
      <c r="AA38" s="98">
        <v>4.0500553186981971E-7</v>
      </c>
      <c r="AB38" s="98">
        <v>4.3081987414437413E-7</v>
      </c>
      <c r="AC38" s="98">
        <v>4.1592599794461138E-7</v>
      </c>
      <c r="AD38" s="98">
        <v>4.2145886301138001E-7</v>
      </c>
      <c r="AE38" s="98">
        <v>4.1820812178400877E-7</v>
      </c>
      <c r="AF38" s="98">
        <v>4.1894534049038434E-7</v>
      </c>
      <c r="AG38" s="98">
        <v>4.1809309309461766E-7</v>
      </c>
      <c r="AH38" s="98">
        <v>4.1803906001841522E-7</v>
      </c>
      <c r="AI38" s="98">
        <v>4.1772649993777524E-7</v>
      </c>
    </row>
    <row r="39" spans="1:36" ht="17" x14ac:dyDescent="0.45">
      <c r="A39" s="101" t="s">
        <v>588</v>
      </c>
      <c r="B39" s="105">
        <v>8.4715753644071311E-4</v>
      </c>
      <c r="C39" s="106">
        <v>7.6400967613616069E-4</v>
      </c>
      <c r="D39" s="106">
        <v>7.8023880638276399E-4</v>
      </c>
      <c r="E39" s="106">
        <v>7.3145887526809047E-4</v>
      </c>
      <c r="F39" s="106">
        <v>7.7639235771511923E-4</v>
      </c>
      <c r="G39" s="106">
        <v>7.6556272437470444E-4</v>
      </c>
      <c r="H39" s="106">
        <v>7.1486863632441635E-4</v>
      </c>
      <c r="I39" s="106">
        <v>7.0568188579793294E-4</v>
      </c>
      <c r="J39" s="106">
        <v>7.1047598771537175E-4</v>
      </c>
      <c r="K39" s="106">
        <v>7.362476184649728E-4</v>
      </c>
      <c r="L39" s="106">
        <v>7.2278154455263902E-4</v>
      </c>
      <c r="M39" s="106">
        <v>6.9949420014584396E-4</v>
      </c>
      <c r="N39" s="106">
        <v>7.5780250729748117E-4</v>
      </c>
      <c r="O39" s="106">
        <v>6.8920466063235818E-4</v>
      </c>
      <c r="P39" s="106">
        <v>6.8026890729099303E-4</v>
      </c>
      <c r="Q39" s="106">
        <v>6.9447603788562993E-4</v>
      </c>
      <c r="R39" s="106">
        <v>6.864815068384813E-4</v>
      </c>
      <c r="S39" s="106">
        <v>6.3312836052649142E-4</v>
      </c>
      <c r="T39" s="106">
        <v>6.5477215035798764E-4</v>
      </c>
      <c r="U39" s="106">
        <v>6.2842378538355368E-4</v>
      </c>
      <c r="V39" s="106">
        <v>6.2005672075461378E-4</v>
      </c>
      <c r="W39" s="106">
        <v>6.3576834519963937E-4</v>
      </c>
      <c r="X39" s="106">
        <v>6.1623807414224819E-4</v>
      </c>
      <c r="Y39" s="106">
        <v>6.1314699776252198E-4</v>
      </c>
      <c r="Z39" s="106">
        <v>5.7805915697378403E-4</v>
      </c>
      <c r="AA39" s="106">
        <v>6.0090029673660829E-4</v>
      </c>
      <c r="AB39" s="106">
        <v>5.3319510006665665E-4</v>
      </c>
      <c r="AC39" s="106">
        <v>6.1610533003618668E-4</v>
      </c>
      <c r="AD39" s="106">
        <v>5.6922731347821014E-4</v>
      </c>
      <c r="AE39" s="106">
        <v>5.6008085675503174E-4</v>
      </c>
      <c r="AF39" s="106">
        <v>5.4251863486667916E-4</v>
      </c>
      <c r="AG39" s="106">
        <v>5.5083560892874245E-4</v>
      </c>
      <c r="AH39" s="106">
        <v>5.4301675296689045E-4</v>
      </c>
      <c r="AI39" s="106">
        <v>5.470668897610665E-4</v>
      </c>
      <c r="AJ39" s="100"/>
    </row>
    <row r="40" spans="1:36" x14ac:dyDescent="0.4">
      <c r="A40" s="104" t="s">
        <v>206</v>
      </c>
      <c r="B40" s="97">
        <v>6.8339636715034684E-5</v>
      </c>
      <c r="C40" s="98">
        <v>5.6010253015629099E-5</v>
      </c>
      <c r="D40" s="98">
        <v>5.6373918895122567E-5</v>
      </c>
      <c r="E40" s="98">
        <v>5.5475825534585739E-5</v>
      </c>
      <c r="F40" s="98">
        <v>5.432611755581096E-5</v>
      </c>
      <c r="G40" s="98">
        <v>5.2703758331488316E-5</v>
      </c>
      <c r="H40" s="98">
        <v>5.312742009744428E-5</v>
      </c>
      <c r="I40" s="98">
        <v>5.44775622151159E-5</v>
      </c>
      <c r="J40" s="98">
        <v>5.365322543915251E-5</v>
      </c>
      <c r="K40" s="98">
        <v>5.1538645048396086E-5</v>
      </c>
      <c r="L40" s="98">
        <v>4.8576421672076471E-5</v>
      </c>
      <c r="M40" s="98">
        <v>4.3963142249157988E-5</v>
      </c>
      <c r="N40" s="98">
        <v>4.3873193854408889E-5</v>
      </c>
      <c r="O40" s="98">
        <v>4.3681907893057314E-5</v>
      </c>
      <c r="P40" s="98">
        <v>3.8530390855973433E-5</v>
      </c>
      <c r="Q40" s="98">
        <v>3.6724225549519609E-5</v>
      </c>
      <c r="R40" s="98">
        <v>3.5553942005158004E-5</v>
      </c>
      <c r="S40" s="98">
        <v>3.2337595641899362E-5</v>
      </c>
      <c r="T40" s="98">
        <v>3.2090516264307074E-5</v>
      </c>
      <c r="U40" s="98">
        <v>3.1009079121494351E-5</v>
      </c>
      <c r="V40" s="98">
        <v>2.9087761301571518E-5</v>
      </c>
      <c r="W40" s="98">
        <v>3.0561033741466917E-5</v>
      </c>
      <c r="X40" s="98">
        <v>2.7178212299353332E-5</v>
      </c>
      <c r="Y40" s="98">
        <v>2.7788570942456719E-5</v>
      </c>
      <c r="Z40" s="98">
        <v>2.8501702158727531E-5</v>
      </c>
      <c r="AA40" s="98">
        <v>2.8426722726683237E-5</v>
      </c>
      <c r="AB40" s="98">
        <v>2.7677260171085111E-5</v>
      </c>
      <c r="AC40" s="98">
        <v>2.7283226012336101E-5</v>
      </c>
      <c r="AD40" s="98">
        <v>2.7683635922576231E-5</v>
      </c>
      <c r="AE40" s="98">
        <v>2.5940161461829891E-5</v>
      </c>
      <c r="AF40" s="98">
        <v>2.5833553541265736E-5</v>
      </c>
      <c r="AG40" s="98">
        <v>2.5360048820095571E-5</v>
      </c>
      <c r="AH40" s="98">
        <v>2.4654154840376569E-5</v>
      </c>
      <c r="AI40" s="98">
        <v>2.4448840725805485E-5</v>
      </c>
    </row>
    <row r="41" spans="1:36" x14ac:dyDescent="0.4">
      <c r="A41" s="104" t="s">
        <v>207</v>
      </c>
      <c r="B41" s="97">
        <v>7.7881789972567841E-4</v>
      </c>
      <c r="C41" s="98">
        <v>7.0796839065089337E-4</v>
      </c>
      <c r="D41" s="98">
        <v>7.2383299914766368E-4</v>
      </c>
      <c r="E41" s="98">
        <v>6.7595067223191318E-4</v>
      </c>
      <c r="F41" s="98">
        <v>7.2202978235912985E-4</v>
      </c>
      <c r="G41" s="98">
        <v>7.1281844209624768E-4</v>
      </c>
      <c r="H41" s="98">
        <v>6.6170613905317205E-4</v>
      </c>
      <c r="I41" s="98">
        <v>6.5117498436059436E-4</v>
      </c>
      <c r="J41" s="98">
        <v>6.5679356865875227E-4</v>
      </c>
      <c r="K41" s="98">
        <v>6.8467893256876731E-4</v>
      </c>
      <c r="L41" s="98">
        <v>6.7416736507807794E-4</v>
      </c>
      <c r="M41" s="98">
        <v>6.5550094235305621E-4</v>
      </c>
      <c r="N41" s="98">
        <v>7.138989496401362E-4</v>
      </c>
      <c r="O41" s="98">
        <v>6.4549266970776917E-4</v>
      </c>
      <c r="P41" s="98">
        <v>6.4170679865007839E-4</v>
      </c>
      <c r="Q41" s="98">
        <v>6.5772122068197584E-4</v>
      </c>
      <c r="R41" s="98">
        <v>6.5089821776815758E-4</v>
      </c>
      <c r="S41" s="98">
        <v>6.0076371308807127E-4</v>
      </c>
      <c r="T41" s="98">
        <v>6.2265132717396771E-4</v>
      </c>
      <c r="U41" s="98">
        <v>5.9738899790102962E-4</v>
      </c>
      <c r="V41" s="98">
        <v>5.9094097726155128E-4</v>
      </c>
      <c r="W41" s="98">
        <v>6.0517484453288372E-4</v>
      </c>
      <c r="X41" s="98">
        <v>5.8902535892141176E-4</v>
      </c>
      <c r="Y41" s="98">
        <v>5.8532912975726547E-4</v>
      </c>
      <c r="Z41" s="98">
        <v>5.4953314142967358E-4</v>
      </c>
      <c r="AA41" s="98">
        <v>5.7244507312736483E-4</v>
      </c>
      <c r="AB41" s="98">
        <v>5.054873529539639E-4</v>
      </c>
      <c r="AC41" s="98">
        <v>5.8879276411205237E-4</v>
      </c>
      <c r="AD41" s="98">
        <v>5.4151381183557086E-4</v>
      </c>
      <c r="AE41" s="98">
        <v>5.3411108089833142E-4</v>
      </c>
      <c r="AF41" s="98">
        <v>5.1665535323588583E-4</v>
      </c>
      <c r="AG41" s="98">
        <v>5.2544588549893452E-4</v>
      </c>
      <c r="AH41" s="98">
        <v>5.1833289913997551E-4</v>
      </c>
      <c r="AI41" s="98">
        <v>5.2258836143657538E-4</v>
      </c>
    </row>
    <row r="42" spans="1:36" x14ac:dyDescent="0.4">
      <c r="A42" s="114" t="s">
        <v>211</v>
      </c>
      <c r="B42" s="97">
        <v>0</v>
      </c>
      <c r="C42" s="98">
        <v>3.1032469638304213E-8</v>
      </c>
      <c r="D42" s="98">
        <v>3.1888339977705143E-8</v>
      </c>
      <c r="E42" s="98">
        <v>3.2377501591534072E-8</v>
      </c>
      <c r="F42" s="98">
        <v>3.6457800178527583E-8</v>
      </c>
      <c r="G42" s="98">
        <v>4.0523946968550883E-8</v>
      </c>
      <c r="H42" s="98">
        <v>3.5077173799996324E-8</v>
      </c>
      <c r="I42" s="98">
        <v>2.9339222222666966E-8</v>
      </c>
      <c r="J42" s="98">
        <v>2.9193617467059288E-8</v>
      </c>
      <c r="K42" s="98">
        <v>3.0040847809411507E-8</v>
      </c>
      <c r="L42" s="98">
        <v>3.7757802484569645E-8</v>
      </c>
      <c r="M42" s="98">
        <v>3.0115543629682427E-8</v>
      </c>
      <c r="N42" s="98">
        <v>3.0363802936091761E-8</v>
      </c>
      <c r="O42" s="98">
        <v>3.0083031531524999E-8</v>
      </c>
      <c r="P42" s="98">
        <v>3.1717784941211361E-8</v>
      </c>
      <c r="Q42" s="98">
        <v>3.0591654134395021E-8</v>
      </c>
      <c r="R42" s="98">
        <v>2.9347065165847657E-8</v>
      </c>
      <c r="S42" s="98">
        <v>2.7051796520926726E-8</v>
      </c>
      <c r="T42" s="98">
        <v>3.030691971293429E-8</v>
      </c>
      <c r="U42" s="98">
        <v>2.5708361029592092E-8</v>
      </c>
      <c r="V42" s="98">
        <v>2.7982191490966147E-8</v>
      </c>
      <c r="W42" s="98">
        <v>3.2466925288775146E-8</v>
      </c>
      <c r="X42" s="98">
        <v>3.4502921483168808E-8</v>
      </c>
      <c r="Y42" s="98">
        <v>2.9297062799708125E-8</v>
      </c>
      <c r="Z42" s="98">
        <v>2.431338538288896E-8</v>
      </c>
      <c r="AA42" s="98">
        <v>2.8500882560239099E-8</v>
      </c>
      <c r="AB42" s="98">
        <v>3.0486941607554913E-8</v>
      </c>
      <c r="AC42" s="98">
        <v>2.933991179828968E-8</v>
      </c>
      <c r="AD42" s="98">
        <v>2.9865720062975848E-8</v>
      </c>
      <c r="AE42" s="98">
        <v>2.9614394870322789E-8</v>
      </c>
      <c r="AF42" s="98">
        <v>2.9728089527558896E-8</v>
      </c>
      <c r="AG42" s="98">
        <v>2.9674609712236674E-8</v>
      </c>
      <c r="AH42" s="98">
        <v>2.9698986538415076E-8</v>
      </c>
      <c r="AI42" s="98">
        <v>2.968759868571927E-8</v>
      </c>
    </row>
    <row r="43" spans="1:36" x14ac:dyDescent="0.4">
      <c r="A43" s="1187" t="s">
        <v>1063</v>
      </c>
      <c r="B43" s="1078"/>
      <c r="C43" s="1077"/>
      <c r="D43" s="1077"/>
      <c r="E43" s="1077"/>
      <c r="F43" s="1077"/>
      <c r="G43" s="1077"/>
      <c r="H43" s="1077"/>
      <c r="I43" s="1077"/>
      <c r="J43" s="1077"/>
      <c r="K43" s="1077"/>
      <c r="L43" s="1077"/>
      <c r="M43" s="1077"/>
      <c r="N43" s="1077"/>
      <c r="O43" s="1077"/>
      <c r="P43" s="1077"/>
      <c r="Q43" s="1077"/>
      <c r="R43" s="1077"/>
      <c r="S43" s="1077"/>
      <c r="T43" s="1077"/>
      <c r="U43" s="1077"/>
      <c r="V43" s="1077"/>
      <c r="W43" s="1077"/>
      <c r="X43" s="1077"/>
      <c r="Y43" s="1077"/>
      <c r="Z43" s="1077"/>
      <c r="AA43" s="1077"/>
      <c r="AB43" s="1077"/>
      <c r="AC43" s="1077"/>
      <c r="AD43" s="1077"/>
      <c r="AE43" s="1077"/>
      <c r="AF43" s="1077"/>
      <c r="AG43" s="1077"/>
      <c r="AH43" s="1077"/>
      <c r="AI43" s="1077"/>
    </row>
    <row r="44" spans="1:36" x14ac:dyDescent="0.4">
      <c r="A44" s="28"/>
      <c r="B44" s="28"/>
      <c r="C44" s="28"/>
      <c r="D44" s="28"/>
      <c r="E44" s="28"/>
      <c r="F44" s="28"/>
      <c r="G44" s="28"/>
      <c r="H44" s="28"/>
      <c r="I44" s="28"/>
      <c r="J44" s="28"/>
      <c r="K44" s="28"/>
      <c r="L44" s="28"/>
      <c r="M44" s="28"/>
      <c r="N44" s="28"/>
      <c r="O44" s="28"/>
      <c r="P44" s="28"/>
      <c r="Q44" s="28"/>
      <c r="R44" s="28"/>
      <c r="S44" s="28"/>
      <c r="T44" s="28"/>
      <c r="U44" s="28"/>
      <c r="V44" s="28"/>
      <c r="W44" s="28"/>
      <c r="AB44" s="12"/>
      <c r="AF44" s="28"/>
      <c r="AG44" s="28"/>
      <c r="AH44" s="28"/>
      <c r="AI44" s="28"/>
    </row>
    <row r="45" spans="1:36" ht="17" x14ac:dyDescent="0.45">
      <c r="A45" s="108" t="s">
        <v>1202</v>
      </c>
      <c r="B45" s="12"/>
      <c r="AB45" s="28"/>
      <c r="AF45" s="28"/>
      <c r="AG45" s="28"/>
      <c r="AI45" s="28"/>
    </row>
    <row r="46" spans="1:36" s="28" customFormat="1" x14ac:dyDescent="0.4">
      <c r="A46" s="108" t="s">
        <v>446</v>
      </c>
      <c r="B46" s="230" t="s">
        <v>391</v>
      </c>
      <c r="C46" s="230" t="s">
        <v>392</v>
      </c>
      <c r="D46" s="230" t="s">
        <v>393</v>
      </c>
      <c r="E46" s="230" t="s">
        <v>394</v>
      </c>
      <c r="F46" s="230" t="s">
        <v>395</v>
      </c>
      <c r="G46" s="230" t="s">
        <v>396</v>
      </c>
      <c r="H46" s="230" t="s">
        <v>397</v>
      </c>
      <c r="I46" s="230" t="s">
        <v>398</v>
      </c>
      <c r="J46" s="230" t="s">
        <v>399</v>
      </c>
      <c r="K46" s="230" t="s">
        <v>400</v>
      </c>
      <c r="L46" s="230" t="s">
        <v>401</v>
      </c>
      <c r="M46" s="230" t="s">
        <v>402</v>
      </c>
      <c r="N46" s="230" t="s">
        <v>403</v>
      </c>
      <c r="O46" s="230" t="s">
        <v>404</v>
      </c>
      <c r="P46" s="230" t="s">
        <v>405</v>
      </c>
      <c r="Q46" s="230" t="s">
        <v>406</v>
      </c>
      <c r="R46" s="230" t="s">
        <v>407</v>
      </c>
      <c r="S46" s="230" t="s">
        <v>408</v>
      </c>
      <c r="T46" s="230" t="s">
        <v>409</v>
      </c>
      <c r="U46" s="230" t="s">
        <v>410</v>
      </c>
      <c r="V46" s="230" t="s">
        <v>411</v>
      </c>
      <c r="W46" s="230" t="s">
        <v>412</v>
      </c>
      <c r="X46" s="230" t="s">
        <v>413</v>
      </c>
      <c r="Y46" s="230" t="s">
        <v>414</v>
      </c>
      <c r="Z46" s="230" t="s">
        <v>415</v>
      </c>
      <c r="AA46" s="230" t="s">
        <v>416</v>
      </c>
      <c r="AB46" s="230" t="s">
        <v>417</v>
      </c>
      <c r="AC46" s="230" t="s">
        <v>418</v>
      </c>
      <c r="AD46" s="230" t="s">
        <v>419</v>
      </c>
      <c r="AE46" s="230" t="s">
        <v>420</v>
      </c>
      <c r="AF46" s="230" t="s">
        <v>421</v>
      </c>
      <c r="AG46" s="230" t="s">
        <v>422</v>
      </c>
      <c r="AH46" s="230" t="s">
        <v>423</v>
      </c>
      <c r="AI46" s="230" t="s">
        <v>424</v>
      </c>
    </row>
    <row r="47" spans="1:36" x14ac:dyDescent="0.4">
      <c r="A47" s="108" t="s">
        <v>213</v>
      </c>
      <c r="B47" s="98">
        <f t="shared" ref="B47:AI47" si="0">B34*$B$55</f>
        <v>0.19364782314664009</v>
      </c>
      <c r="C47" s="98">
        <f t="shared" si="0"/>
        <v>0.18812571027107258</v>
      </c>
      <c r="D47" s="98">
        <f t="shared" si="0"/>
        <v>0.18759709171804292</v>
      </c>
      <c r="E47" s="98">
        <f t="shared" si="0"/>
        <v>0.18727145241236376</v>
      </c>
      <c r="F47" s="98">
        <f t="shared" si="0"/>
        <v>0.17877038988922098</v>
      </c>
      <c r="G47" s="98">
        <f t="shared" si="0"/>
        <v>0.17279738371161454</v>
      </c>
      <c r="H47" s="98">
        <f t="shared" si="0"/>
        <v>0.16926969364229741</v>
      </c>
      <c r="I47" s="98">
        <f t="shared" si="0"/>
        <v>0.16853312219495115</v>
      </c>
      <c r="J47" s="98">
        <f t="shared" si="0"/>
        <v>0.17010291000362487</v>
      </c>
      <c r="K47" s="98">
        <f t="shared" si="0"/>
        <v>0.16670487110214308</v>
      </c>
      <c r="L47" s="98">
        <f t="shared" si="0"/>
        <v>0.15871038622302372</v>
      </c>
      <c r="M47" s="98">
        <f t="shared" si="0"/>
        <v>0.14015768081693583</v>
      </c>
      <c r="N47" s="98">
        <f t="shared" si="0"/>
        <v>0.14522906078860071</v>
      </c>
      <c r="O47" s="98">
        <f t="shared" si="0"/>
        <v>0.14038850041958489</v>
      </c>
      <c r="P47" s="98">
        <f t="shared" si="0"/>
        <v>0.13099524091882961</v>
      </c>
      <c r="Q47" s="98">
        <f t="shared" si="0"/>
        <v>0.13063478456176927</v>
      </c>
      <c r="R47" s="98">
        <f t="shared" si="0"/>
        <v>0.12964078739050422</v>
      </c>
      <c r="S47" s="98">
        <f t="shared" si="0"/>
        <v>0.1256838715820035</v>
      </c>
      <c r="T47" s="98">
        <f t="shared" si="0"/>
        <v>0.12846411531279736</v>
      </c>
      <c r="U47" s="98">
        <f t="shared" si="0"/>
        <v>0.12505031022912991</v>
      </c>
      <c r="V47" s="98">
        <f t="shared" si="0"/>
        <v>0.12253199932295608</v>
      </c>
      <c r="W47" s="98">
        <f t="shared" si="0"/>
        <v>0.11387849088529813</v>
      </c>
      <c r="X47" s="98">
        <f t="shared" si="0"/>
        <v>0.11191890542121571</v>
      </c>
      <c r="Y47" s="98">
        <f t="shared" si="0"/>
        <v>0.10998938859399592</v>
      </c>
      <c r="Z47" s="98">
        <f t="shared" si="0"/>
        <v>0.10792816795588726</v>
      </c>
      <c r="AA47" s="98">
        <f t="shared" si="0"/>
        <v>0.11042759993794329</v>
      </c>
      <c r="AB47" s="98">
        <f t="shared" si="0"/>
        <v>0.1073975843088158</v>
      </c>
      <c r="AC47" s="98">
        <f t="shared" si="0"/>
        <v>0.10114147517847505</v>
      </c>
      <c r="AD47" s="98">
        <f t="shared" si="0"/>
        <v>0.10268287973416458</v>
      </c>
      <c r="AE47" s="98">
        <f t="shared" si="0"/>
        <v>9.6619555634330737E-2</v>
      </c>
      <c r="AF47" s="98">
        <f t="shared" si="0"/>
        <v>9.0958272544135604E-2</v>
      </c>
      <c r="AG47" s="98">
        <f t="shared" si="0"/>
        <v>9.4423107879375121E-2</v>
      </c>
      <c r="AH47" s="98">
        <f t="shared" si="0"/>
        <v>9.4577999180296704E-2</v>
      </c>
      <c r="AI47" s="98">
        <f t="shared" si="0"/>
        <v>9.292292744602583E-2</v>
      </c>
      <c r="AJ47" s="100"/>
    </row>
    <row r="48" spans="1:36" x14ac:dyDescent="0.4">
      <c r="A48" s="108" t="s">
        <v>214</v>
      </c>
      <c r="B48" s="98">
        <f t="shared" ref="B48:AI48" si="1">B39*$B$56</f>
        <v>0.25245294585933248</v>
      </c>
      <c r="C48" s="98">
        <f t="shared" si="1"/>
        <v>0.2276748834885759</v>
      </c>
      <c r="D48" s="98">
        <f t="shared" si="1"/>
        <v>0.23251116430206367</v>
      </c>
      <c r="E48" s="98">
        <f t="shared" si="1"/>
        <v>0.21797474482989096</v>
      </c>
      <c r="F48" s="98">
        <f t="shared" si="1"/>
        <v>0.23136492259910554</v>
      </c>
      <c r="G48" s="98">
        <f t="shared" si="1"/>
        <v>0.22813769186366192</v>
      </c>
      <c r="H48" s="98">
        <f t="shared" si="1"/>
        <v>0.21303085362467608</v>
      </c>
      <c r="I48" s="98">
        <f t="shared" si="1"/>
        <v>0.210293201967784</v>
      </c>
      <c r="J48" s="98">
        <f t="shared" si="1"/>
        <v>0.21172184433918079</v>
      </c>
      <c r="K48" s="98">
        <f t="shared" si="1"/>
        <v>0.21940179030256191</v>
      </c>
      <c r="L48" s="98">
        <f t="shared" si="1"/>
        <v>0.21538890027668642</v>
      </c>
      <c r="M48" s="98">
        <f t="shared" si="1"/>
        <v>0.2084492716434615</v>
      </c>
      <c r="N48" s="98">
        <f t="shared" si="1"/>
        <v>0.22582514717464938</v>
      </c>
      <c r="O48" s="98">
        <f t="shared" si="1"/>
        <v>0.20538298886844275</v>
      </c>
      <c r="P48" s="98">
        <f t="shared" si="1"/>
        <v>0.20272013437271591</v>
      </c>
      <c r="Q48" s="98">
        <f t="shared" si="1"/>
        <v>0.20695385928991772</v>
      </c>
      <c r="R48" s="98">
        <f t="shared" si="1"/>
        <v>0.20457148903786743</v>
      </c>
      <c r="S48" s="98">
        <f t="shared" si="1"/>
        <v>0.18867225143689445</v>
      </c>
      <c r="T48" s="98">
        <f t="shared" si="1"/>
        <v>0.19512210080668033</v>
      </c>
      <c r="U48" s="98">
        <f t="shared" si="1"/>
        <v>0.18727028804429899</v>
      </c>
      <c r="V48" s="98">
        <f t="shared" si="1"/>
        <v>0.18477690278487491</v>
      </c>
      <c r="W48" s="98">
        <f t="shared" si="1"/>
        <v>0.18945896686949254</v>
      </c>
      <c r="X48" s="98">
        <f t="shared" si="1"/>
        <v>0.18363894609438997</v>
      </c>
      <c r="Y48" s="98">
        <f t="shared" si="1"/>
        <v>0.18271780533323154</v>
      </c>
      <c r="Z48" s="98">
        <f t="shared" si="1"/>
        <v>0.17226162877818765</v>
      </c>
      <c r="AA48" s="98">
        <f t="shared" si="1"/>
        <v>0.17906828842750927</v>
      </c>
      <c r="AB48" s="98">
        <f t="shared" si="1"/>
        <v>0.15889213981986369</v>
      </c>
      <c r="AC48" s="98">
        <f t="shared" si="1"/>
        <v>0.18359938835078363</v>
      </c>
      <c r="AD48" s="98">
        <f t="shared" si="1"/>
        <v>0.16962973941650661</v>
      </c>
      <c r="AE48" s="98">
        <f t="shared" si="1"/>
        <v>0.16690409531299946</v>
      </c>
      <c r="AF48" s="98">
        <f t="shared" si="1"/>
        <v>0.16167055319027038</v>
      </c>
      <c r="AG48" s="98">
        <f t="shared" si="1"/>
        <v>0.16414901146076524</v>
      </c>
      <c r="AH48" s="98">
        <f t="shared" si="1"/>
        <v>0.16181899238413336</v>
      </c>
      <c r="AI48" s="98">
        <f t="shared" si="1"/>
        <v>0.16302593314879782</v>
      </c>
      <c r="AJ48" s="100"/>
    </row>
    <row r="49" spans="1:36" x14ac:dyDescent="0.4">
      <c r="A49" s="108" t="s">
        <v>212</v>
      </c>
      <c r="B49" s="98" t="s">
        <v>447</v>
      </c>
      <c r="C49" s="98">
        <f t="shared" ref="C49:AI49" si="2">C31</f>
        <v>2.5486603163083249E-3</v>
      </c>
      <c r="D49" s="98">
        <f t="shared" si="2"/>
        <v>2.6618489824306751E-3</v>
      </c>
      <c r="E49" s="98">
        <f t="shared" si="2"/>
        <v>2.0780988841513199E-3</v>
      </c>
      <c r="F49" s="98">
        <f t="shared" si="2"/>
        <v>2.179395083008255E-3</v>
      </c>
      <c r="G49" s="98">
        <f t="shared" si="2"/>
        <v>2.787119054099005E-3</v>
      </c>
      <c r="H49" s="98">
        <f t="shared" si="2"/>
        <v>1.8001400707611361E-3</v>
      </c>
      <c r="I49" s="98">
        <f t="shared" si="2"/>
        <v>1.9693941758142071E-3</v>
      </c>
      <c r="J49" s="98">
        <f t="shared" si="2"/>
        <v>2.5539878435997458E-3</v>
      </c>
      <c r="K49" s="98">
        <f t="shared" si="2"/>
        <v>3.8575289243702559E-3</v>
      </c>
      <c r="L49" s="98">
        <f t="shared" si="2"/>
        <v>3.2551857026217909E-3</v>
      </c>
      <c r="M49" s="98">
        <f t="shared" si="2"/>
        <v>3.2328204662977408E-3</v>
      </c>
      <c r="N49" s="98">
        <f t="shared" si="2"/>
        <v>2.228463152801717E-3</v>
      </c>
      <c r="O49" s="98">
        <f t="shared" si="2"/>
        <v>2.0115939399437538E-3</v>
      </c>
      <c r="P49" s="98">
        <f t="shared" si="2"/>
        <v>2.9026441682542558E-3</v>
      </c>
      <c r="Q49" s="98">
        <f t="shared" si="2"/>
        <v>2.9861881520457218E-3</v>
      </c>
      <c r="R49" s="98">
        <f t="shared" si="2"/>
        <v>2.6760472950497442E-3</v>
      </c>
      <c r="S49" s="98">
        <f t="shared" si="2"/>
        <v>2.8427933109558801E-3</v>
      </c>
      <c r="T49" s="98">
        <f t="shared" si="2"/>
        <v>2.1178158396080921E-3</v>
      </c>
      <c r="U49" s="98">
        <f t="shared" si="2"/>
        <v>1.9815088451419758E-3</v>
      </c>
      <c r="V49" s="98">
        <f t="shared" si="2"/>
        <v>2.4718290462067527E-2</v>
      </c>
      <c r="W49" s="98">
        <f t="shared" si="2"/>
        <v>1.1739001481750281E-3</v>
      </c>
      <c r="X49" s="98">
        <f t="shared" si="2"/>
        <v>8.3594278629532182E-4</v>
      </c>
      <c r="Y49" s="98">
        <f t="shared" si="2"/>
        <v>8.5555112038465024E-4</v>
      </c>
      <c r="Z49" s="98">
        <f t="shared" si="2"/>
        <v>7.197071577610451E-4</v>
      </c>
      <c r="AA49" s="98">
        <f t="shared" si="2"/>
        <v>7.1876379690949226E-4</v>
      </c>
      <c r="AB49" s="98">
        <f t="shared" si="2"/>
        <v>6.2669364056971793E-4</v>
      </c>
      <c r="AC49" s="98">
        <f t="shared" si="2"/>
        <v>7.8454972362728499E-4</v>
      </c>
      <c r="AD49" s="98">
        <f t="shared" si="2"/>
        <v>8.0048792265794506E-4</v>
      </c>
      <c r="AE49" s="98">
        <f t="shared" si="2"/>
        <v>7.7781776336734675E-4</v>
      </c>
      <c r="AF49" s="98">
        <f t="shared" si="2"/>
        <v>7.4234808496037163E-4</v>
      </c>
      <c r="AG49" s="98">
        <f t="shared" si="2"/>
        <v>1.2501174337364232E-2</v>
      </c>
      <c r="AH49" s="98">
        <f t="shared" si="2"/>
        <v>6.4532529408223131E-4</v>
      </c>
      <c r="AI49" s="98">
        <f t="shared" si="2"/>
        <v>5.9120709976140124E-4</v>
      </c>
      <c r="AJ49" s="100"/>
    </row>
    <row r="50" spans="1:36" x14ac:dyDescent="0.4">
      <c r="A50" s="109" t="s">
        <v>997</v>
      </c>
      <c r="B50" s="113">
        <f>B47+B48</f>
        <v>0.44610076900597256</v>
      </c>
      <c r="C50" s="113">
        <f>C47+C48+C49</f>
        <v>0.41834925407595686</v>
      </c>
      <c r="D50" s="113">
        <f t="shared" ref="D50:AI50" si="3">D47+D48+D49</f>
        <v>0.42277010500253726</v>
      </c>
      <c r="E50" s="113">
        <f t="shared" si="3"/>
        <v>0.40732429612640608</v>
      </c>
      <c r="F50" s="113">
        <f t="shared" si="3"/>
        <v>0.41231470757133476</v>
      </c>
      <c r="G50" s="113">
        <f t="shared" si="3"/>
        <v>0.40372219462937547</v>
      </c>
      <c r="H50" s="113">
        <f t="shared" si="3"/>
        <v>0.38410068733773461</v>
      </c>
      <c r="I50" s="113">
        <f t="shared" si="3"/>
        <v>0.38079571833854936</v>
      </c>
      <c r="J50" s="113">
        <f t="shared" si="3"/>
        <v>0.38437874218640539</v>
      </c>
      <c r="K50" s="113">
        <f t="shared" si="3"/>
        <v>0.3899641903290752</v>
      </c>
      <c r="L50" s="113">
        <f t="shared" si="3"/>
        <v>0.37735447220233193</v>
      </c>
      <c r="M50" s="113">
        <f t="shared" si="3"/>
        <v>0.35183977292669505</v>
      </c>
      <c r="N50" s="113">
        <f t="shared" si="3"/>
        <v>0.37328267111605179</v>
      </c>
      <c r="O50" s="113">
        <f t="shared" si="3"/>
        <v>0.34778308322797141</v>
      </c>
      <c r="P50" s="113">
        <f t="shared" si="3"/>
        <v>0.33661801945979974</v>
      </c>
      <c r="Q50" s="113">
        <f t="shared" si="3"/>
        <v>0.34057483200373267</v>
      </c>
      <c r="R50" s="113">
        <f t="shared" si="3"/>
        <v>0.33688832372342137</v>
      </c>
      <c r="S50" s="113">
        <f t="shared" si="3"/>
        <v>0.31719891632985381</v>
      </c>
      <c r="T50" s="113">
        <f t="shared" si="3"/>
        <v>0.32570403195908576</v>
      </c>
      <c r="U50" s="113">
        <f t="shared" si="3"/>
        <v>0.31430210711857087</v>
      </c>
      <c r="V50" s="113">
        <f t="shared" si="3"/>
        <v>0.33202719256989854</v>
      </c>
      <c r="W50" s="113">
        <f t="shared" si="3"/>
        <v>0.30451135790296568</v>
      </c>
      <c r="X50" s="113">
        <f t="shared" si="3"/>
        <v>0.29639379430190099</v>
      </c>
      <c r="Y50" s="113">
        <f t="shared" si="3"/>
        <v>0.29356274504761209</v>
      </c>
      <c r="Z50" s="113">
        <f t="shared" si="3"/>
        <v>0.28090950389183594</v>
      </c>
      <c r="AA50" s="113">
        <f t="shared" si="3"/>
        <v>0.29021465216236209</v>
      </c>
      <c r="AB50" s="113">
        <f t="shared" si="3"/>
        <v>0.26691641776924918</v>
      </c>
      <c r="AC50" s="113">
        <f t="shared" si="3"/>
        <v>0.28552541325288594</v>
      </c>
      <c r="AD50" s="113">
        <f t="shared" si="3"/>
        <v>0.27311310707332914</v>
      </c>
      <c r="AE50" s="113">
        <f t="shared" si="3"/>
        <v>0.26430146871069754</v>
      </c>
      <c r="AF50" s="113">
        <f t="shared" si="3"/>
        <v>0.25337117381936636</v>
      </c>
      <c r="AG50" s="113">
        <f t="shared" si="3"/>
        <v>0.2710732936775046</v>
      </c>
      <c r="AH50" s="113">
        <f t="shared" si="3"/>
        <v>0.25704231685851231</v>
      </c>
      <c r="AI50" s="113">
        <f t="shared" si="3"/>
        <v>0.25654006769458504</v>
      </c>
      <c r="AJ50" s="107"/>
    </row>
    <row r="51" spans="1:36" x14ac:dyDescent="0.4">
      <c r="A51" s="28" t="s">
        <v>1063</v>
      </c>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row>
    <row r="52" spans="1:36" x14ac:dyDescent="0.4">
      <c r="AB52" s="28"/>
    </row>
    <row r="53" spans="1:36" x14ac:dyDescent="0.4">
      <c r="A53" s="88" t="s">
        <v>769</v>
      </c>
      <c r="AB53" s="28"/>
    </row>
    <row r="54" spans="1:36" x14ac:dyDescent="0.4">
      <c r="A54" s="56" t="s">
        <v>446</v>
      </c>
      <c r="B54" s="56" t="s">
        <v>226</v>
      </c>
      <c r="AB54" s="28"/>
    </row>
    <row r="55" spans="1:36" ht="17" x14ac:dyDescent="0.45">
      <c r="A55" s="88" t="s">
        <v>587</v>
      </c>
      <c r="B55" s="196">
        <v>25</v>
      </c>
      <c r="AB55" s="28"/>
    </row>
    <row r="56" spans="1:36" ht="17" x14ac:dyDescent="0.45">
      <c r="A56" s="88" t="s">
        <v>588</v>
      </c>
      <c r="B56" s="196">
        <v>298</v>
      </c>
    </row>
    <row r="57" spans="1:36" x14ac:dyDescent="0.4">
      <c r="A57" s="196" t="s">
        <v>1063</v>
      </c>
      <c r="B57" s="196"/>
    </row>
    <row r="59" spans="1:36" x14ac:dyDescent="0.4">
      <c r="A59" s="395" t="s">
        <v>1064</v>
      </c>
    </row>
  </sheetData>
  <phoneticPr fontId="34" type="noConversion"/>
  <hyperlinks>
    <hyperlink ref="A2" location="Contents!A1" display="Return to Contents tab" xr:uid="{6CE242C8-6988-4808-97C9-AD78FF8F7C67}"/>
    <hyperlink ref="A3" location="Agriculture!A5" display="Go to Data on Agriculture Worksheet" xr:uid="{BF2203BD-E92C-46C3-AFBE-95A49A4650FA}"/>
  </hyperlinks>
  <pageMargins left="0.7" right="0.7" top="0.75" bottom="0.75" header="0.3" footer="0.3"/>
  <pageSetup scale="29" orientation="landscape" r:id="rId1"/>
  <headerFooter>
    <oddFooter>&amp;L&amp;F &amp;A&amp;R Page &amp;P of &amp;N</oddFooter>
  </headerFooter>
  <tableParts count="5">
    <tablePart r:id="rId2"/>
    <tablePart r:id="rId3"/>
    <tablePart r:id="rId4"/>
    <tablePart r:id="rId5"/>
    <tablePart r:id="rId6"/>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AL150"/>
  <sheetViews>
    <sheetView zoomScaleNormal="100" zoomScaleSheetLayoutView="100" workbookViewId="0">
      <pane xSplit="1" topLeftCell="B1" activePane="topRight" state="frozen"/>
      <selection pane="topRight"/>
    </sheetView>
  </sheetViews>
  <sheetFormatPr defaultColWidth="8.81640625" defaultRowHeight="16" x14ac:dyDescent="0.4"/>
  <cols>
    <col min="1" max="1" width="53.1796875" style="3" customWidth="1"/>
    <col min="2" max="2" width="15.7265625" style="3" customWidth="1"/>
    <col min="3" max="3" width="17.1796875" style="3" customWidth="1"/>
    <col min="4" max="37" width="15.26953125" style="3" customWidth="1"/>
    <col min="38" max="16384" width="8.81640625" style="3"/>
  </cols>
  <sheetData>
    <row r="1" spans="1:19" ht="21" x14ac:dyDescent="0.5">
      <c r="A1" s="52" t="s">
        <v>767</v>
      </c>
      <c r="B1" s="26"/>
      <c r="C1" s="26"/>
      <c r="D1" s="26"/>
      <c r="E1" s="27"/>
      <c r="F1" s="26"/>
      <c r="G1" s="26"/>
      <c r="H1" s="28"/>
      <c r="I1" s="26"/>
      <c r="J1" s="25"/>
      <c r="K1" s="26"/>
      <c r="L1" s="26"/>
      <c r="M1" s="26"/>
      <c r="N1" s="26"/>
      <c r="O1" s="26"/>
      <c r="P1" s="26"/>
      <c r="Q1" s="26"/>
      <c r="R1" s="26"/>
      <c r="S1" s="26"/>
    </row>
    <row r="2" spans="1:19" x14ac:dyDescent="0.4">
      <c r="A2" s="1011" t="s">
        <v>730</v>
      </c>
      <c r="B2" s="26"/>
      <c r="C2" s="26"/>
      <c r="D2" s="26"/>
      <c r="E2" s="27"/>
      <c r="F2" s="26"/>
      <c r="G2" s="26"/>
      <c r="H2" s="28"/>
      <c r="I2" s="26"/>
      <c r="J2" s="25"/>
      <c r="K2" s="26"/>
      <c r="L2" s="26"/>
      <c r="M2" s="26"/>
      <c r="N2" s="26"/>
      <c r="O2" s="26"/>
      <c r="P2" s="26"/>
      <c r="Q2" s="26"/>
      <c r="R2" s="26"/>
      <c r="S2" s="26"/>
    </row>
    <row r="3" spans="1:19" s="1052" customFormat="1" x14ac:dyDescent="0.4">
      <c r="A3" s="1265" t="s">
        <v>905</v>
      </c>
    </row>
    <row r="4" spans="1:19" s="1052" customFormat="1" x14ac:dyDescent="0.4"/>
    <row r="5" spans="1:19" x14ac:dyDescent="0.4">
      <c r="A5" s="108" t="s">
        <v>1080</v>
      </c>
      <c r="B5" s="26"/>
      <c r="C5" s="26"/>
      <c r="D5" s="26"/>
      <c r="E5" s="27"/>
      <c r="F5" s="26"/>
      <c r="G5" s="26"/>
      <c r="H5" s="28"/>
      <c r="I5" s="26"/>
      <c r="J5" s="25"/>
      <c r="K5" s="26"/>
      <c r="L5" s="26"/>
      <c r="M5" s="26"/>
      <c r="N5" s="26"/>
      <c r="O5" s="26"/>
      <c r="P5" s="26"/>
      <c r="Q5" s="26"/>
      <c r="R5" s="26"/>
      <c r="S5" s="26"/>
    </row>
    <row r="6" spans="1:19" x14ac:dyDescent="0.4">
      <c r="A6" s="1175" t="s">
        <v>912</v>
      </c>
      <c r="B6" s="1174" t="s">
        <v>680</v>
      </c>
      <c r="C6" s="1174" t="s">
        <v>673</v>
      </c>
      <c r="D6" s="1174" t="s">
        <v>888</v>
      </c>
      <c r="F6" s="26"/>
      <c r="G6" s="26"/>
      <c r="H6" s="28"/>
      <c r="I6" s="26"/>
      <c r="J6" s="25"/>
      <c r="K6" s="26"/>
      <c r="L6" s="26"/>
      <c r="M6" s="26"/>
      <c r="N6" s="26"/>
      <c r="O6" s="26"/>
      <c r="P6" s="26"/>
      <c r="Q6" s="26"/>
      <c r="R6" s="26"/>
      <c r="S6" s="26"/>
    </row>
    <row r="7" spans="1:19" x14ac:dyDescent="0.4">
      <c r="A7" s="1004">
        <v>1990</v>
      </c>
      <c r="B7" s="1005" t="s">
        <v>677</v>
      </c>
      <c r="C7" s="1313" t="s">
        <v>1052</v>
      </c>
      <c r="D7" s="1061">
        <v>44916</v>
      </c>
      <c r="F7" s="26"/>
      <c r="G7" s="26"/>
      <c r="H7" s="28"/>
      <c r="I7" s="26"/>
      <c r="J7" s="25"/>
      <c r="K7" s="26"/>
      <c r="L7" s="26"/>
      <c r="M7" s="26"/>
      <c r="N7" s="26"/>
      <c r="O7" s="26"/>
      <c r="P7" s="26"/>
      <c r="Q7" s="26"/>
      <c r="R7" s="26"/>
      <c r="S7" s="26"/>
    </row>
    <row r="8" spans="1:19" x14ac:dyDescent="0.4">
      <c r="A8" s="1004" t="s">
        <v>678</v>
      </c>
      <c r="B8" s="1005" t="s">
        <v>677</v>
      </c>
      <c r="C8" s="1343" t="s">
        <v>671</v>
      </c>
      <c r="D8" s="1061">
        <v>46050</v>
      </c>
      <c r="F8" s="26"/>
      <c r="G8" s="26"/>
      <c r="H8" s="28"/>
      <c r="I8" s="26"/>
      <c r="J8" s="25"/>
      <c r="K8" s="26"/>
      <c r="L8" s="26"/>
      <c r="M8" s="26"/>
      <c r="N8" s="26"/>
      <c r="O8" s="26"/>
      <c r="P8" s="26"/>
      <c r="Q8" s="26"/>
      <c r="R8" s="26"/>
      <c r="S8" s="26"/>
    </row>
    <row r="9" spans="1:19" x14ac:dyDescent="0.4">
      <c r="A9" s="1003" t="s">
        <v>679</v>
      </c>
      <c r="B9" s="1006" t="s">
        <v>681</v>
      </c>
      <c r="C9" s="1006" t="s">
        <v>32</v>
      </c>
      <c r="D9" s="1061">
        <v>45848</v>
      </c>
      <c r="F9" s="26"/>
      <c r="G9" s="26"/>
      <c r="H9" s="28"/>
      <c r="I9" s="26"/>
      <c r="J9" s="25"/>
      <c r="K9" s="26"/>
      <c r="L9" s="26"/>
      <c r="M9" s="26"/>
      <c r="N9" s="26"/>
      <c r="O9" s="26"/>
      <c r="P9" s="26"/>
      <c r="Q9" s="26"/>
      <c r="R9" s="26"/>
      <c r="S9" s="26"/>
    </row>
    <row r="10" spans="1:19" x14ac:dyDescent="0.4">
      <c r="A10" s="1003" t="s">
        <v>695</v>
      </c>
      <c r="B10" s="1006" t="s">
        <v>681</v>
      </c>
      <c r="C10" s="1006" t="s">
        <v>694</v>
      </c>
      <c r="D10" s="1061" t="s">
        <v>694</v>
      </c>
      <c r="E10" s="27"/>
      <c r="F10" s="26"/>
      <c r="G10" s="26"/>
      <c r="H10" s="28"/>
      <c r="I10" s="26"/>
      <c r="J10" s="25"/>
      <c r="K10" s="26"/>
      <c r="L10" s="26"/>
      <c r="M10" s="26"/>
      <c r="N10" s="26"/>
      <c r="O10" s="26"/>
      <c r="P10" s="26"/>
      <c r="Q10" s="26"/>
      <c r="R10" s="26"/>
      <c r="S10" s="26"/>
    </row>
    <row r="11" spans="1:19" x14ac:dyDescent="0.4">
      <c r="A11" s="28" t="s">
        <v>1063</v>
      </c>
      <c r="B11" s="86"/>
      <c r="C11" s="86"/>
      <c r="D11" s="1277"/>
      <c r="E11" s="27"/>
      <c r="F11" s="26"/>
      <c r="G11" s="26"/>
      <c r="H11" s="28"/>
      <c r="I11" s="26"/>
      <c r="J11" s="25"/>
      <c r="K11" s="26"/>
      <c r="L11" s="26"/>
      <c r="M11" s="26"/>
      <c r="N11" s="26"/>
      <c r="O11" s="26"/>
      <c r="P11" s="26"/>
      <c r="Q11" s="26"/>
      <c r="R11" s="26"/>
      <c r="S11" s="26"/>
    </row>
    <row r="12" spans="1:19" x14ac:dyDescent="0.4">
      <c r="A12" s="28"/>
      <c r="B12" s="86"/>
      <c r="C12" s="86"/>
      <c r="D12" s="1277"/>
      <c r="E12" s="27"/>
      <c r="F12" s="26"/>
      <c r="G12" s="26"/>
      <c r="H12" s="28"/>
      <c r="I12" s="26"/>
      <c r="J12" s="25"/>
      <c r="K12" s="26"/>
      <c r="L12" s="26"/>
      <c r="M12" s="26"/>
      <c r="N12" s="26"/>
      <c r="O12" s="26"/>
      <c r="P12" s="26"/>
      <c r="Q12" s="26"/>
      <c r="R12" s="26"/>
      <c r="S12" s="26"/>
    </row>
    <row r="13" spans="1:19" x14ac:dyDescent="0.4">
      <c r="A13" s="108" t="s">
        <v>1067</v>
      </c>
      <c r="D13" s="12"/>
    </row>
    <row r="14" spans="1:19" ht="17" x14ac:dyDescent="0.45">
      <c r="A14" s="1366" t="s">
        <v>1230</v>
      </c>
      <c r="D14" s="12"/>
    </row>
    <row r="15" spans="1:19" x14ac:dyDescent="0.4">
      <c r="A15" s="396" t="s">
        <v>921</v>
      </c>
      <c r="D15" s="12"/>
    </row>
    <row r="16" spans="1:19" x14ac:dyDescent="0.4">
      <c r="A16" s="3" t="s">
        <v>705</v>
      </c>
      <c r="D16" s="12"/>
    </row>
    <row r="17" spans="1:37" x14ac:dyDescent="0.4">
      <c r="A17" s="5" t="s">
        <v>1414</v>
      </c>
      <c r="D17" s="12"/>
    </row>
    <row r="18" spans="1:37" ht="17" x14ac:dyDescent="0.45">
      <c r="A18" s="1468" t="s">
        <v>1416</v>
      </c>
      <c r="D18" s="12"/>
    </row>
    <row r="19" spans="1:37" ht="17" x14ac:dyDescent="0.45">
      <c r="A19" s="1368" t="s">
        <v>1204</v>
      </c>
      <c r="D19" s="12"/>
    </row>
    <row r="20" spans="1:37" ht="17" x14ac:dyDescent="0.45">
      <c r="A20" s="1368" t="s">
        <v>1205</v>
      </c>
      <c r="D20" s="12"/>
    </row>
    <row r="21" spans="1:37" ht="17" x14ac:dyDescent="0.45">
      <c r="A21" s="1368" t="s">
        <v>1206</v>
      </c>
      <c r="D21" s="12"/>
    </row>
    <row r="22" spans="1:37" ht="17" x14ac:dyDescent="0.45">
      <c r="A22" s="1368" t="s">
        <v>1207</v>
      </c>
      <c r="B22" s="28"/>
      <c r="D22" s="12"/>
    </row>
    <row r="23" spans="1:37" x14ac:dyDescent="0.4">
      <c r="A23" s="196" t="s">
        <v>769</v>
      </c>
      <c r="T23" s="55"/>
      <c r="U23" s="55"/>
      <c r="V23" s="55"/>
      <c r="W23" s="55"/>
      <c r="Z23" s="12"/>
      <c r="AA23" s="12"/>
    </row>
    <row r="24" spans="1:37" x14ac:dyDescent="0.4">
      <c r="B24" s="29"/>
      <c r="T24" s="55"/>
      <c r="U24" s="55"/>
      <c r="V24" s="55"/>
      <c r="W24" s="55"/>
      <c r="Z24" s="12"/>
      <c r="AA24" s="12"/>
    </row>
    <row r="25" spans="1:37" ht="17.5" thickBot="1" x14ac:dyDescent="0.5">
      <c r="A25" s="1010" t="s">
        <v>1208</v>
      </c>
      <c r="B25" s="29"/>
      <c r="C25" s="12"/>
      <c r="U25" s="30"/>
      <c r="V25" s="30"/>
      <c r="W25" s="30"/>
      <c r="X25" s="30"/>
      <c r="AA25" s="12"/>
      <c r="AB25" s="12"/>
    </row>
    <row r="26" spans="1:37" s="28" customFormat="1" ht="16.5" thickBot="1" x14ac:dyDescent="0.45">
      <c r="A26" s="230" t="s">
        <v>390</v>
      </c>
      <c r="B26" s="984" t="s">
        <v>391</v>
      </c>
      <c r="C26" s="983" t="s">
        <v>392</v>
      </c>
      <c r="D26" s="983" t="s">
        <v>393</v>
      </c>
      <c r="E26" s="983" t="s">
        <v>394</v>
      </c>
      <c r="F26" s="983" t="s">
        <v>395</v>
      </c>
      <c r="G26" s="983" t="s">
        <v>396</v>
      </c>
      <c r="H26" s="983" t="s">
        <v>397</v>
      </c>
      <c r="I26" s="983" t="s">
        <v>398</v>
      </c>
      <c r="J26" s="983" t="s">
        <v>399</v>
      </c>
      <c r="K26" s="983" t="s">
        <v>400</v>
      </c>
      <c r="L26" s="983" t="s">
        <v>401</v>
      </c>
      <c r="M26" s="983" t="s">
        <v>402</v>
      </c>
      <c r="N26" s="983" t="s">
        <v>403</v>
      </c>
      <c r="O26" s="983" t="s">
        <v>404</v>
      </c>
      <c r="P26" s="983" t="s">
        <v>405</v>
      </c>
      <c r="Q26" s="983" t="s">
        <v>406</v>
      </c>
      <c r="R26" s="983" t="s">
        <v>407</v>
      </c>
      <c r="S26" s="983" t="s">
        <v>408</v>
      </c>
      <c r="T26" s="983" t="s">
        <v>409</v>
      </c>
      <c r="U26" s="983" t="s">
        <v>410</v>
      </c>
      <c r="V26" s="983" t="s">
        <v>411</v>
      </c>
      <c r="W26" s="983" t="s">
        <v>412</v>
      </c>
      <c r="X26" s="983" t="s">
        <v>413</v>
      </c>
      <c r="Y26" s="983" t="s">
        <v>414</v>
      </c>
      <c r="Z26" s="983" t="s">
        <v>415</v>
      </c>
      <c r="AA26" s="983" t="s">
        <v>416</v>
      </c>
      <c r="AB26" s="983" t="s">
        <v>417</v>
      </c>
      <c r="AC26" s="983" t="s">
        <v>418</v>
      </c>
      <c r="AD26" s="983" t="s">
        <v>419</v>
      </c>
      <c r="AE26" s="983" t="s">
        <v>420</v>
      </c>
      <c r="AF26" s="983" t="s">
        <v>421</v>
      </c>
      <c r="AG26" s="983" t="s">
        <v>422</v>
      </c>
      <c r="AH26" s="983" t="s">
        <v>423</v>
      </c>
      <c r="AI26" s="983" t="s">
        <v>424</v>
      </c>
      <c r="AJ26" s="3"/>
      <c r="AK26" s="3"/>
    </row>
    <row r="27" spans="1:37" ht="17" x14ac:dyDescent="0.45">
      <c r="A27" s="1478" t="s">
        <v>1542</v>
      </c>
      <c r="B27" s="37">
        <v>0.48032331311249982</v>
      </c>
      <c r="C27" s="63">
        <v>0.52022709604799988</v>
      </c>
      <c r="D27" s="63">
        <v>0.51977803917599996</v>
      </c>
      <c r="E27" s="63">
        <v>0.52128790401599989</v>
      </c>
      <c r="F27" s="63">
        <v>0.52306297084799991</v>
      </c>
      <c r="G27" s="63">
        <v>0.52574994054000013</v>
      </c>
      <c r="H27" s="63">
        <v>0.52774962253199997</v>
      </c>
      <c r="I27" s="63">
        <v>0.5303585406239999</v>
      </c>
      <c r="J27" s="63">
        <v>0.5328675526679999</v>
      </c>
      <c r="K27" s="63">
        <v>0.53553535635600003</v>
      </c>
      <c r="L27" s="37" t="s">
        <v>32</v>
      </c>
      <c r="M27" s="37" t="s">
        <v>32</v>
      </c>
      <c r="N27" s="37" t="s">
        <v>32</v>
      </c>
      <c r="O27" s="37" t="s">
        <v>32</v>
      </c>
      <c r="P27" s="37" t="s">
        <v>32</v>
      </c>
      <c r="Q27" s="37" t="s">
        <v>32</v>
      </c>
      <c r="R27" s="37" t="s">
        <v>32</v>
      </c>
      <c r="S27" s="37" t="s">
        <v>32</v>
      </c>
      <c r="T27" s="37" t="s">
        <v>32</v>
      </c>
      <c r="U27" s="37" t="s">
        <v>32</v>
      </c>
      <c r="V27" s="37" t="s">
        <v>32</v>
      </c>
      <c r="W27" s="37" t="s">
        <v>32</v>
      </c>
      <c r="X27" s="37" t="s">
        <v>32</v>
      </c>
      <c r="Y27" s="37" t="s">
        <v>32</v>
      </c>
      <c r="Z27" s="37" t="s">
        <v>32</v>
      </c>
      <c r="AA27" s="37" t="s">
        <v>32</v>
      </c>
      <c r="AB27" s="37" t="s">
        <v>32</v>
      </c>
      <c r="AC27" s="37" t="s">
        <v>32</v>
      </c>
      <c r="AD27" s="37" t="s">
        <v>32</v>
      </c>
      <c r="AE27" s="37" t="s">
        <v>32</v>
      </c>
      <c r="AF27" s="37" t="s">
        <v>32</v>
      </c>
      <c r="AG27" s="37" t="s">
        <v>32</v>
      </c>
      <c r="AH27" s="37" t="s">
        <v>32</v>
      </c>
      <c r="AI27" s="37" t="s">
        <v>32</v>
      </c>
    </row>
    <row r="28" spans="1:37" ht="17.5" thickBot="1" x14ac:dyDescent="0.5">
      <c r="A28" s="1370" t="s">
        <v>1209</v>
      </c>
      <c r="B28" s="64">
        <v>0.18122741030105799</v>
      </c>
      <c r="C28" s="65">
        <v>0.13685131582196558</v>
      </c>
      <c r="D28" s="65">
        <v>0.13789038401122017</v>
      </c>
      <c r="E28" s="65">
        <v>0.13814161801325001</v>
      </c>
      <c r="F28" s="65">
        <v>0.1407904719956673</v>
      </c>
      <c r="G28" s="65">
        <v>0.14047200821907316</v>
      </c>
      <c r="H28" s="65">
        <v>0.14201733345614834</v>
      </c>
      <c r="I28" s="65">
        <v>0.14154358980099166</v>
      </c>
      <c r="J28" s="65">
        <v>0.1435482760129069</v>
      </c>
      <c r="K28" s="65">
        <v>0.14669867857732383</v>
      </c>
      <c r="L28" s="66" t="s">
        <v>32</v>
      </c>
      <c r="M28" s="66" t="s">
        <v>32</v>
      </c>
      <c r="N28" s="66" t="s">
        <v>32</v>
      </c>
      <c r="O28" s="66" t="s">
        <v>32</v>
      </c>
      <c r="P28" s="66" t="s">
        <v>32</v>
      </c>
      <c r="Q28" s="66" t="s">
        <v>32</v>
      </c>
      <c r="R28" s="66" t="s">
        <v>32</v>
      </c>
      <c r="S28" s="66" t="s">
        <v>32</v>
      </c>
      <c r="T28" s="66" t="s">
        <v>32</v>
      </c>
      <c r="U28" s="66" t="s">
        <v>32</v>
      </c>
      <c r="V28" s="66" t="s">
        <v>32</v>
      </c>
      <c r="W28" s="66" t="s">
        <v>32</v>
      </c>
      <c r="X28" s="66" t="s">
        <v>32</v>
      </c>
      <c r="Y28" s="66" t="s">
        <v>32</v>
      </c>
      <c r="Z28" s="66" t="s">
        <v>32</v>
      </c>
      <c r="AA28" s="66" t="s">
        <v>32</v>
      </c>
      <c r="AB28" s="66" t="s">
        <v>32</v>
      </c>
      <c r="AC28" s="66" t="s">
        <v>32</v>
      </c>
      <c r="AD28" s="66" t="s">
        <v>32</v>
      </c>
      <c r="AE28" s="66" t="s">
        <v>32</v>
      </c>
      <c r="AF28" s="66" t="s">
        <v>32</v>
      </c>
      <c r="AG28" s="66" t="s">
        <v>32</v>
      </c>
      <c r="AH28" s="66" t="s">
        <v>32</v>
      </c>
      <c r="AI28" s="66" t="s">
        <v>32</v>
      </c>
    </row>
    <row r="29" spans="1:37" s="61" customFormat="1" ht="17" x14ac:dyDescent="0.4">
      <c r="A29" s="1371" t="s">
        <v>1210</v>
      </c>
      <c r="B29" s="37" t="s">
        <v>32</v>
      </c>
      <c r="C29" s="37" t="s">
        <v>32</v>
      </c>
      <c r="D29" s="37" t="s">
        <v>32</v>
      </c>
      <c r="E29" s="37" t="s">
        <v>32</v>
      </c>
      <c r="F29" s="37" t="s">
        <v>32</v>
      </c>
      <c r="G29" s="37" t="s">
        <v>32</v>
      </c>
      <c r="H29" s="37" t="s">
        <v>32</v>
      </c>
      <c r="I29" s="37" t="s">
        <v>32</v>
      </c>
      <c r="J29" s="37" t="s">
        <v>32</v>
      </c>
      <c r="K29" s="37" t="s">
        <v>32</v>
      </c>
      <c r="L29" s="37">
        <f t="shared" ref="L29:AI29" si="0">L45*$B$130/1000000</f>
        <v>0.25908636806718749</v>
      </c>
      <c r="M29" s="37">
        <f t="shared" si="0"/>
        <v>0.2609059959515625</v>
      </c>
      <c r="N29" s="37">
        <f t="shared" si="0"/>
        <v>0.26195552128593758</v>
      </c>
      <c r="O29" s="37">
        <f t="shared" si="0"/>
        <v>0.26229744974999997</v>
      </c>
      <c r="P29" s="37">
        <f t="shared" si="0"/>
        <v>0.26213350977187505</v>
      </c>
      <c r="Q29" s="37">
        <f t="shared" si="0"/>
        <v>0.2620084576921875</v>
      </c>
      <c r="R29" s="37">
        <f t="shared" si="0"/>
        <v>0.26331378802968752</v>
      </c>
      <c r="S29" s="37">
        <f t="shared" si="0"/>
        <v>0.26465250902343757</v>
      </c>
      <c r="T29" s="37">
        <f t="shared" si="0"/>
        <v>0.26645723327343751</v>
      </c>
      <c r="U29" s="37">
        <f t="shared" si="0"/>
        <v>0.26849292313593748</v>
      </c>
      <c r="V29" s="37">
        <f t="shared" si="0"/>
        <v>0.26662149901406257</v>
      </c>
      <c r="W29" s="37">
        <f t="shared" si="0"/>
        <v>0.26815382066156257</v>
      </c>
      <c r="X29" s="37">
        <f t="shared" si="0"/>
        <v>0.26968614230906257</v>
      </c>
      <c r="Y29" s="37">
        <f t="shared" si="0"/>
        <v>0.27121846395656257</v>
      </c>
      <c r="Z29" s="37">
        <f t="shared" si="0"/>
        <v>0.27275078560406263</v>
      </c>
      <c r="AA29" s="37">
        <f t="shared" si="0"/>
        <v>0.27428310725156257</v>
      </c>
      <c r="AB29" s="37">
        <f t="shared" si="0"/>
        <v>0.27581542889906263</v>
      </c>
      <c r="AC29" s="37">
        <f t="shared" si="0"/>
        <v>0.27734775054656258</v>
      </c>
      <c r="AD29" s="37">
        <f t="shared" si="0"/>
        <v>0.27888007219406269</v>
      </c>
      <c r="AE29" s="37">
        <f t="shared" si="0"/>
        <v>0.28041239384156269</v>
      </c>
      <c r="AF29" s="37">
        <f t="shared" si="0"/>
        <v>0.28626041708906252</v>
      </c>
      <c r="AG29" s="37">
        <f t="shared" si="0"/>
        <v>0.28442010328593753</v>
      </c>
      <c r="AH29" s="37">
        <f t="shared" si="0"/>
        <v>0.28430816314687501</v>
      </c>
      <c r="AI29" s="37">
        <f t="shared" si="0"/>
        <v>0.28509915521718754</v>
      </c>
      <c r="AJ29" s="3"/>
      <c r="AK29" s="3"/>
    </row>
    <row r="30" spans="1:37" ht="17" x14ac:dyDescent="0.4">
      <c r="A30" s="1371" t="s">
        <v>1211</v>
      </c>
      <c r="B30" s="37" t="s">
        <v>32</v>
      </c>
      <c r="C30" s="37" t="s">
        <v>32</v>
      </c>
      <c r="D30" s="37" t="s">
        <v>32</v>
      </c>
      <c r="E30" s="37" t="s">
        <v>32</v>
      </c>
      <c r="F30" s="37" t="s">
        <v>32</v>
      </c>
      <c r="G30" s="37" t="s">
        <v>32</v>
      </c>
      <c r="H30" s="37" t="s">
        <v>32</v>
      </c>
      <c r="I30" s="37" t="s">
        <v>32</v>
      </c>
      <c r="J30" s="37" t="s">
        <v>32</v>
      </c>
      <c r="K30" s="37" t="s">
        <v>32</v>
      </c>
      <c r="L30" s="37">
        <f t="shared" ref="L30:AI30" si="1">L46*$B$130/1000000</f>
        <v>3.6212657137199997E-2</v>
      </c>
      <c r="M30" s="37">
        <f t="shared" si="1"/>
        <v>3.6466987618520699E-2</v>
      </c>
      <c r="N30" s="37">
        <f t="shared" si="1"/>
        <v>3.6613680404305057E-2</v>
      </c>
      <c r="O30" s="37">
        <f t="shared" si="1"/>
        <v>3.6661471950911372E-2</v>
      </c>
      <c r="P30" s="37">
        <f t="shared" si="1"/>
        <v>3.6638557961791808E-2</v>
      </c>
      <c r="Q30" s="37">
        <f t="shared" si="1"/>
        <v>3.6621079357572681E-2</v>
      </c>
      <c r="R30" s="37">
        <f t="shared" si="1"/>
        <v>3.6803526162147188E-2</v>
      </c>
      <c r="S30" s="37">
        <f t="shared" si="1"/>
        <v>3.6990639998782805E-2</v>
      </c>
      <c r="T30" s="37">
        <f t="shared" si="1"/>
        <v>3.7242887390183541E-2</v>
      </c>
      <c r="U30" s="37">
        <f t="shared" si="1"/>
        <v>3.7527416983841162E-2</v>
      </c>
      <c r="V30" s="37">
        <f t="shared" si="1"/>
        <v>3.713050433609999E-2</v>
      </c>
      <c r="W30" s="37">
        <f t="shared" si="1"/>
        <v>3.7223813494777262E-2</v>
      </c>
      <c r="X30" s="37">
        <f t="shared" si="1"/>
        <v>3.7317122653454535E-2</v>
      </c>
      <c r="Y30" s="37">
        <f t="shared" si="1"/>
        <v>3.7410431812131793E-2</v>
      </c>
      <c r="Z30" s="37">
        <f t="shared" si="1"/>
        <v>3.2842953259525465E-2</v>
      </c>
      <c r="AA30" s="37">
        <f t="shared" si="1"/>
        <v>3.2906793878506833E-2</v>
      </c>
      <c r="AB30" s="37">
        <f t="shared" si="1"/>
        <v>3.2970634497488195E-2</v>
      </c>
      <c r="AC30" s="37">
        <f t="shared" si="1"/>
        <v>3.3034475116469557E-2</v>
      </c>
      <c r="AD30" s="37">
        <f t="shared" si="1"/>
        <v>3.3098315735450926E-2</v>
      </c>
      <c r="AE30" s="37">
        <f t="shared" si="1"/>
        <v>3.3162156354432308E-2</v>
      </c>
      <c r="AF30" s="37">
        <f t="shared" si="1"/>
        <v>3.4266296805300009E-2</v>
      </c>
      <c r="AG30" s="37">
        <f t="shared" si="1"/>
        <v>3.4427992520699981E-2</v>
      </c>
      <c r="AH30" s="37">
        <f t="shared" si="1"/>
        <v>3.4482506241599979E-2</v>
      </c>
      <c r="AI30" s="37">
        <f t="shared" si="1"/>
        <v>3.449122791659999E-2</v>
      </c>
    </row>
    <row r="31" spans="1:37" s="61" customFormat="1" ht="17" x14ac:dyDescent="0.4">
      <c r="A31" s="1371" t="s">
        <v>1212</v>
      </c>
      <c r="B31" s="37" t="s">
        <v>32</v>
      </c>
      <c r="C31" s="37" t="s">
        <v>32</v>
      </c>
      <c r="D31" s="37" t="s">
        <v>32</v>
      </c>
      <c r="E31" s="37" t="s">
        <v>32</v>
      </c>
      <c r="F31" s="37" t="s">
        <v>32</v>
      </c>
      <c r="G31" s="37" t="s">
        <v>32</v>
      </c>
      <c r="H31" s="37" t="s">
        <v>32</v>
      </c>
      <c r="I31" s="37" t="s">
        <v>32</v>
      </c>
      <c r="J31" s="37" t="s">
        <v>32</v>
      </c>
      <c r="K31" s="37" t="s">
        <v>32</v>
      </c>
      <c r="L31" s="37">
        <f t="shared" ref="L31:AI31" si="2">L47*$B$131/1000000</f>
        <v>5.4606232339199992E-3</v>
      </c>
      <c r="M31" s="37">
        <f t="shared" si="2"/>
        <v>5.4989745465599997E-3</v>
      </c>
      <c r="N31" s="37">
        <f t="shared" si="2"/>
        <v>5.5210948243200001E-3</v>
      </c>
      <c r="O31" s="37">
        <f t="shared" si="2"/>
        <v>5.5283014655999997E-3</v>
      </c>
      <c r="P31" s="37">
        <f t="shared" si="2"/>
        <v>5.5248461913600007E-3</v>
      </c>
      <c r="Q31" s="37">
        <f t="shared" si="2"/>
        <v>5.522210536320001E-3</v>
      </c>
      <c r="R31" s="37">
        <f t="shared" si="2"/>
        <v>5.549722277759999E-3</v>
      </c>
      <c r="S31" s="37">
        <f t="shared" si="2"/>
        <v>5.5779377759999993E-3</v>
      </c>
      <c r="T31" s="37">
        <f t="shared" si="2"/>
        <v>5.6159749728000004E-3</v>
      </c>
      <c r="U31" s="37">
        <f t="shared" si="2"/>
        <v>5.6588801068799995E-3</v>
      </c>
      <c r="V31" s="37">
        <f t="shared" si="2"/>
        <v>5.6194371129599996E-3</v>
      </c>
      <c r="W31" s="37">
        <f t="shared" si="2"/>
        <v>5.6517330274560001E-3</v>
      </c>
      <c r="X31" s="37">
        <f t="shared" si="2"/>
        <v>5.6840289419520006E-3</v>
      </c>
      <c r="Y31" s="37">
        <f t="shared" si="2"/>
        <v>5.7163248564480011E-3</v>
      </c>
      <c r="Z31" s="37">
        <f t="shared" si="2"/>
        <v>5.7486207709440016E-3</v>
      </c>
      <c r="AA31" s="37">
        <f t="shared" si="2"/>
        <v>5.7809166854400022E-3</v>
      </c>
      <c r="AB31" s="37">
        <f t="shared" si="2"/>
        <v>5.8132125999360018E-3</v>
      </c>
      <c r="AC31" s="37">
        <f t="shared" si="2"/>
        <v>5.8455085144320023E-3</v>
      </c>
      <c r="AD31" s="37">
        <f t="shared" si="2"/>
        <v>5.877804428928002E-3</v>
      </c>
      <c r="AE31" s="37">
        <f t="shared" si="2"/>
        <v>5.9101003434240051E-3</v>
      </c>
      <c r="AF31" s="37">
        <f t="shared" si="2"/>
        <v>6.0333559660800005E-3</v>
      </c>
      <c r="AG31" s="37">
        <f t="shared" si="2"/>
        <v>5.9945686675199989E-3</v>
      </c>
      <c r="AH31" s="37">
        <f t="shared" si="2"/>
        <v>5.9922093657599996E-3</v>
      </c>
      <c r="AI31" s="37">
        <f t="shared" si="2"/>
        <v>6.0088806777599995E-3</v>
      </c>
      <c r="AJ31" s="3"/>
      <c r="AK31" s="3"/>
    </row>
    <row r="32" spans="1:37" ht="17.5" thickBot="1" x14ac:dyDescent="0.45">
      <c r="A32" s="1467" t="s">
        <v>1415</v>
      </c>
      <c r="B32" s="66" t="s">
        <v>32</v>
      </c>
      <c r="C32" s="66" t="s">
        <v>32</v>
      </c>
      <c r="D32" s="66" t="s">
        <v>32</v>
      </c>
      <c r="E32" s="66" t="s">
        <v>32</v>
      </c>
      <c r="F32" s="66" t="s">
        <v>32</v>
      </c>
      <c r="G32" s="66" t="s">
        <v>32</v>
      </c>
      <c r="H32" s="66" t="s">
        <v>32</v>
      </c>
      <c r="I32" s="66" t="s">
        <v>32</v>
      </c>
      <c r="J32" s="66" t="s">
        <v>32</v>
      </c>
      <c r="K32" s="66" t="s">
        <v>32</v>
      </c>
      <c r="L32" s="66">
        <f t="shared" ref="L32:AI32" si="3">L48*$B$131/1000000</f>
        <v>0.13178607439151038</v>
      </c>
      <c r="M32" s="66">
        <f t="shared" si="3"/>
        <v>0.13481194348770723</v>
      </c>
      <c r="N32" s="66">
        <f t="shared" si="3"/>
        <v>0.13198023813791837</v>
      </c>
      <c r="O32" s="66">
        <f t="shared" si="3"/>
        <v>0.13215251089587199</v>
      </c>
      <c r="P32" s="66">
        <f t="shared" si="3"/>
        <v>0.13333602411048318</v>
      </c>
      <c r="Q32" s="66">
        <f t="shared" si="3"/>
        <v>0.14634931684407843</v>
      </c>
      <c r="R32" s="66">
        <f t="shared" si="3"/>
        <v>0.13648000352629122</v>
      </c>
      <c r="S32" s="66">
        <f t="shared" si="3"/>
        <v>0.13759997779812</v>
      </c>
      <c r="T32" s="66">
        <f t="shared" si="3"/>
        <v>0.13424832173173604</v>
      </c>
      <c r="U32" s="66">
        <f t="shared" si="3"/>
        <v>0.1361385081712656</v>
      </c>
      <c r="V32" s="66">
        <f t="shared" si="3"/>
        <v>0.10124336922302063</v>
      </c>
      <c r="W32" s="66">
        <f t="shared" si="3"/>
        <v>0.10484734029592953</v>
      </c>
      <c r="X32" s="66">
        <f t="shared" si="3"/>
        <v>0.10149528390503756</v>
      </c>
      <c r="Y32" s="66">
        <f t="shared" si="3"/>
        <v>0.10207196693114803</v>
      </c>
      <c r="Z32" s="66">
        <f t="shared" si="3"/>
        <v>0.10480039064860493</v>
      </c>
      <c r="AA32" s="66">
        <f t="shared" si="3"/>
        <v>0.10569828067658502</v>
      </c>
      <c r="AB32" s="66">
        <f t="shared" si="3"/>
        <v>0.10659962457319866</v>
      </c>
      <c r="AC32" s="66">
        <f t="shared" si="3"/>
        <v>9.5495052420876483E-2</v>
      </c>
      <c r="AD32" s="66">
        <f t="shared" si="3"/>
        <v>9.7692930181662224E-2</v>
      </c>
      <c r="AE32" s="66">
        <f t="shared" si="3"/>
        <v>9.7949800353887437E-2</v>
      </c>
      <c r="AF32" s="66">
        <f t="shared" si="3"/>
        <v>9.8278072741650777E-2</v>
      </c>
      <c r="AG32" s="66">
        <f t="shared" si="3"/>
        <v>9.4496382285229441E-2</v>
      </c>
      <c r="AH32" s="66">
        <f t="shared" si="3"/>
        <v>9.4459191038718693E-2</v>
      </c>
      <c r="AI32" s="66">
        <f t="shared" si="3"/>
        <v>9.4721992043982725E-2</v>
      </c>
    </row>
    <row r="33" spans="1:37" ht="17" x14ac:dyDescent="0.45">
      <c r="A33" s="1372" t="s">
        <v>1213</v>
      </c>
      <c r="B33" s="37" t="s">
        <v>32</v>
      </c>
      <c r="C33" s="37" t="s">
        <v>32</v>
      </c>
      <c r="D33" s="37" t="s">
        <v>32</v>
      </c>
      <c r="E33" s="37" t="s">
        <v>32</v>
      </c>
      <c r="F33" s="37" t="s">
        <v>32</v>
      </c>
      <c r="G33" s="37" t="s">
        <v>32</v>
      </c>
      <c r="H33" s="37" t="s">
        <v>32</v>
      </c>
      <c r="I33" s="37" t="s">
        <v>32</v>
      </c>
      <c r="J33" s="37" t="s">
        <v>32</v>
      </c>
      <c r="K33" s="37" t="s">
        <v>32</v>
      </c>
      <c r="L33" s="37" t="s">
        <v>32</v>
      </c>
      <c r="M33" s="37" t="s">
        <v>32</v>
      </c>
      <c r="N33" s="37" t="s">
        <v>32</v>
      </c>
      <c r="O33" s="37" t="s">
        <v>32</v>
      </c>
      <c r="P33" s="37" t="s">
        <v>32</v>
      </c>
      <c r="Q33" s="35">
        <f>'Biogenic Combustion'!R214</f>
        <v>6.1808186246520968E-6</v>
      </c>
      <c r="R33" s="35">
        <f>'Biogenic Combustion'!S214</f>
        <v>3.232624750819008E-6</v>
      </c>
      <c r="S33" s="35">
        <f>'Biogenic Combustion'!T214</f>
        <v>1.8510998407676007E-6</v>
      </c>
      <c r="T33" s="35">
        <f>'Biogenic Combustion'!U214</f>
        <v>1.3828101621455941E-6</v>
      </c>
      <c r="U33" s="35">
        <f>'Biogenic Combustion'!V214</f>
        <v>1.2768005865789222E-6</v>
      </c>
      <c r="V33" s="35">
        <f>'Biogenic Combustion'!W214</f>
        <v>2.7179040825677069E-6</v>
      </c>
      <c r="W33" s="35">
        <f>'Biogenic Combustion'!X214</f>
        <v>1.6301192423052387E-6</v>
      </c>
      <c r="X33" s="35">
        <f>'Biogenic Combustion'!Y214</f>
        <v>2.0133148641265742E-6</v>
      </c>
      <c r="Y33" s="35">
        <f>'Biogenic Combustion'!Z214</f>
        <v>1.8557492842380177E-6</v>
      </c>
      <c r="Z33" s="35">
        <f>'Biogenic Combustion'!AA214</f>
        <v>2.4124178734948366E-6</v>
      </c>
      <c r="AA33" s="35">
        <f>'Biogenic Combustion'!AB214</f>
        <v>1.3670815060358442E-6</v>
      </c>
      <c r="AB33" s="35">
        <f>'Biogenic Combustion'!AC214</f>
        <v>2.2532245693871042E-6</v>
      </c>
      <c r="AC33" s="35">
        <f>'Biogenic Combustion'!AD214</f>
        <v>1.4770630926738585E-6</v>
      </c>
      <c r="AD33" s="35">
        <f>'Biogenic Combustion'!AE214</f>
        <v>7.9688018392665029E-7</v>
      </c>
      <c r="AE33" s="634">
        <f>'Biogenic Combustion'!AF214</f>
        <v>2.4649874725069399E-6</v>
      </c>
      <c r="AF33" s="35">
        <f>'Biogenic Combustion'!AG214</f>
        <v>1.1613840885531304E-6</v>
      </c>
      <c r="AG33" s="35">
        <f>'Biogenic Combustion'!AH214</f>
        <v>1.5919220030887831E-6</v>
      </c>
      <c r="AH33" s="35">
        <f>'Biogenic Combustion'!AI214</f>
        <v>1.2429149314586629E-6</v>
      </c>
      <c r="AI33" s="35">
        <f>'Biogenic Combustion'!AJ214</f>
        <v>1.0787519999999999E-6</v>
      </c>
    </row>
    <row r="34" spans="1:37" ht="17.5" thickBot="1" x14ac:dyDescent="0.5">
      <c r="A34" s="1372" t="s">
        <v>1214</v>
      </c>
      <c r="B34" s="64" t="s">
        <v>32</v>
      </c>
      <c r="C34" s="66" t="s">
        <v>32</v>
      </c>
      <c r="D34" s="66" t="s">
        <v>32</v>
      </c>
      <c r="E34" s="66" t="s">
        <v>32</v>
      </c>
      <c r="F34" s="66" t="s">
        <v>32</v>
      </c>
      <c r="G34" s="66" t="s">
        <v>32</v>
      </c>
      <c r="H34" s="66" t="s">
        <v>32</v>
      </c>
      <c r="I34" s="66" t="s">
        <v>32</v>
      </c>
      <c r="J34" s="66" t="s">
        <v>32</v>
      </c>
      <c r="K34" s="66" t="s">
        <v>32</v>
      </c>
      <c r="L34" s="66" t="s">
        <v>32</v>
      </c>
      <c r="M34" s="66" t="s">
        <v>32</v>
      </c>
      <c r="N34" s="66" t="s">
        <v>32</v>
      </c>
      <c r="O34" s="66" t="s">
        <v>32</v>
      </c>
      <c r="P34" s="66" t="s">
        <v>32</v>
      </c>
      <c r="Q34" s="635">
        <f>'Biogenic Combustion'!R217</f>
        <v>1.4504836107402308E-4</v>
      </c>
      <c r="R34" s="635">
        <f>'Biogenic Combustion'!S217</f>
        <v>7.5861621339845051E-5</v>
      </c>
      <c r="S34" s="635">
        <f>'Biogenic Combustion'!T217</f>
        <v>4.3440685513213662E-5</v>
      </c>
      <c r="T34" s="635">
        <f>'Biogenic Combustion'!U217</f>
        <v>3.2451097480151729E-5</v>
      </c>
      <c r="U34" s="635">
        <f>'Biogenic Combustion'!V217</f>
        <v>2.9963317765540851E-5</v>
      </c>
      <c r="V34" s="635">
        <f>'Biogenic Combustion'!W217</f>
        <v>6.3782414057657661E-5</v>
      </c>
      <c r="W34" s="635">
        <f>'Biogenic Combustion'!X217</f>
        <v>3.8254823318798185E-5</v>
      </c>
      <c r="X34" s="635">
        <f>'Biogenic Combustion'!Y217</f>
        <v>4.724746657389038E-5</v>
      </c>
      <c r="Y34" s="635">
        <f>'Biogenic Combustion'!Z217</f>
        <v>4.354979632785568E-5</v>
      </c>
      <c r="Z34" s="635">
        <f>'Biogenic Combustion'!AA217</f>
        <v>5.661341644624007E-5</v>
      </c>
      <c r="AA34" s="635">
        <f>'Biogenic Combustion'!AB217</f>
        <v>3.2081985242896172E-5</v>
      </c>
      <c r="AB34" s="635">
        <f>'Biogenic Combustion'!AC217</f>
        <v>5.2877547582091868E-5</v>
      </c>
      <c r="AC34" s="635">
        <f>'Biogenic Combustion'!AD217</f>
        <v>3.4662978127323773E-5</v>
      </c>
      <c r="AD34" s="635">
        <f>'Biogenic Combustion'!AE217</f>
        <v>1.8700785716298665E-5</v>
      </c>
      <c r="AE34" s="636">
        <f>'Biogenic Combustion'!AF217</f>
        <v>5.7847093511056602E-5</v>
      </c>
      <c r="AF34" s="635">
        <f>'Biogenic Combustion'!AG217</f>
        <v>2.7254781098120588E-5</v>
      </c>
      <c r="AG34" s="635">
        <f>'Biogenic Combustion'!AH217</f>
        <v>3.7358429607486016E-5</v>
      </c>
      <c r="AH34" s="635">
        <f>'Biogenic Combustion'!AI217</f>
        <v>2.9168106154006174E-5</v>
      </c>
      <c r="AI34" s="635">
        <f>'Biogenic Combustion'!AJ217</f>
        <v>2.5315612559999995E-5</v>
      </c>
    </row>
    <row r="35" spans="1:37" ht="17" x14ac:dyDescent="0.45">
      <c r="A35" s="1369" t="s">
        <v>1215</v>
      </c>
      <c r="B35" s="35">
        <f t="shared" ref="B35:K35" si="4">B27</f>
        <v>0.48032331311249982</v>
      </c>
      <c r="C35" s="35">
        <f t="shared" si="4"/>
        <v>0.52022709604799988</v>
      </c>
      <c r="D35" s="35">
        <f t="shared" si="4"/>
        <v>0.51977803917599996</v>
      </c>
      <c r="E35" s="35">
        <f t="shared" si="4"/>
        <v>0.52128790401599989</v>
      </c>
      <c r="F35" s="35">
        <f t="shared" si="4"/>
        <v>0.52306297084799991</v>
      </c>
      <c r="G35" s="35">
        <f t="shared" si="4"/>
        <v>0.52574994054000013</v>
      </c>
      <c r="H35" s="35">
        <f t="shared" si="4"/>
        <v>0.52774962253199997</v>
      </c>
      <c r="I35" s="35">
        <f t="shared" si="4"/>
        <v>0.5303585406239999</v>
      </c>
      <c r="J35" s="35">
        <f t="shared" si="4"/>
        <v>0.5328675526679999</v>
      </c>
      <c r="K35" s="35">
        <f t="shared" si="4"/>
        <v>0.53553535635600003</v>
      </c>
      <c r="L35" s="35">
        <f>L29+L30</f>
        <v>0.2952990252043875</v>
      </c>
      <c r="M35" s="35">
        <f t="shared" ref="M35:P35" si="5">M29+M30</f>
        <v>0.29737298357008318</v>
      </c>
      <c r="N35" s="35">
        <f t="shared" si="5"/>
        <v>0.29856920169024265</v>
      </c>
      <c r="O35" s="35">
        <f t="shared" si="5"/>
        <v>0.29895892170091132</v>
      </c>
      <c r="P35" s="35">
        <f t="shared" si="5"/>
        <v>0.29877206773366688</v>
      </c>
      <c r="Q35" s="35">
        <f t="shared" ref="Q35:U35" si="6">Q29+Q30+Q33</f>
        <v>0.29863571786838483</v>
      </c>
      <c r="R35" s="35">
        <f t="shared" si="6"/>
        <v>0.30012054681658556</v>
      </c>
      <c r="S35" s="35">
        <f t="shared" si="6"/>
        <v>0.30164500012206114</v>
      </c>
      <c r="T35" s="35">
        <f t="shared" si="6"/>
        <v>0.30370150347378322</v>
      </c>
      <c r="U35" s="35">
        <f t="shared" si="6"/>
        <v>0.30602161692036522</v>
      </c>
      <c r="V35" s="35">
        <f>V29+V30+V33</f>
        <v>0.30375472125424513</v>
      </c>
      <c r="W35" s="35">
        <f t="shared" ref="W35:AE35" si="7">W29+W30+W33</f>
        <v>0.30537926427558215</v>
      </c>
      <c r="X35" s="35">
        <f t="shared" si="7"/>
        <v>0.30700527827738122</v>
      </c>
      <c r="Y35" s="35">
        <f t="shared" si="7"/>
        <v>0.30863075151797859</v>
      </c>
      <c r="Z35" s="35">
        <f t="shared" si="7"/>
        <v>0.30559615128146161</v>
      </c>
      <c r="AA35" s="35">
        <f t="shared" si="7"/>
        <v>0.30719126821157544</v>
      </c>
      <c r="AB35" s="35">
        <f t="shared" si="7"/>
        <v>0.30878831662112022</v>
      </c>
      <c r="AC35" s="35">
        <f t="shared" si="7"/>
        <v>0.31038370272612481</v>
      </c>
      <c r="AD35" s="35">
        <f t="shared" si="7"/>
        <v>0.31197918480969755</v>
      </c>
      <c r="AE35" s="35">
        <f t="shared" si="7"/>
        <v>0.31357701518346753</v>
      </c>
      <c r="AF35" s="35">
        <f t="shared" ref="AF35:AI35" si="8">AF29+AF30+AF33</f>
        <v>0.32052787527845111</v>
      </c>
      <c r="AG35" s="35">
        <f t="shared" si="8"/>
        <v>0.31884968772864064</v>
      </c>
      <c r="AH35" s="35">
        <f t="shared" si="8"/>
        <v>0.31879191230340648</v>
      </c>
      <c r="AI35" s="35">
        <f t="shared" si="8"/>
        <v>0.31959146188578752</v>
      </c>
    </row>
    <row r="36" spans="1:37" ht="17.5" thickBot="1" x14ac:dyDescent="0.5">
      <c r="A36" s="1370" t="s">
        <v>1216</v>
      </c>
      <c r="B36" s="35">
        <f>B28</f>
        <v>0.18122741030105799</v>
      </c>
      <c r="C36" s="35">
        <f>C28</f>
        <v>0.13685131582196558</v>
      </c>
      <c r="D36" s="35">
        <f t="shared" ref="D36:K36" si="9">D28</f>
        <v>0.13789038401122017</v>
      </c>
      <c r="E36" s="35">
        <f t="shared" si="9"/>
        <v>0.13814161801325001</v>
      </c>
      <c r="F36" s="35">
        <f t="shared" si="9"/>
        <v>0.1407904719956673</v>
      </c>
      <c r="G36" s="35">
        <f t="shared" si="9"/>
        <v>0.14047200821907316</v>
      </c>
      <c r="H36" s="35">
        <f t="shared" si="9"/>
        <v>0.14201733345614834</v>
      </c>
      <c r="I36" s="35">
        <f t="shared" si="9"/>
        <v>0.14154358980099166</v>
      </c>
      <c r="J36" s="35">
        <f t="shared" si="9"/>
        <v>0.1435482760129069</v>
      </c>
      <c r="K36" s="35">
        <f t="shared" si="9"/>
        <v>0.14669867857732383</v>
      </c>
      <c r="L36" s="35">
        <f>L31+L32</f>
        <v>0.13724669762543037</v>
      </c>
      <c r="M36" s="35">
        <f t="shared" ref="M36:P36" si="10">M31+M32</f>
        <v>0.14031091803426723</v>
      </c>
      <c r="N36" s="35">
        <f t="shared" si="10"/>
        <v>0.13750133296223838</v>
      </c>
      <c r="O36" s="35">
        <f t="shared" si="10"/>
        <v>0.13768081236147198</v>
      </c>
      <c r="P36" s="35">
        <f t="shared" si="10"/>
        <v>0.13886087030184319</v>
      </c>
      <c r="Q36" s="35">
        <f t="shared" ref="Q36:U36" si="11">Q31+Q32+Q34</f>
        <v>0.15201657574147243</v>
      </c>
      <c r="R36" s="35">
        <f t="shared" si="11"/>
        <v>0.14210558742539106</v>
      </c>
      <c r="S36" s="35">
        <f t="shared" si="11"/>
        <v>0.1432213562596332</v>
      </c>
      <c r="T36" s="35">
        <f t="shared" si="11"/>
        <v>0.13989674780201619</v>
      </c>
      <c r="U36" s="35">
        <f t="shared" si="11"/>
        <v>0.14182735159591114</v>
      </c>
      <c r="V36" s="35">
        <f>V31+V32+V34</f>
        <v>0.10692658875003828</v>
      </c>
      <c r="W36" s="35">
        <f t="shared" ref="W36:AE36" si="12">W31+W32+W34</f>
        <v>0.11053732814670433</v>
      </c>
      <c r="X36" s="35">
        <f t="shared" si="12"/>
        <v>0.10722656031356345</v>
      </c>
      <c r="Y36" s="35">
        <f t="shared" si="12"/>
        <v>0.10783184158392389</v>
      </c>
      <c r="Z36" s="35">
        <f t="shared" si="12"/>
        <v>0.11060562483599516</v>
      </c>
      <c r="AA36" s="35">
        <f t="shared" si="12"/>
        <v>0.11151127934726791</v>
      </c>
      <c r="AB36" s="35">
        <f t="shared" si="12"/>
        <v>0.11246571472071676</v>
      </c>
      <c r="AC36" s="35">
        <f t="shared" si="12"/>
        <v>0.1013752239134358</v>
      </c>
      <c r="AD36" s="35">
        <f t="shared" si="12"/>
        <v>0.10358943539630652</v>
      </c>
      <c r="AE36" s="35">
        <f t="shared" si="12"/>
        <v>0.1039177477908225</v>
      </c>
      <c r="AF36" s="35">
        <f t="shared" ref="AF36:AI36" si="13">AF31+AF32+AF34</f>
        <v>0.1043386834888289</v>
      </c>
      <c r="AG36" s="35">
        <f t="shared" si="13"/>
        <v>0.10052830938235693</v>
      </c>
      <c r="AH36" s="35">
        <f t="shared" si="13"/>
        <v>0.10048056851063271</v>
      </c>
      <c r="AI36" s="35">
        <f t="shared" si="13"/>
        <v>0.10075618833430272</v>
      </c>
    </row>
    <row r="37" spans="1:37" ht="17.5" thickBot="1" x14ac:dyDescent="0.5">
      <c r="A37" s="34" t="s">
        <v>1217</v>
      </c>
      <c r="B37" s="67">
        <f t="shared" ref="B37:AI37" si="14">B35+B36</f>
        <v>0.66155072341355781</v>
      </c>
      <c r="C37" s="67">
        <f t="shared" si="14"/>
        <v>0.65707841186996552</v>
      </c>
      <c r="D37" s="67">
        <f t="shared" si="14"/>
        <v>0.65766842318722007</v>
      </c>
      <c r="E37" s="67">
        <f t="shared" si="14"/>
        <v>0.65942952202924987</v>
      </c>
      <c r="F37" s="67">
        <f t="shared" si="14"/>
        <v>0.66385344284366721</v>
      </c>
      <c r="G37" s="67">
        <f t="shared" si="14"/>
        <v>0.66622194875907326</v>
      </c>
      <c r="H37" s="67">
        <f t="shared" si="14"/>
        <v>0.66976695598814828</v>
      </c>
      <c r="I37" s="67">
        <f t="shared" si="14"/>
        <v>0.67190213042499158</v>
      </c>
      <c r="J37" s="67">
        <f t="shared" si="14"/>
        <v>0.67641582868090677</v>
      </c>
      <c r="K37" s="67">
        <f t="shared" si="14"/>
        <v>0.6822340349333238</v>
      </c>
      <c r="L37" s="67">
        <f t="shared" si="14"/>
        <v>0.43254572282981785</v>
      </c>
      <c r="M37" s="67">
        <f t="shared" si="14"/>
        <v>0.43768390160435044</v>
      </c>
      <c r="N37" s="67">
        <f t="shared" si="14"/>
        <v>0.43607053465248102</v>
      </c>
      <c r="O37" s="67">
        <f t="shared" si="14"/>
        <v>0.43663973406238332</v>
      </c>
      <c r="P37" s="67">
        <f t="shared" si="14"/>
        <v>0.43763293803551007</v>
      </c>
      <c r="Q37" s="67">
        <f t="shared" si="14"/>
        <v>0.45065229360985726</v>
      </c>
      <c r="R37" s="67">
        <f t="shared" si="14"/>
        <v>0.44222613424197665</v>
      </c>
      <c r="S37" s="67">
        <f t="shared" si="14"/>
        <v>0.44486635638169436</v>
      </c>
      <c r="T37" s="67">
        <f t="shared" si="14"/>
        <v>0.44359825127579944</v>
      </c>
      <c r="U37" s="67">
        <f t="shared" si="14"/>
        <v>0.44784896851627637</v>
      </c>
      <c r="V37" s="67">
        <f t="shared" si="14"/>
        <v>0.41068131000428343</v>
      </c>
      <c r="W37" s="67">
        <f t="shared" si="14"/>
        <v>0.41591659242228651</v>
      </c>
      <c r="X37" s="67">
        <f t="shared" si="14"/>
        <v>0.4142318385909447</v>
      </c>
      <c r="Y37" s="67">
        <f t="shared" si="14"/>
        <v>0.41646259310190248</v>
      </c>
      <c r="Z37" s="67">
        <f t="shared" si="14"/>
        <v>0.41620177611745679</v>
      </c>
      <c r="AA37" s="67">
        <f t="shared" si="14"/>
        <v>0.41870254755884334</v>
      </c>
      <c r="AB37" s="67">
        <f t="shared" si="14"/>
        <v>0.42125403134183698</v>
      </c>
      <c r="AC37" s="67">
        <f t="shared" si="14"/>
        <v>0.4117589266395606</v>
      </c>
      <c r="AD37" s="67">
        <f t="shared" si="14"/>
        <v>0.41556862020600405</v>
      </c>
      <c r="AE37" s="67">
        <f t="shared" si="14"/>
        <v>0.41749476297429</v>
      </c>
      <c r="AF37" s="67">
        <f t="shared" si="14"/>
        <v>0.42486655876728002</v>
      </c>
      <c r="AG37" s="67">
        <f t="shared" si="14"/>
        <v>0.41937799711099755</v>
      </c>
      <c r="AH37" s="67">
        <f t="shared" si="14"/>
        <v>0.41927248081403917</v>
      </c>
      <c r="AI37" s="67">
        <f t="shared" si="14"/>
        <v>0.42034765022009024</v>
      </c>
    </row>
    <row r="38" spans="1:37" x14ac:dyDescent="0.4">
      <c r="A38" s="399" t="s">
        <v>1063</v>
      </c>
      <c r="B38" s="35"/>
      <c r="C38" s="35"/>
      <c r="D38" s="35"/>
      <c r="E38" s="35"/>
      <c r="F38" s="35"/>
      <c r="G38" s="35"/>
      <c r="H38" s="35"/>
      <c r="I38" s="35"/>
      <c r="J38" s="35"/>
      <c r="K38" s="35"/>
      <c r="L38" s="35"/>
      <c r="M38" s="35"/>
      <c r="N38" s="35"/>
      <c r="O38" s="35"/>
      <c r="P38" s="14"/>
      <c r="Q38" s="14"/>
      <c r="R38" s="14"/>
      <c r="S38" s="35"/>
      <c r="T38" s="35"/>
      <c r="U38" s="35"/>
      <c r="V38" s="35"/>
      <c r="W38" s="35"/>
      <c r="X38" s="35"/>
      <c r="Y38" s="35"/>
      <c r="Z38" s="35"/>
      <c r="AA38" s="35"/>
      <c r="AB38" s="35"/>
      <c r="AC38" s="35"/>
      <c r="AD38" s="35"/>
      <c r="AE38" s="14"/>
      <c r="AF38" s="35"/>
      <c r="AG38" s="35"/>
      <c r="AH38" s="35"/>
      <c r="AI38" s="35"/>
    </row>
    <row r="39" spans="1:37" x14ac:dyDescent="0.4">
      <c r="A39" s="14"/>
      <c r="B39" s="14"/>
      <c r="C39" s="14"/>
      <c r="D39" s="68"/>
      <c r="E39" s="68"/>
      <c r="F39" s="68"/>
      <c r="G39" s="68"/>
      <c r="H39" s="68"/>
      <c r="I39" s="68"/>
      <c r="J39" s="68"/>
      <c r="K39" s="68"/>
      <c r="L39" s="14"/>
      <c r="M39" s="14"/>
      <c r="N39" s="14"/>
      <c r="O39" s="14"/>
      <c r="P39" s="14"/>
      <c r="Q39" s="14"/>
      <c r="R39" s="14"/>
      <c r="S39" s="14"/>
      <c r="T39" s="14"/>
      <c r="U39" s="14"/>
      <c r="V39" s="14"/>
      <c r="W39" s="14"/>
      <c r="X39" s="14"/>
      <c r="Y39" s="14"/>
      <c r="Z39" s="14"/>
      <c r="AA39" s="14"/>
      <c r="AB39" s="14"/>
      <c r="AC39" s="14"/>
      <c r="AD39" s="14"/>
      <c r="AE39" s="14"/>
      <c r="AF39" s="14"/>
      <c r="AG39" s="14"/>
      <c r="AH39" s="14"/>
      <c r="AI39" s="14"/>
    </row>
    <row r="40" spans="1:37" ht="17" x14ac:dyDescent="0.4">
      <c r="A40" s="1373" t="s">
        <v>1218</v>
      </c>
      <c r="B40" s="14"/>
      <c r="C40" s="14"/>
      <c r="D40" s="68"/>
      <c r="E40" s="68"/>
      <c r="F40" s="68"/>
      <c r="G40" s="68"/>
      <c r="H40" s="68"/>
      <c r="I40" s="68"/>
      <c r="J40" s="68"/>
      <c r="K40" s="68"/>
      <c r="L40" s="14"/>
      <c r="M40" s="14"/>
      <c r="N40" s="14"/>
      <c r="O40" s="14"/>
      <c r="P40" s="14"/>
      <c r="Q40" s="14"/>
      <c r="R40" s="14"/>
      <c r="S40" s="14"/>
      <c r="T40" s="14"/>
      <c r="U40" s="14"/>
      <c r="V40" s="14"/>
      <c r="W40" s="14"/>
      <c r="X40" s="14"/>
      <c r="Y40" s="14"/>
      <c r="Z40" s="14"/>
      <c r="AA40" s="14"/>
      <c r="AB40" s="14"/>
      <c r="AC40" s="14"/>
      <c r="AD40" s="14"/>
      <c r="AE40" s="14"/>
      <c r="AF40" s="14"/>
      <c r="AG40" s="14"/>
      <c r="AH40" s="14"/>
      <c r="AI40" s="14"/>
    </row>
    <row r="41" spans="1:37" ht="17" x14ac:dyDescent="0.4">
      <c r="A41" s="1373" t="s">
        <v>1219</v>
      </c>
      <c r="B41" s="14"/>
      <c r="C41" s="14"/>
      <c r="D41" s="68"/>
      <c r="E41" s="68"/>
      <c r="F41" s="68"/>
      <c r="G41" s="68"/>
      <c r="H41" s="68"/>
      <c r="I41" s="68"/>
      <c r="J41" s="68"/>
      <c r="K41" s="68"/>
      <c r="L41" s="14"/>
      <c r="M41" s="14"/>
      <c r="N41" s="14"/>
      <c r="O41" s="14"/>
      <c r="P41" s="14"/>
      <c r="Q41" s="14"/>
      <c r="R41" s="14"/>
      <c r="S41" s="14"/>
      <c r="T41" s="14"/>
      <c r="U41" s="14"/>
      <c r="V41" s="14"/>
      <c r="W41" s="14"/>
      <c r="X41" s="14"/>
      <c r="Y41" s="14"/>
      <c r="Z41" s="14"/>
      <c r="AA41" s="14"/>
      <c r="AB41" s="14"/>
      <c r="AC41" s="14"/>
      <c r="AD41" s="14"/>
      <c r="AE41" s="14"/>
      <c r="AF41" s="14"/>
      <c r="AG41" s="14"/>
      <c r="AH41" s="14"/>
      <c r="AI41" s="14"/>
    </row>
    <row r="42" spans="1:37" x14ac:dyDescent="0.4">
      <c r="A42" s="14"/>
      <c r="B42" s="14"/>
      <c r="C42" s="14"/>
      <c r="D42" s="68"/>
      <c r="E42" s="68"/>
      <c r="F42" s="68"/>
      <c r="G42" s="68"/>
      <c r="H42" s="68"/>
      <c r="I42" s="68"/>
      <c r="J42" s="68"/>
      <c r="K42" s="68"/>
      <c r="L42" s="14"/>
      <c r="M42" s="14"/>
      <c r="N42" s="14"/>
      <c r="O42" s="14"/>
      <c r="P42" s="14"/>
      <c r="Q42" s="14"/>
      <c r="R42" s="14"/>
      <c r="S42" s="14"/>
      <c r="T42" s="14"/>
      <c r="U42" s="14"/>
      <c r="V42" s="14"/>
      <c r="W42" s="14"/>
      <c r="X42" s="14"/>
      <c r="Y42" s="14"/>
      <c r="Z42" s="14"/>
      <c r="AA42" s="14"/>
      <c r="AB42" s="14"/>
      <c r="AC42" s="14"/>
      <c r="AD42" s="14"/>
      <c r="AE42" s="14"/>
      <c r="AF42" s="14"/>
      <c r="AG42" s="14"/>
      <c r="AH42" s="14"/>
      <c r="AI42" s="14"/>
    </row>
    <row r="43" spans="1:37" ht="16.5" thickBot="1" x14ac:dyDescent="0.45">
      <c r="A43" s="1010" t="s">
        <v>920</v>
      </c>
      <c r="B43" s="14"/>
      <c r="C43" s="14"/>
      <c r="D43" s="14"/>
      <c r="E43" s="14"/>
      <c r="F43" s="14"/>
      <c r="G43" s="14"/>
      <c r="H43" s="14"/>
      <c r="I43" s="14"/>
      <c r="J43" s="14"/>
      <c r="K43" s="14"/>
      <c r="L43" s="69"/>
      <c r="M43" s="69"/>
      <c r="N43" s="69"/>
      <c r="O43" s="69"/>
      <c r="P43" s="69"/>
      <c r="Q43" s="69"/>
      <c r="R43" s="69"/>
      <c r="S43" s="69"/>
      <c r="T43" s="69"/>
      <c r="U43" s="69"/>
      <c r="V43" s="69"/>
      <c r="W43" s="69"/>
      <c r="X43" s="69"/>
      <c r="Y43" s="69"/>
      <c r="Z43" s="69"/>
      <c r="AA43" s="69"/>
      <c r="AB43" s="69"/>
      <c r="AC43" s="69"/>
      <c r="AD43" s="69"/>
      <c r="AE43" s="69"/>
      <c r="AF43" s="69"/>
      <c r="AG43" s="69"/>
      <c r="AH43" s="69"/>
      <c r="AI43" s="69"/>
    </row>
    <row r="44" spans="1:37" s="86" customFormat="1" ht="16.5" thickBot="1" x14ac:dyDescent="0.45">
      <c r="A44" s="1059" t="s">
        <v>389</v>
      </c>
      <c r="B44" s="983" t="s">
        <v>391</v>
      </c>
      <c r="C44" s="983" t="s">
        <v>392</v>
      </c>
      <c r="D44" s="983" t="s">
        <v>393</v>
      </c>
      <c r="E44" s="983" t="s">
        <v>394</v>
      </c>
      <c r="F44" s="983" t="s">
        <v>395</v>
      </c>
      <c r="G44" s="983" t="s">
        <v>396</v>
      </c>
      <c r="H44" s="983" t="s">
        <v>397</v>
      </c>
      <c r="I44" s="983" t="s">
        <v>398</v>
      </c>
      <c r="J44" s="983" t="s">
        <v>399</v>
      </c>
      <c r="K44" s="983" t="s">
        <v>400</v>
      </c>
      <c r="L44" s="983" t="s">
        <v>401</v>
      </c>
      <c r="M44" s="983" t="s">
        <v>402</v>
      </c>
      <c r="N44" s="983" t="s">
        <v>403</v>
      </c>
      <c r="O44" s="983" t="s">
        <v>404</v>
      </c>
      <c r="P44" s="983" t="s">
        <v>405</v>
      </c>
      <c r="Q44" s="983" t="s">
        <v>406</v>
      </c>
      <c r="R44" s="983" t="s">
        <v>407</v>
      </c>
      <c r="S44" s="983" t="s">
        <v>408</v>
      </c>
      <c r="T44" s="983" t="s">
        <v>409</v>
      </c>
      <c r="U44" s="983" t="s">
        <v>410</v>
      </c>
      <c r="V44" s="983" t="s">
        <v>411</v>
      </c>
      <c r="W44" s="983" t="s">
        <v>412</v>
      </c>
      <c r="X44" s="983" t="s">
        <v>413</v>
      </c>
      <c r="Y44" s="983" t="s">
        <v>414</v>
      </c>
      <c r="Z44" s="983" t="s">
        <v>415</v>
      </c>
      <c r="AA44" s="983" t="s">
        <v>416</v>
      </c>
      <c r="AB44" s="983" t="s">
        <v>417</v>
      </c>
      <c r="AC44" s="983" t="s">
        <v>418</v>
      </c>
      <c r="AD44" s="983" t="s">
        <v>419</v>
      </c>
      <c r="AE44" s="983" t="s">
        <v>420</v>
      </c>
      <c r="AF44" s="983" t="s">
        <v>421</v>
      </c>
      <c r="AG44" s="983" t="s">
        <v>422</v>
      </c>
      <c r="AH44" s="983" t="s">
        <v>423</v>
      </c>
      <c r="AI44" s="983" t="s">
        <v>424</v>
      </c>
      <c r="AJ44" s="3"/>
      <c r="AK44" s="3"/>
    </row>
    <row r="45" spans="1:37" ht="17.149999999999999" customHeight="1" x14ac:dyDescent="0.45">
      <c r="A45" s="78" t="s">
        <v>1331</v>
      </c>
      <c r="B45" s="14" t="s">
        <v>32</v>
      </c>
      <c r="C45" s="14" t="s">
        <v>32</v>
      </c>
      <c r="D45" s="14" t="s">
        <v>32</v>
      </c>
      <c r="E45" s="14" t="s">
        <v>32</v>
      </c>
      <c r="F45" s="14" t="s">
        <v>32</v>
      </c>
      <c r="G45" s="14" t="s">
        <v>32</v>
      </c>
      <c r="H45" s="14" t="s">
        <v>32</v>
      </c>
      <c r="I45" s="14" t="s">
        <v>32</v>
      </c>
      <c r="J45" s="14" t="s">
        <v>32</v>
      </c>
      <c r="K45" s="14" t="s">
        <v>32</v>
      </c>
      <c r="L45" s="70">
        <f t="shared" ref="L45:AI45" si="15">L61*(1-$B$88/2)*$B$84*365*$B$87/1000</f>
        <v>10363.4547226875</v>
      </c>
      <c r="M45" s="70">
        <f t="shared" si="15"/>
        <v>10436.2398380625</v>
      </c>
      <c r="N45" s="70">
        <f t="shared" si="15"/>
        <v>10478.220851437503</v>
      </c>
      <c r="O45" s="70">
        <f t="shared" si="15"/>
        <v>10491.897989999999</v>
      </c>
      <c r="P45" s="70">
        <f t="shared" si="15"/>
        <v>10485.340390875002</v>
      </c>
      <c r="Q45" s="70">
        <f t="shared" si="15"/>
        <v>10480.3383076875</v>
      </c>
      <c r="R45" s="70">
        <f t="shared" si="15"/>
        <v>10532.551521187501</v>
      </c>
      <c r="S45" s="70">
        <f t="shared" si="15"/>
        <v>10586.100360937502</v>
      </c>
      <c r="T45" s="70">
        <f t="shared" si="15"/>
        <v>10658.289330937501</v>
      </c>
      <c r="U45" s="70">
        <f t="shared" si="15"/>
        <v>10739.7169254375</v>
      </c>
      <c r="V45" s="70">
        <f t="shared" si="15"/>
        <v>10664.859960562502</v>
      </c>
      <c r="W45" s="70">
        <f t="shared" si="15"/>
        <v>10726.152826462501</v>
      </c>
      <c r="X45" s="70">
        <f t="shared" si="15"/>
        <v>10787.445692362504</v>
      </c>
      <c r="Y45" s="70">
        <f t="shared" si="15"/>
        <v>10848.738558262503</v>
      </c>
      <c r="Z45" s="70">
        <f t="shared" si="15"/>
        <v>10910.031424162504</v>
      </c>
      <c r="AA45" s="70">
        <f t="shared" si="15"/>
        <v>10971.324290062503</v>
      </c>
      <c r="AB45" s="70">
        <f t="shared" si="15"/>
        <v>11032.617155962505</v>
      </c>
      <c r="AC45" s="70">
        <f t="shared" si="15"/>
        <v>11093.910021862504</v>
      </c>
      <c r="AD45" s="70">
        <f t="shared" si="15"/>
        <v>11155.202887762507</v>
      </c>
      <c r="AE45" s="70">
        <f t="shared" si="15"/>
        <v>11216.495753662506</v>
      </c>
      <c r="AF45" s="70">
        <f t="shared" si="15"/>
        <v>11450.4166835625</v>
      </c>
      <c r="AG45" s="70">
        <f t="shared" si="15"/>
        <v>11376.8041314375</v>
      </c>
      <c r="AH45" s="70">
        <f t="shared" si="15"/>
        <v>11372.326525875002</v>
      </c>
      <c r="AI45" s="70">
        <f t="shared" si="15"/>
        <v>11403.966208687501</v>
      </c>
    </row>
    <row r="46" spans="1:37" ht="17" x14ac:dyDescent="0.45">
      <c r="A46" s="78" t="s">
        <v>1332</v>
      </c>
      <c r="B46" s="14" t="s">
        <v>32</v>
      </c>
      <c r="C46" s="14" t="s">
        <v>32</v>
      </c>
      <c r="D46" s="14" t="s">
        <v>32</v>
      </c>
      <c r="E46" s="14" t="s">
        <v>32</v>
      </c>
      <c r="F46" s="14" t="s">
        <v>32</v>
      </c>
      <c r="G46" s="14" t="s">
        <v>32</v>
      </c>
      <c r="H46" s="14" t="s">
        <v>32</v>
      </c>
      <c r="I46" s="14" t="s">
        <v>32</v>
      </c>
      <c r="J46" s="14" t="s">
        <v>32</v>
      </c>
      <c r="K46" s="14" t="s">
        <v>32</v>
      </c>
      <c r="L46" s="69">
        <f t="shared" ref="L46:AI46" si="16">L62*$B$110*365*$B$113/1000</f>
        <v>1448.5062854879998</v>
      </c>
      <c r="M46" s="69">
        <f t="shared" si="16"/>
        <v>1458.6795047408277</v>
      </c>
      <c r="N46" s="69">
        <f t="shared" si="16"/>
        <v>1464.5472161722023</v>
      </c>
      <c r="O46" s="69">
        <f t="shared" si="16"/>
        <v>1466.4588780364547</v>
      </c>
      <c r="P46" s="69">
        <f t="shared" si="16"/>
        <v>1465.5423184716722</v>
      </c>
      <c r="Q46" s="69">
        <f t="shared" si="16"/>
        <v>1464.8431743029071</v>
      </c>
      <c r="R46" s="69">
        <f t="shared" si="16"/>
        <v>1472.1410464858875</v>
      </c>
      <c r="S46" s="69">
        <f t="shared" si="16"/>
        <v>1479.6255999513123</v>
      </c>
      <c r="T46" s="69">
        <f t="shared" si="16"/>
        <v>1489.7154956073416</v>
      </c>
      <c r="U46" s="69">
        <f t="shared" si="16"/>
        <v>1501.0966793536466</v>
      </c>
      <c r="V46" s="69">
        <f t="shared" si="16"/>
        <v>1485.2201734439998</v>
      </c>
      <c r="W46" s="69">
        <f t="shared" si="16"/>
        <v>1488.9525397910904</v>
      </c>
      <c r="X46" s="69">
        <f t="shared" si="16"/>
        <v>1492.6849061381813</v>
      </c>
      <c r="Y46" s="69">
        <f t="shared" si="16"/>
        <v>1496.4172724852717</v>
      </c>
      <c r="Z46" s="69">
        <f t="shared" si="16"/>
        <v>1313.7181303810185</v>
      </c>
      <c r="AA46" s="69">
        <f t="shared" si="16"/>
        <v>1316.2717551402734</v>
      </c>
      <c r="AB46" s="69">
        <f t="shared" si="16"/>
        <v>1318.8253798995279</v>
      </c>
      <c r="AC46" s="69">
        <f t="shared" si="16"/>
        <v>1321.3790046587822</v>
      </c>
      <c r="AD46" s="69">
        <f t="shared" si="16"/>
        <v>1323.9326294180371</v>
      </c>
      <c r="AE46" s="69">
        <f t="shared" si="16"/>
        <v>1326.4862541772923</v>
      </c>
      <c r="AF46" s="69">
        <f t="shared" si="16"/>
        <v>1370.6518722120002</v>
      </c>
      <c r="AG46" s="69">
        <f t="shared" si="16"/>
        <v>1377.1197008279994</v>
      </c>
      <c r="AH46" s="69">
        <f t="shared" si="16"/>
        <v>1379.3002496639992</v>
      </c>
      <c r="AI46" s="69">
        <f t="shared" si="16"/>
        <v>1379.6491166639994</v>
      </c>
    </row>
    <row r="47" spans="1:37" ht="17" x14ac:dyDescent="0.45">
      <c r="A47" s="79" t="s">
        <v>1333</v>
      </c>
      <c r="B47" s="14" t="s">
        <v>32</v>
      </c>
      <c r="C47" s="14" t="s">
        <v>32</v>
      </c>
      <c r="D47" s="14" t="s">
        <v>32</v>
      </c>
      <c r="E47" s="14" t="s">
        <v>32</v>
      </c>
      <c r="F47" s="14" t="s">
        <v>32</v>
      </c>
      <c r="G47" s="14" t="s">
        <v>32</v>
      </c>
      <c r="H47" s="14" t="s">
        <v>32</v>
      </c>
      <c r="I47" s="14" t="s">
        <v>32</v>
      </c>
      <c r="J47" s="14" t="s">
        <v>32</v>
      </c>
      <c r="K47" s="14" t="s">
        <v>32</v>
      </c>
      <c r="L47" s="69">
        <f t="shared" ref="L47:AI47" si="17">SUM(L55,L60,L62)*$B$118/1000000</f>
        <v>18.324239039999998</v>
      </c>
      <c r="M47" s="69">
        <f t="shared" si="17"/>
        <v>18.452934719999998</v>
      </c>
      <c r="N47" s="69">
        <f t="shared" si="17"/>
        <v>18.52716384</v>
      </c>
      <c r="O47" s="69">
        <f t="shared" si="17"/>
        <v>18.551347199999999</v>
      </c>
      <c r="P47" s="69">
        <f t="shared" si="17"/>
        <v>18.539752320000002</v>
      </c>
      <c r="Q47" s="69">
        <f t="shared" si="17"/>
        <v>18.530907840000001</v>
      </c>
      <c r="R47" s="69">
        <f t="shared" si="17"/>
        <v>18.623229119999998</v>
      </c>
      <c r="S47" s="69">
        <f t="shared" si="17"/>
        <v>18.717911999999998</v>
      </c>
      <c r="T47" s="69">
        <f t="shared" si="17"/>
        <v>18.845553600000002</v>
      </c>
      <c r="U47" s="69">
        <f t="shared" si="17"/>
        <v>18.989530559999999</v>
      </c>
      <c r="V47" s="69">
        <f t="shared" si="17"/>
        <v>18.857171519999998</v>
      </c>
      <c r="W47" s="69">
        <f t="shared" si="17"/>
        <v>18.965547072</v>
      </c>
      <c r="X47" s="69">
        <f t="shared" si="17"/>
        <v>19.073922624000001</v>
      </c>
      <c r="Y47" s="69">
        <f t="shared" si="17"/>
        <v>19.182298176000003</v>
      </c>
      <c r="Z47" s="69">
        <f t="shared" si="17"/>
        <v>19.290673728000005</v>
      </c>
      <c r="AA47" s="69">
        <f t="shared" si="17"/>
        <v>19.399049280000007</v>
      </c>
      <c r="AB47" s="69">
        <f t="shared" si="17"/>
        <v>19.507424832000005</v>
      </c>
      <c r="AC47" s="69">
        <f t="shared" si="17"/>
        <v>19.615800384000007</v>
      </c>
      <c r="AD47" s="69">
        <f t="shared" si="17"/>
        <v>19.724175936000009</v>
      </c>
      <c r="AE47" s="69">
        <f t="shared" si="17"/>
        <v>19.832551488000014</v>
      </c>
      <c r="AF47" s="69">
        <f t="shared" si="17"/>
        <v>20.246160960000001</v>
      </c>
      <c r="AG47" s="69">
        <f t="shared" si="17"/>
        <v>20.116002239999997</v>
      </c>
      <c r="AH47" s="69">
        <f t="shared" si="17"/>
        <v>20.108085119999998</v>
      </c>
      <c r="AI47" s="69">
        <f t="shared" si="17"/>
        <v>20.164029119999999</v>
      </c>
    </row>
    <row r="48" spans="1:37" ht="17" x14ac:dyDescent="0.45">
      <c r="A48" s="79" t="s">
        <v>1334</v>
      </c>
      <c r="B48" s="14" t="s">
        <v>32</v>
      </c>
      <c r="C48" s="14" t="s">
        <v>32</v>
      </c>
      <c r="D48" s="14" t="s">
        <v>32</v>
      </c>
      <c r="E48" s="14" t="s">
        <v>32</v>
      </c>
      <c r="F48" s="14" t="s">
        <v>32</v>
      </c>
      <c r="G48" s="14" t="s">
        <v>32</v>
      </c>
      <c r="H48" s="14" t="s">
        <v>32</v>
      </c>
      <c r="I48" s="14" t="s">
        <v>32</v>
      </c>
      <c r="J48" s="14" t="s">
        <v>32</v>
      </c>
      <c r="K48" s="14" t="s">
        <v>32</v>
      </c>
      <c r="L48" s="69">
        <f t="shared" ref="L48:AI48" si="18">(((L54*L68*$B$123*$B$124)-(L47*1000*28/44))*(1-L69)*$B$125*44/28)/1000</f>
        <v>442.23514896479998</v>
      </c>
      <c r="M48" s="69">
        <f t="shared" si="18"/>
        <v>452.38907210640008</v>
      </c>
      <c r="N48" s="69">
        <f t="shared" si="18"/>
        <v>442.88670516079998</v>
      </c>
      <c r="O48" s="69">
        <f t="shared" si="18"/>
        <v>443.46480166399999</v>
      </c>
      <c r="P48" s="69">
        <f t="shared" si="18"/>
        <v>447.43632251839995</v>
      </c>
      <c r="Q48" s="69">
        <f t="shared" si="18"/>
        <v>491.1050900808001</v>
      </c>
      <c r="R48" s="69">
        <f t="shared" si="18"/>
        <v>457.98658901440007</v>
      </c>
      <c r="S48" s="69">
        <f t="shared" si="18"/>
        <v>461.74489194</v>
      </c>
      <c r="T48" s="69">
        <f t="shared" si="18"/>
        <v>450.49772393200016</v>
      </c>
      <c r="U48" s="69">
        <f t="shared" si="18"/>
        <v>456.8406314472</v>
      </c>
      <c r="V48" s="69">
        <f t="shared" si="18"/>
        <v>339.74284974168</v>
      </c>
      <c r="W48" s="69">
        <f t="shared" si="18"/>
        <v>351.83671240244809</v>
      </c>
      <c r="X48" s="69">
        <f t="shared" si="18"/>
        <v>340.58820102361597</v>
      </c>
      <c r="Y48" s="69">
        <f t="shared" si="18"/>
        <v>342.52337896358404</v>
      </c>
      <c r="Z48" s="69">
        <f t="shared" si="18"/>
        <v>351.67916325035208</v>
      </c>
      <c r="AA48" s="69">
        <f t="shared" si="18"/>
        <v>354.69221703552017</v>
      </c>
      <c r="AB48" s="69">
        <f t="shared" si="18"/>
        <v>357.71686098388813</v>
      </c>
      <c r="AC48" s="69">
        <f t="shared" si="18"/>
        <v>320.45319604320969</v>
      </c>
      <c r="AD48" s="69">
        <f t="shared" si="18"/>
        <v>327.82862477067857</v>
      </c>
      <c r="AE48" s="69">
        <f t="shared" si="18"/>
        <v>328.69060521438735</v>
      </c>
      <c r="AF48" s="69">
        <f t="shared" si="18"/>
        <v>329.79219040822409</v>
      </c>
      <c r="AG48" s="69">
        <f t="shared" si="18"/>
        <v>317.10195397728</v>
      </c>
      <c r="AH48" s="69">
        <f t="shared" si="18"/>
        <v>316.97715113663992</v>
      </c>
      <c r="AI48" s="69">
        <f t="shared" si="18"/>
        <v>317.85903370464001</v>
      </c>
    </row>
    <row r="49" spans="1:38" x14ac:dyDescent="0.4">
      <c r="A49" s="398" t="s">
        <v>1063</v>
      </c>
      <c r="L49" s="36"/>
      <c r="M49" s="36"/>
      <c r="N49" s="36"/>
      <c r="O49" s="36"/>
      <c r="P49" s="36"/>
      <c r="Q49" s="36"/>
      <c r="R49" s="36"/>
      <c r="S49" s="36"/>
      <c r="T49" s="36"/>
      <c r="U49" s="36"/>
      <c r="V49" s="36"/>
      <c r="W49" s="36"/>
      <c r="X49" s="36"/>
      <c r="Y49" s="36"/>
      <c r="Z49" s="36"/>
      <c r="AA49" s="36"/>
      <c r="AB49" s="36"/>
      <c r="AC49" s="36"/>
      <c r="AD49" s="36"/>
      <c r="AE49" s="36"/>
      <c r="AF49" s="36"/>
      <c r="AG49" s="36"/>
      <c r="AH49" s="36"/>
      <c r="AI49" s="36"/>
    </row>
    <row r="50" spans="1:38" x14ac:dyDescent="0.4">
      <c r="A50" s="14"/>
      <c r="B50" s="14"/>
      <c r="C50" s="14"/>
      <c r="D50" s="31"/>
      <c r="E50" s="31"/>
      <c r="F50" s="31"/>
      <c r="G50" s="31"/>
      <c r="H50" s="31"/>
      <c r="I50" s="31"/>
      <c r="J50" s="31"/>
      <c r="K50" s="31"/>
    </row>
    <row r="51" spans="1:38" x14ac:dyDescent="0.4">
      <c r="A51" s="14"/>
      <c r="B51" s="14"/>
      <c r="C51" s="14"/>
      <c r="D51" s="31"/>
      <c r="E51" s="31"/>
      <c r="F51" s="31"/>
      <c r="G51" s="31"/>
      <c r="H51" s="31"/>
      <c r="I51" s="31"/>
      <c r="J51" s="31"/>
      <c r="K51" s="31"/>
    </row>
    <row r="52" spans="1:38" ht="16.5" thickBot="1" x14ac:dyDescent="0.45">
      <c r="A52" s="1010" t="s">
        <v>705</v>
      </c>
      <c r="B52" s="28"/>
      <c r="C52" s="12"/>
      <c r="T52" s="32"/>
      <c r="U52" s="32"/>
    </row>
    <row r="53" spans="1:38" s="86" customFormat="1" ht="16.5" thickBot="1" x14ac:dyDescent="0.45">
      <c r="A53" s="1059" t="s">
        <v>823</v>
      </c>
      <c r="B53" s="983" t="s">
        <v>391</v>
      </c>
      <c r="C53" s="983" t="s">
        <v>392</v>
      </c>
      <c r="D53" s="983" t="s">
        <v>393</v>
      </c>
      <c r="E53" s="983" t="s">
        <v>394</v>
      </c>
      <c r="F53" s="983" t="s">
        <v>395</v>
      </c>
      <c r="G53" s="983" t="s">
        <v>396</v>
      </c>
      <c r="H53" s="983" t="s">
        <v>397</v>
      </c>
      <c r="I53" s="983" t="s">
        <v>398</v>
      </c>
      <c r="J53" s="983" t="s">
        <v>399</v>
      </c>
      <c r="K53" s="983" t="s">
        <v>400</v>
      </c>
      <c r="L53" s="983" t="s">
        <v>401</v>
      </c>
      <c r="M53" s="983" t="s">
        <v>402</v>
      </c>
      <c r="N53" s="983" t="s">
        <v>403</v>
      </c>
      <c r="O53" s="983" t="s">
        <v>404</v>
      </c>
      <c r="P53" s="983" t="s">
        <v>405</v>
      </c>
      <c r="Q53" s="983" t="s">
        <v>406</v>
      </c>
      <c r="R53" s="983" t="s">
        <v>407</v>
      </c>
      <c r="S53" s="983" t="s">
        <v>408</v>
      </c>
      <c r="T53" s="983" t="s">
        <v>409</v>
      </c>
      <c r="U53" s="983" t="s">
        <v>410</v>
      </c>
      <c r="V53" s="983" t="s">
        <v>411</v>
      </c>
      <c r="W53" s="983" t="s">
        <v>412</v>
      </c>
      <c r="X53" s="983" t="s">
        <v>413</v>
      </c>
      <c r="Y53" s="983" t="s">
        <v>414</v>
      </c>
      <c r="Z53" s="983" t="s">
        <v>415</v>
      </c>
      <c r="AA53" s="983" t="s">
        <v>416</v>
      </c>
      <c r="AB53" s="983" t="s">
        <v>417</v>
      </c>
      <c r="AC53" s="983" t="s">
        <v>418</v>
      </c>
      <c r="AD53" s="983" t="s">
        <v>419</v>
      </c>
      <c r="AE53" s="983" t="s">
        <v>420</v>
      </c>
      <c r="AF53" s="983" t="s">
        <v>421</v>
      </c>
      <c r="AG53" s="983" t="s">
        <v>422</v>
      </c>
      <c r="AH53" s="983" t="s">
        <v>423</v>
      </c>
      <c r="AI53" s="983" t="s">
        <v>424</v>
      </c>
      <c r="AJ53" s="3"/>
      <c r="AK53" s="3"/>
    </row>
    <row r="54" spans="1:38" x14ac:dyDescent="0.4">
      <c r="A54" s="80" t="s">
        <v>217</v>
      </c>
      <c r="B54" s="14" t="s">
        <v>32</v>
      </c>
      <c r="C54" s="14" t="s">
        <v>32</v>
      </c>
      <c r="D54" s="14" t="s">
        <v>32</v>
      </c>
      <c r="E54" s="14" t="s">
        <v>32</v>
      </c>
      <c r="F54" s="14" t="s">
        <v>32</v>
      </c>
      <c r="G54" s="14" t="s">
        <v>32</v>
      </c>
      <c r="H54" s="14" t="s">
        <v>32</v>
      </c>
      <c r="I54" s="14" t="s">
        <v>32</v>
      </c>
      <c r="J54" s="14" t="s">
        <v>32</v>
      </c>
      <c r="K54" s="14" t="s">
        <v>32</v>
      </c>
      <c r="L54" s="73">
        <v>6362583</v>
      </c>
      <c r="M54" s="73">
        <v>6407269</v>
      </c>
      <c r="N54" s="73">
        <v>6433043</v>
      </c>
      <c r="O54" s="73">
        <v>6441440</v>
      </c>
      <c r="P54" s="73">
        <v>6437414</v>
      </c>
      <c r="Q54" s="73">
        <v>6434343</v>
      </c>
      <c r="R54" s="73">
        <v>6466399</v>
      </c>
      <c r="S54" s="73">
        <v>6499275</v>
      </c>
      <c r="T54" s="73">
        <v>6543595</v>
      </c>
      <c r="U54" s="73">
        <v>6593587</v>
      </c>
      <c r="V54" s="69">
        <v>6547629</v>
      </c>
      <c r="W54" s="69">
        <v>6585259.4000000004</v>
      </c>
      <c r="X54" s="69">
        <v>6622889.8000000007</v>
      </c>
      <c r="Y54" s="69">
        <v>6660520.2000000011</v>
      </c>
      <c r="Z54" s="69">
        <v>6698150.6000000015</v>
      </c>
      <c r="AA54" s="69">
        <v>6735781.0000000019</v>
      </c>
      <c r="AB54" s="69">
        <v>6773411.4000000022</v>
      </c>
      <c r="AC54" s="69">
        <v>6811041.8000000026</v>
      </c>
      <c r="AD54" s="69">
        <v>6848672.200000003</v>
      </c>
      <c r="AE54" s="69">
        <v>6886302.6000000034</v>
      </c>
      <c r="AF54" s="69">
        <v>7029917</v>
      </c>
      <c r="AG54" s="69">
        <v>6984723</v>
      </c>
      <c r="AH54" s="69">
        <v>6981974</v>
      </c>
      <c r="AI54" s="69">
        <v>7001399</v>
      </c>
    </row>
    <row r="55" spans="1:38" x14ac:dyDescent="0.4">
      <c r="A55" s="81" t="s">
        <v>218</v>
      </c>
      <c r="B55" s="14" t="s">
        <v>32</v>
      </c>
      <c r="C55" s="14" t="s">
        <v>32</v>
      </c>
      <c r="D55" s="14" t="s">
        <v>32</v>
      </c>
      <c r="E55" s="14" t="s">
        <v>32</v>
      </c>
      <c r="F55" s="14" t="s">
        <v>32</v>
      </c>
      <c r="G55" s="14" t="s">
        <v>32</v>
      </c>
      <c r="H55" s="14" t="s">
        <v>32</v>
      </c>
      <c r="I55" s="14" t="s">
        <v>32</v>
      </c>
      <c r="J55" s="14" t="s">
        <v>32</v>
      </c>
      <c r="K55" s="14" t="s">
        <v>32</v>
      </c>
      <c r="L55" s="73">
        <v>2131362</v>
      </c>
      <c r="M55" s="73">
        <v>2146331.0844633384</v>
      </c>
      <c r="N55" s="73">
        <v>2154964.9559881575</v>
      </c>
      <c r="O55" s="73">
        <v>2157777.8146516914</v>
      </c>
      <c r="P55" s="73">
        <v>2156429.1700191572</v>
      </c>
      <c r="Q55" s="73">
        <v>2155400.4348809281</v>
      </c>
      <c r="R55" s="73">
        <v>2166138.6744091194</v>
      </c>
      <c r="S55" s="73">
        <v>2177151.6006235201</v>
      </c>
      <c r="T55" s="73">
        <v>2191998.0810293555</v>
      </c>
      <c r="U55" s="73">
        <v>2208744.5893427245</v>
      </c>
      <c r="V55" s="69">
        <v>2202505</v>
      </c>
      <c r="W55" s="69">
        <v>2223286.7514414163</v>
      </c>
      <c r="X55" s="69">
        <v>2244068.5028828327</v>
      </c>
      <c r="Y55" s="69">
        <v>2264850.254324249</v>
      </c>
      <c r="Z55" s="69">
        <v>2285632.0057656653</v>
      </c>
      <c r="AA55" s="69">
        <v>2306413.7572070817</v>
      </c>
      <c r="AB55" s="69">
        <v>2327195.508648498</v>
      </c>
      <c r="AC55" s="69">
        <v>2347977.2600899143</v>
      </c>
      <c r="AD55" s="69">
        <v>2368759.0115313306</v>
      </c>
      <c r="AE55" s="69">
        <v>2389540.762972747</v>
      </c>
      <c r="AF55" s="69">
        <v>2407358</v>
      </c>
      <c r="AG55" s="69">
        <v>2365892</v>
      </c>
      <c r="AH55" s="69">
        <v>2360498</v>
      </c>
      <c r="AI55" s="69">
        <v>2372644</v>
      </c>
      <c r="AL55" s="38"/>
    </row>
    <row r="56" spans="1:38" x14ac:dyDescent="0.4">
      <c r="A56" s="81" t="s">
        <v>219</v>
      </c>
      <c r="B56" s="14" t="s">
        <v>32</v>
      </c>
      <c r="C56" s="14" t="s">
        <v>32</v>
      </c>
      <c r="D56" s="14" t="s">
        <v>32</v>
      </c>
      <c r="E56" s="14" t="s">
        <v>32</v>
      </c>
      <c r="F56" s="14" t="s">
        <v>32</v>
      </c>
      <c r="G56" s="14" t="s">
        <v>32</v>
      </c>
      <c r="H56" s="14" t="s">
        <v>32</v>
      </c>
      <c r="I56" s="14" t="s">
        <v>32</v>
      </c>
      <c r="J56" s="14" t="s">
        <v>32</v>
      </c>
      <c r="K56" s="14" t="s">
        <v>32</v>
      </c>
      <c r="L56" s="74" t="s">
        <v>32</v>
      </c>
      <c r="M56" s="74" t="s">
        <v>32</v>
      </c>
      <c r="N56" s="74" t="s">
        <v>32</v>
      </c>
      <c r="O56" s="74" t="s">
        <v>32</v>
      </c>
      <c r="P56" s="74" t="s">
        <v>32</v>
      </c>
      <c r="Q56" s="74" t="s">
        <v>32</v>
      </c>
      <c r="R56" s="74" t="s">
        <v>32</v>
      </c>
      <c r="S56" s="74" t="s">
        <v>32</v>
      </c>
      <c r="T56" s="74" t="s">
        <v>32</v>
      </c>
      <c r="U56" s="74" t="s">
        <v>32</v>
      </c>
      <c r="V56" s="75">
        <v>53525</v>
      </c>
      <c r="W56" s="75">
        <v>53489.402068194962</v>
      </c>
      <c r="X56" s="75">
        <v>53453.804136389925</v>
      </c>
      <c r="Y56" s="75">
        <v>53418.206204584887</v>
      </c>
      <c r="Z56" s="69">
        <v>53382.608272779849</v>
      </c>
      <c r="AA56" s="69">
        <v>53347.010340974812</v>
      </c>
      <c r="AB56" s="69">
        <v>53311.412409169774</v>
      </c>
      <c r="AC56" s="69">
        <v>53275.814477364736</v>
      </c>
      <c r="AD56" s="69">
        <v>53240.216545559699</v>
      </c>
      <c r="AE56" s="69">
        <v>53204.618613754661</v>
      </c>
      <c r="AF56" s="69">
        <v>52176</v>
      </c>
      <c r="AG56" s="69">
        <v>51839</v>
      </c>
      <c r="AH56" s="69">
        <v>51466</v>
      </c>
      <c r="AI56" s="69">
        <v>51172</v>
      </c>
    </row>
    <row r="57" spans="1:38" s="61" customFormat="1" x14ac:dyDescent="0.4">
      <c r="A57" s="82" t="s">
        <v>220</v>
      </c>
      <c r="B57" s="76" t="s">
        <v>32</v>
      </c>
      <c r="C57" s="76" t="s">
        <v>32</v>
      </c>
      <c r="D57" s="76" t="s">
        <v>32</v>
      </c>
      <c r="E57" s="76" t="s">
        <v>32</v>
      </c>
      <c r="F57" s="76" t="s">
        <v>32</v>
      </c>
      <c r="G57" s="76" t="s">
        <v>32</v>
      </c>
      <c r="H57" s="76" t="s">
        <v>32</v>
      </c>
      <c r="I57" s="76" t="s">
        <v>32</v>
      </c>
      <c r="J57" s="76" t="s">
        <v>32</v>
      </c>
      <c r="K57" s="76" t="s">
        <v>32</v>
      </c>
      <c r="L57" s="76" t="s">
        <v>32</v>
      </c>
      <c r="M57" s="76" t="s">
        <v>32</v>
      </c>
      <c r="N57" s="76" t="s">
        <v>32</v>
      </c>
      <c r="O57" s="76" t="s">
        <v>32</v>
      </c>
      <c r="P57" s="76" t="s">
        <v>32</v>
      </c>
      <c r="Q57" s="76" t="s">
        <v>32</v>
      </c>
      <c r="R57" s="76" t="s">
        <v>32</v>
      </c>
      <c r="S57" s="76" t="s">
        <v>32</v>
      </c>
      <c r="T57" s="76" t="s">
        <v>32</v>
      </c>
      <c r="U57" s="76" t="s">
        <v>32</v>
      </c>
      <c r="V57" s="77">
        <v>214642</v>
      </c>
      <c r="W57" s="77">
        <v>216481.80225468322</v>
      </c>
      <c r="X57" s="77">
        <v>218321.60450936644</v>
      </c>
      <c r="Y57" s="77">
        <v>220161.40676404967</v>
      </c>
      <c r="Z57" s="77">
        <v>222001.20901873289</v>
      </c>
      <c r="AA57" s="77">
        <v>223841.01127341611</v>
      </c>
      <c r="AB57" s="77">
        <v>225680.81352809933</v>
      </c>
      <c r="AC57" s="77">
        <v>227520.61578278255</v>
      </c>
      <c r="AD57" s="77">
        <v>229360.41803746577</v>
      </c>
      <c r="AE57" s="77">
        <v>231200.220292149</v>
      </c>
      <c r="AF57" s="77">
        <v>242303</v>
      </c>
      <c r="AG57" s="77">
        <v>240693</v>
      </c>
      <c r="AH57" s="77">
        <v>240913</v>
      </c>
      <c r="AI57" s="77">
        <v>242018</v>
      </c>
      <c r="AJ57" s="3"/>
      <c r="AK57" s="3"/>
    </row>
    <row r="58" spans="1:38" x14ac:dyDescent="0.4">
      <c r="A58" s="80" t="s">
        <v>968</v>
      </c>
      <c r="B58" s="14" t="s">
        <v>32</v>
      </c>
      <c r="C58" s="14" t="s">
        <v>32</v>
      </c>
      <c r="D58" s="14" t="s">
        <v>32</v>
      </c>
      <c r="E58" s="14" t="s">
        <v>32</v>
      </c>
      <c r="F58" s="14" t="s">
        <v>32</v>
      </c>
      <c r="G58" s="14" t="s">
        <v>32</v>
      </c>
      <c r="H58" s="14" t="s">
        <v>32</v>
      </c>
      <c r="I58" s="14" t="s">
        <v>32</v>
      </c>
      <c r="J58" s="14" t="s">
        <v>32</v>
      </c>
      <c r="K58" s="14" t="s">
        <v>32</v>
      </c>
      <c r="L58" s="74" t="s">
        <v>32</v>
      </c>
      <c r="M58" s="74" t="s">
        <v>32</v>
      </c>
      <c r="N58" s="74" t="s">
        <v>32</v>
      </c>
      <c r="O58" s="74" t="s">
        <v>32</v>
      </c>
      <c r="P58" s="74" t="s">
        <v>32</v>
      </c>
      <c r="Q58" s="74" t="s">
        <v>32</v>
      </c>
      <c r="R58" s="74" t="s">
        <v>32</v>
      </c>
      <c r="S58" s="74" t="s">
        <v>32</v>
      </c>
      <c r="T58" s="74" t="s">
        <v>32</v>
      </c>
      <c r="U58" s="74" t="s">
        <v>32</v>
      </c>
      <c r="V58" s="75">
        <v>21661</v>
      </c>
      <c r="W58" s="75">
        <v>21679.865510432788</v>
      </c>
      <c r="X58" s="75">
        <v>21698.731020865576</v>
      </c>
      <c r="Y58" s="75">
        <v>21717.596531298364</v>
      </c>
      <c r="Z58" s="69">
        <v>21736.462041731153</v>
      </c>
      <c r="AA58" s="69">
        <v>21755.327552163941</v>
      </c>
      <c r="AB58" s="69">
        <v>21774.193062596729</v>
      </c>
      <c r="AC58" s="69">
        <v>21793.058573029517</v>
      </c>
      <c r="AD58" s="69">
        <v>21811.924083462305</v>
      </c>
      <c r="AE58" s="69">
        <v>21830.789593895093</v>
      </c>
      <c r="AF58" s="69">
        <v>23869</v>
      </c>
      <c r="AG58" s="69">
        <v>23836</v>
      </c>
      <c r="AH58" s="69">
        <v>23878</v>
      </c>
      <c r="AI58" s="69">
        <v>24332</v>
      </c>
    </row>
    <row r="59" spans="1:38" s="61" customFormat="1" x14ac:dyDescent="0.4">
      <c r="A59" s="83" t="s">
        <v>221</v>
      </c>
      <c r="B59" s="76" t="s">
        <v>32</v>
      </c>
      <c r="C59" s="76" t="s">
        <v>32</v>
      </c>
      <c r="D59" s="76" t="s">
        <v>32</v>
      </c>
      <c r="E59" s="76" t="s">
        <v>32</v>
      </c>
      <c r="F59" s="76" t="s">
        <v>32</v>
      </c>
      <c r="G59" s="76" t="s">
        <v>32</v>
      </c>
      <c r="H59" s="76" t="s">
        <v>32</v>
      </c>
      <c r="I59" s="76" t="s">
        <v>32</v>
      </c>
      <c r="J59" s="76" t="s">
        <v>32</v>
      </c>
      <c r="K59" s="76" t="s">
        <v>32</v>
      </c>
      <c r="L59" s="76" t="s">
        <v>32</v>
      </c>
      <c r="M59" s="76" t="s">
        <v>32</v>
      </c>
      <c r="N59" s="76" t="s">
        <v>32</v>
      </c>
      <c r="O59" s="76" t="s">
        <v>32</v>
      </c>
      <c r="P59" s="76" t="s">
        <v>32</v>
      </c>
      <c r="Q59" s="76" t="s">
        <v>32</v>
      </c>
      <c r="R59" s="76" t="s">
        <v>32</v>
      </c>
      <c r="S59" s="76" t="s">
        <v>32</v>
      </c>
      <c r="T59" s="76" t="s">
        <v>32</v>
      </c>
      <c r="U59" s="76" t="s">
        <v>32</v>
      </c>
      <c r="V59" s="77">
        <v>17489</v>
      </c>
      <c r="W59" s="77">
        <v>17659.404862843294</v>
      </c>
      <c r="X59" s="77">
        <v>17829.809725686588</v>
      </c>
      <c r="Y59" s="77">
        <v>18000.214588529881</v>
      </c>
      <c r="Z59" s="77">
        <v>18170.619451373175</v>
      </c>
      <c r="AA59" s="77">
        <v>18341.024314216469</v>
      </c>
      <c r="AB59" s="77">
        <v>18511.429177059763</v>
      </c>
      <c r="AC59" s="77">
        <v>18681.834039903057</v>
      </c>
      <c r="AD59" s="77">
        <v>18852.238902746351</v>
      </c>
      <c r="AE59" s="77">
        <v>19022.643765589644</v>
      </c>
      <c r="AF59" s="77">
        <v>17803</v>
      </c>
      <c r="AG59" s="77">
        <v>17771</v>
      </c>
      <c r="AH59" s="77">
        <v>17609</v>
      </c>
      <c r="AI59" s="77">
        <v>17594</v>
      </c>
      <c r="AJ59" s="3"/>
      <c r="AK59" s="3"/>
    </row>
    <row r="60" spans="1:38" x14ac:dyDescent="0.4">
      <c r="A60" s="81" t="s">
        <v>824</v>
      </c>
      <c r="B60" s="14" t="s">
        <v>32</v>
      </c>
      <c r="C60" s="14" t="s">
        <v>32</v>
      </c>
      <c r="D60" s="14" t="s">
        <v>32</v>
      </c>
      <c r="E60" s="14" t="s">
        <v>32</v>
      </c>
      <c r="F60" s="14" t="s">
        <v>32</v>
      </c>
      <c r="G60" s="14" t="s">
        <v>32</v>
      </c>
      <c r="H60" s="14" t="s">
        <v>32</v>
      </c>
      <c r="I60" s="14" t="s">
        <v>32</v>
      </c>
      <c r="J60" s="14" t="s">
        <v>32</v>
      </c>
      <c r="K60" s="14" t="s">
        <v>32</v>
      </c>
      <c r="L60" s="74" t="s">
        <v>32</v>
      </c>
      <c r="M60" s="74" t="s">
        <v>32</v>
      </c>
      <c r="N60" s="74" t="s">
        <v>32</v>
      </c>
      <c r="O60" s="74" t="s">
        <v>32</v>
      </c>
      <c r="P60" s="74" t="s">
        <v>32</v>
      </c>
      <c r="Q60" s="74" t="s">
        <v>32</v>
      </c>
      <c r="R60" s="74" t="s">
        <v>32</v>
      </c>
      <c r="S60" s="74" t="s">
        <v>32</v>
      </c>
      <c r="T60" s="74" t="s">
        <v>32</v>
      </c>
      <c r="U60" s="74" t="s">
        <v>32</v>
      </c>
      <c r="V60" s="74" t="s">
        <v>32</v>
      </c>
      <c r="W60" s="74" t="s">
        <v>32</v>
      </c>
      <c r="X60" s="74" t="s">
        <v>32</v>
      </c>
      <c r="Y60" s="74" t="s">
        <v>32</v>
      </c>
      <c r="Z60" s="69">
        <f t="shared" ref="Z60:AE60" si="19">Z56+Z57+Z58+Z59</f>
        <v>315290.89878461708</v>
      </c>
      <c r="AA60" s="69">
        <f t="shared" si="19"/>
        <v>317284.37348077126</v>
      </c>
      <c r="AB60" s="69">
        <f t="shared" si="19"/>
        <v>319277.84817692556</v>
      </c>
      <c r="AC60" s="69">
        <f t="shared" si="19"/>
        <v>321271.32287307992</v>
      </c>
      <c r="AD60" s="69">
        <f t="shared" si="19"/>
        <v>323264.79756923416</v>
      </c>
      <c r="AE60" s="69">
        <f t="shared" si="19"/>
        <v>325258.27226538834</v>
      </c>
      <c r="AF60" s="69">
        <f t="shared" ref="AF60:AG60" si="20">AF56+AF57+AF58+AF59</f>
        <v>336151</v>
      </c>
      <c r="AG60" s="69">
        <f t="shared" si="20"/>
        <v>334139</v>
      </c>
      <c r="AH60" s="69">
        <f t="shared" ref="AH60" si="21">AH56+AH57+AH58+AH59</f>
        <v>333866</v>
      </c>
      <c r="AI60" s="69">
        <f t="shared" ref="AI60" si="22">AI56+AI57+AI58+AI59</f>
        <v>335116</v>
      </c>
    </row>
    <row r="61" spans="1:38" x14ac:dyDescent="0.4">
      <c r="A61" s="80" t="s">
        <v>222</v>
      </c>
      <c r="B61" s="14" t="s">
        <v>32</v>
      </c>
      <c r="C61" s="14" t="s">
        <v>32</v>
      </c>
      <c r="D61" s="14" t="s">
        <v>32</v>
      </c>
      <c r="E61" s="14" t="s">
        <v>32</v>
      </c>
      <c r="F61" s="14" t="s">
        <v>32</v>
      </c>
      <c r="G61" s="14" t="s">
        <v>32</v>
      </c>
      <c r="H61" s="14" t="s">
        <v>32</v>
      </c>
      <c r="I61" s="14" t="s">
        <v>32</v>
      </c>
      <c r="J61" s="14" t="s">
        <v>32</v>
      </c>
      <c r="K61" s="14" t="s">
        <v>32</v>
      </c>
      <c r="L61" s="69">
        <f t="shared" ref="L61:AI61" si="23">L54*$B$89</f>
        <v>1781523.2400000002</v>
      </c>
      <c r="M61" s="69">
        <f t="shared" si="23"/>
        <v>1794035.32</v>
      </c>
      <c r="N61" s="69">
        <f t="shared" si="23"/>
        <v>1801252.0400000003</v>
      </c>
      <c r="O61" s="69">
        <f t="shared" si="23"/>
        <v>1803603.2000000002</v>
      </c>
      <c r="P61" s="69">
        <f t="shared" si="23"/>
        <v>1802475.9200000002</v>
      </c>
      <c r="Q61" s="69">
        <f t="shared" si="23"/>
        <v>1801616.0400000003</v>
      </c>
      <c r="R61" s="69">
        <f t="shared" si="23"/>
        <v>1810591.7200000002</v>
      </c>
      <c r="S61" s="69">
        <f t="shared" si="23"/>
        <v>1819797.0000000002</v>
      </c>
      <c r="T61" s="69">
        <f t="shared" si="23"/>
        <v>1832206.6</v>
      </c>
      <c r="U61" s="69">
        <f t="shared" si="23"/>
        <v>1846204.36</v>
      </c>
      <c r="V61" s="69">
        <f t="shared" si="23"/>
        <v>1833336.12</v>
      </c>
      <c r="W61" s="69">
        <f t="shared" si="23"/>
        <v>1843872.6320000002</v>
      </c>
      <c r="X61" s="69">
        <f t="shared" si="23"/>
        <v>1854409.1440000003</v>
      </c>
      <c r="Y61" s="69">
        <f t="shared" si="23"/>
        <v>1864945.6560000004</v>
      </c>
      <c r="Z61" s="69">
        <f t="shared" si="23"/>
        <v>1875482.1680000005</v>
      </c>
      <c r="AA61" s="69">
        <f t="shared" si="23"/>
        <v>1886018.6800000006</v>
      </c>
      <c r="AB61" s="69">
        <f>AB54*$B$89</f>
        <v>1896555.1920000007</v>
      </c>
      <c r="AC61" s="69">
        <f t="shared" si="23"/>
        <v>1907091.7040000008</v>
      </c>
      <c r="AD61" s="69">
        <f t="shared" si="23"/>
        <v>1917628.2160000009</v>
      </c>
      <c r="AE61" s="69">
        <f t="shared" si="23"/>
        <v>1928164.7280000011</v>
      </c>
      <c r="AF61" s="69">
        <f t="shared" si="23"/>
        <v>1968376.7600000002</v>
      </c>
      <c r="AG61" s="69">
        <f t="shared" si="23"/>
        <v>1955722.4400000002</v>
      </c>
      <c r="AH61" s="69">
        <f t="shared" si="23"/>
        <v>1954952.7200000002</v>
      </c>
      <c r="AI61" s="69">
        <f t="shared" si="23"/>
        <v>1960391.7200000002</v>
      </c>
    </row>
    <row r="62" spans="1:38" x14ac:dyDescent="0.4">
      <c r="A62" s="80" t="s">
        <v>223</v>
      </c>
      <c r="B62" s="14" t="s">
        <v>32</v>
      </c>
      <c r="C62" s="14" t="s">
        <v>32</v>
      </c>
      <c r="D62" s="14" t="s">
        <v>32</v>
      </c>
      <c r="E62" s="14" t="s">
        <v>32</v>
      </c>
      <c r="F62" s="14" t="s">
        <v>32</v>
      </c>
      <c r="G62" s="14" t="s">
        <v>32</v>
      </c>
      <c r="H62" s="14" t="s">
        <v>32</v>
      </c>
      <c r="I62" s="14" t="s">
        <v>32</v>
      </c>
      <c r="J62" s="14" t="s">
        <v>32</v>
      </c>
      <c r="K62" s="14" t="s">
        <v>32</v>
      </c>
      <c r="L62" s="69">
        <f t="shared" ref="L62:U62" si="24">L54-SUM(L55,L60,L61)</f>
        <v>2449697.7599999998</v>
      </c>
      <c r="M62" s="69">
        <f t="shared" si="24"/>
        <v>2466902.5955366613</v>
      </c>
      <c r="N62" s="69">
        <f t="shared" si="24"/>
        <v>2476826.0040118424</v>
      </c>
      <c r="O62" s="69">
        <f t="shared" si="24"/>
        <v>2480058.9853483085</v>
      </c>
      <c r="P62" s="69">
        <f t="shared" si="24"/>
        <v>2478508.9099808428</v>
      </c>
      <c r="Q62" s="69">
        <f t="shared" si="24"/>
        <v>2477326.5251190718</v>
      </c>
      <c r="R62" s="69">
        <f t="shared" si="24"/>
        <v>2489668.6055908804</v>
      </c>
      <c r="S62" s="69">
        <f t="shared" si="24"/>
        <v>2502326.3993764799</v>
      </c>
      <c r="T62" s="69">
        <f t="shared" si="24"/>
        <v>2519390.3189706444</v>
      </c>
      <c r="U62" s="69">
        <f t="shared" si="24"/>
        <v>2538638.0506572751</v>
      </c>
      <c r="V62" s="69">
        <f t="shared" ref="V62:AE62" si="25">V54-SUM(V55,V60,V61)</f>
        <v>2511787.88</v>
      </c>
      <c r="W62" s="69">
        <f t="shared" si="25"/>
        <v>2518100.0165585838</v>
      </c>
      <c r="X62" s="69">
        <f>X54-SUM(X55,X60,X61)</f>
        <v>2524412.1531171678</v>
      </c>
      <c r="Y62" s="69">
        <f t="shared" si="25"/>
        <v>2530724.2896757517</v>
      </c>
      <c r="Z62" s="69">
        <f t="shared" si="25"/>
        <v>2221745.5274497187</v>
      </c>
      <c r="AA62" s="69">
        <f t="shared" si="25"/>
        <v>2226064.1893121488</v>
      </c>
      <c r="AB62" s="69">
        <f t="shared" si="25"/>
        <v>2230382.8511745781</v>
      </c>
      <c r="AC62" s="69">
        <f t="shared" si="25"/>
        <v>2234701.5130370073</v>
      </c>
      <c r="AD62" s="69">
        <f t="shared" si="25"/>
        <v>2239020.1748994375</v>
      </c>
      <c r="AE62" s="69">
        <f t="shared" si="25"/>
        <v>2243338.8367618676</v>
      </c>
      <c r="AF62" s="69">
        <f t="shared" ref="AF62:AG62" si="26">AF54-SUM(AF55,AF60,AF61)</f>
        <v>2318031.2400000002</v>
      </c>
      <c r="AG62" s="69">
        <f t="shared" si="26"/>
        <v>2328969.5599999996</v>
      </c>
      <c r="AH62" s="69">
        <f t="shared" ref="AH62" si="27">AH54-SUM(AH55,AH60,AH61)</f>
        <v>2332657.2799999993</v>
      </c>
      <c r="AI62" s="69">
        <f t="shared" ref="AI62" si="28">AI54-SUM(AI55,AI60,AI61)</f>
        <v>2333247.2799999993</v>
      </c>
    </row>
    <row r="63" spans="1:38" x14ac:dyDescent="0.4">
      <c r="A63" s="1060" t="s">
        <v>1063</v>
      </c>
      <c r="B63" s="665"/>
      <c r="C63" s="665"/>
      <c r="D63" s="665"/>
      <c r="E63" s="665"/>
      <c r="F63" s="665"/>
      <c r="G63" s="665"/>
      <c r="H63" s="665"/>
      <c r="I63" s="665"/>
      <c r="J63" s="665"/>
      <c r="K63" s="665"/>
      <c r="L63" s="665"/>
      <c r="M63" s="665"/>
      <c r="N63" s="665"/>
      <c r="O63" s="665"/>
      <c r="P63" s="665"/>
      <c r="Q63" s="665"/>
      <c r="R63" s="665"/>
      <c r="S63" s="665"/>
      <c r="T63" s="665"/>
      <c r="U63" s="665"/>
      <c r="V63" s="665"/>
      <c r="W63" s="665"/>
      <c r="X63" s="665"/>
      <c r="Y63" s="665"/>
      <c r="Z63" s="665"/>
      <c r="AA63" s="665"/>
      <c r="AB63" s="665"/>
      <c r="AC63" s="665"/>
      <c r="AD63" s="665"/>
      <c r="AE63" s="665"/>
      <c r="AF63" s="665"/>
      <c r="AG63" s="665"/>
      <c r="AH63" s="665"/>
      <c r="AI63" s="665"/>
    </row>
    <row r="64" spans="1:38" x14ac:dyDescent="0.4">
      <c r="A64" s="35"/>
      <c r="L64" s="36"/>
      <c r="M64" s="36"/>
      <c r="N64" s="36"/>
      <c r="O64" s="36"/>
      <c r="P64" s="36"/>
      <c r="Q64" s="36"/>
      <c r="R64" s="36"/>
      <c r="S64" s="36"/>
      <c r="T64" s="36"/>
      <c r="U64" s="36"/>
      <c r="V64" s="36"/>
      <c r="W64" s="36"/>
      <c r="X64" s="36"/>
      <c r="Y64" s="36"/>
      <c r="Z64" s="36"/>
      <c r="AA64" s="36"/>
      <c r="AB64" s="36"/>
      <c r="AC64" s="36"/>
      <c r="AD64" s="36"/>
      <c r="AE64" s="36"/>
      <c r="AF64" s="36"/>
      <c r="AG64" s="36"/>
      <c r="AH64" s="36"/>
      <c r="AI64" s="36"/>
    </row>
    <row r="65" spans="1:37" x14ac:dyDescent="0.4">
      <c r="A65" s="42" t="s">
        <v>1414</v>
      </c>
      <c r="L65" s="36"/>
      <c r="M65" s="36"/>
      <c r="N65" s="36"/>
      <c r="O65" s="36"/>
      <c r="P65" s="36"/>
      <c r="Q65" s="36"/>
      <c r="R65" s="36"/>
      <c r="S65" s="36"/>
      <c r="T65" s="36"/>
      <c r="U65" s="36"/>
      <c r="V65" s="36"/>
      <c r="W65" s="36"/>
      <c r="X65" s="36"/>
      <c r="Y65" s="36"/>
      <c r="Z65" s="36"/>
      <c r="AA65" s="36"/>
      <c r="AB65" s="36"/>
      <c r="AC65" s="36"/>
      <c r="AD65" s="36"/>
      <c r="AE65" s="36"/>
      <c r="AF65" s="36"/>
      <c r="AG65" s="36"/>
      <c r="AH65" s="36"/>
      <c r="AI65" s="36"/>
    </row>
    <row r="66" spans="1:37" ht="17.5" thickBot="1" x14ac:dyDescent="0.5">
      <c r="A66" s="62" t="s">
        <v>1417</v>
      </c>
      <c r="L66" s="36"/>
      <c r="M66" s="36"/>
      <c r="N66" s="36"/>
      <c r="O66" s="36"/>
      <c r="P66" s="36"/>
      <c r="Q66" s="36"/>
      <c r="R66" s="36"/>
      <c r="S66" s="36"/>
      <c r="T66" s="36"/>
      <c r="U66" s="36"/>
      <c r="V66" s="36"/>
      <c r="W66" s="36"/>
      <c r="X66" s="36"/>
      <c r="Y66" s="36"/>
      <c r="Z66" s="36"/>
      <c r="AA66" s="36"/>
      <c r="AB66" s="36"/>
      <c r="AC66" s="36"/>
      <c r="AD66" s="36"/>
      <c r="AE66" s="36"/>
      <c r="AF66" s="36"/>
      <c r="AG66" s="36"/>
      <c r="AH66" s="36"/>
      <c r="AI66" s="36"/>
    </row>
    <row r="67" spans="1:37" s="86" customFormat="1" ht="16.5" thickBot="1" x14ac:dyDescent="0.45">
      <c r="A67" s="983" t="s">
        <v>388</v>
      </c>
      <c r="B67" s="983" t="s">
        <v>391</v>
      </c>
      <c r="C67" s="983" t="s">
        <v>392</v>
      </c>
      <c r="D67" s="983" t="s">
        <v>393</v>
      </c>
      <c r="E67" s="983" t="s">
        <v>394</v>
      </c>
      <c r="F67" s="983" t="s">
        <v>395</v>
      </c>
      <c r="G67" s="983" t="s">
        <v>396</v>
      </c>
      <c r="H67" s="983" t="s">
        <v>397</v>
      </c>
      <c r="I67" s="983" t="s">
        <v>398</v>
      </c>
      <c r="J67" s="983" t="s">
        <v>399</v>
      </c>
      <c r="K67" s="983" t="s">
        <v>400</v>
      </c>
      <c r="L67" s="983" t="s">
        <v>401</v>
      </c>
      <c r="M67" s="983" t="s">
        <v>402</v>
      </c>
      <c r="N67" s="983" t="s">
        <v>403</v>
      </c>
      <c r="O67" s="983" t="s">
        <v>404</v>
      </c>
      <c r="P67" s="983" t="s">
        <v>405</v>
      </c>
      <c r="Q67" s="983" t="s">
        <v>406</v>
      </c>
      <c r="R67" s="983" t="s">
        <v>407</v>
      </c>
      <c r="S67" s="983" t="s">
        <v>408</v>
      </c>
      <c r="T67" s="983" t="s">
        <v>409</v>
      </c>
      <c r="U67" s="983" t="s">
        <v>410</v>
      </c>
      <c r="V67" s="983" t="s">
        <v>411</v>
      </c>
      <c r="W67" s="983" t="s">
        <v>412</v>
      </c>
      <c r="X67" s="983" t="s">
        <v>413</v>
      </c>
      <c r="Y67" s="983" t="s">
        <v>414</v>
      </c>
      <c r="Z67" s="983" t="s">
        <v>415</v>
      </c>
      <c r="AA67" s="983" t="s">
        <v>416</v>
      </c>
      <c r="AB67" s="983" t="s">
        <v>417</v>
      </c>
      <c r="AC67" s="983" t="s">
        <v>418</v>
      </c>
      <c r="AD67" s="983" t="s">
        <v>419</v>
      </c>
      <c r="AE67" s="983" t="s">
        <v>420</v>
      </c>
      <c r="AF67" s="983" t="s">
        <v>421</v>
      </c>
      <c r="AG67" s="983" t="s">
        <v>422</v>
      </c>
      <c r="AH67" s="983" t="s">
        <v>423</v>
      </c>
      <c r="AI67" s="983" t="s">
        <v>424</v>
      </c>
      <c r="AJ67" s="3"/>
      <c r="AK67" s="3"/>
    </row>
    <row r="68" spans="1:37" ht="17" x14ac:dyDescent="0.45">
      <c r="A68" s="1424" t="s">
        <v>1220</v>
      </c>
      <c r="B68" s="14" t="s">
        <v>32</v>
      </c>
      <c r="C68" s="14" t="s">
        <v>32</v>
      </c>
      <c r="D68" s="14" t="s">
        <v>32</v>
      </c>
      <c r="E68" s="14" t="s">
        <v>32</v>
      </c>
      <c r="F68" s="14" t="s">
        <v>32</v>
      </c>
      <c r="G68" s="14" t="s">
        <v>32</v>
      </c>
      <c r="H68" s="14" t="s">
        <v>32</v>
      </c>
      <c r="I68" s="14" t="s">
        <v>32</v>
      </c>
      <c r="J68" s="14" t="s">
        <v>32</v>
      </c>
      <c r="K68" s="14" t="s">
        <v>32</v>
      </c>
      <c r="L68" s="1100">
        <v>31.6</v>
      </c>
      <c r="M68" s="1101">
        <v>32.1</v>
      </c>
      <c r="N68" s="1101">
        <v>31.3</v>
      </c>
      <c r="O68" s="1101">
        <v>31.3</v>
      </c>
      <c r="P68" s="1102">
        <v>31.6</v>
      </c>
      <c r="Q68" s="972">
        <v>34.700000000000003</v>
      </c>
      <c r="R68" s="92">
        <v>32.200000000000003</v>
      </c>
      <c r="S68" s="92">
        <v>32.299999999999997</v>
      </c>
      <c r="T68" s="92">
        <v>31.3</v>
      </c>
      <c r="U68" s="92">
        <v>31.5</v>
      </c>
      <c r="V68" s="1103">
        <v>33.700000000000003</v>
      </c>
      <c r="W68" s="1103">
        <v>34.700000000000003</v>
      </c>
      <c r="X68" s="1103">
        <v>33.4</v>
      </c>
      <c r="Y68" s="1103">
        <v>33.4</v>
      </c>
      <c r="Z68" s="1103">
        <v>34.1</v>
      </c>
      <c r="AA68" s="1103">
        <v>34.200000000000003</v>
      </c>
      <c r="AB68" s="1103">
        <v>34.299999999999997</v>
      </c>
      <c r="AC68" s="1103">
        <v>34.5</v>
      </c>
      <c r="AD68" s="1103">
        <v>35.1</v>
      </c>
      <c r="AE68" s="1103">
        <v>35</v>
      </c>
      <c r="AF68" s="1103">
        <v>34.4</v>
      </c>
      <c r="AG68" s="1103">
        <v>34.4</v>
      </c>
      <c r="AH68" s="1103">
        <v>34.4</v>
      </c>
      <c r="AI68" s="1103">
        <v>34.4</v>
      </c>
    </row>
    <row r="69" spans="1:37" x14ac:dyDescent="0.4">
      <c r="A69" s="81" t="s">
        <v>427</v>
      </c>
      <c r="B69" s="14" t="s">
        <v>32</v>
      </c>
      <c r="C69" s="14" t="s">
        <v>32</v>
      </c>
      <c r="D69" s="14" t="s">
        <v>32</v>
      </c>
      <c r="E69" s="14" t="s">
        <v>32</v>
      </c>
      <c r="F69" s="14" t="s">
        <v>32</v>
      </c>
      <c r="G69" s="14" t="s">
        <v>32</v>
      </c>
      <c r="H69" s="14" t="s">
        <v>32</v>
      </c>
      <c r="I69" s="14" t="s">
        <v>32</v>
      </c>
      <c r="J69" s="14" t="s">
        <v>32</v>
      </c>
      <c r="K69" s="14" t="s">
        <v>32</v>
      </c>
      <c r="L69" s="37">
        <v>0</v>
      </c>
      <c r="M69" s="37">
        <v>0</v>
      </c>
      <c r="N69" s="37">
        <v>0</v>
      </c>
      <c r="O69" s="37">
        <v>0</v>
      </c>
      <c r="P69" s="37">
        <v>0</v>
      </c>
      <c r="Q69" s="37">
        <v>0</v>
      </c>
      <c r="R69" s="37">
        <v>0</v>
      </c>
      <c r="S69" s="37">
        <v>0</v>
      </c>
      <c r="T69" s="37">
        <v>0</v>
      </c>
      <c r="U69" s="37">
        <v>0</v>
      </c>
      <c r="V69" s="37">
        <v>0.3</v>
      </c>
      <c r="W69" s="37">
        <v>0.3</v>
      </c>
      <c r="X69" s="37">
        <v>0.3</v>
      </c>
      <c r="Y69" s="37">
        <v>0.3</v>
      </c>
      <c r="Z69" s="37">
        <v>0.3</v>
      </c>
      <c r="AA69" s="37">
        <v>0.3</v>
      </c>
      <c r="AB69" s="37">
        <v>0.3</v>
      </c>
      <c r="AC69" s="37">
        <v>0.38</v>
      </c>
      <c r="AD69" s="37">
        <v>0.38</v>
      </c>
      <c r="AE69" s="37">
        <v>0.38</v>
      </c>
      <c r="AF69" s="37">
        <v>0.38</v>
      </c>
      <c r="AG69" s="37">
        <v>0.4</v>
      </c>
      <c r="AH69" s="37">
        <v>0.4</v>
      </c>
      <c r="AI69" s="37">
        <v>0.4</v>
      </c>
    </row>
    <row r="70" spans="1:37" x14ac:dyDescent="0.4">
      <c r="A70" s="398" t="s">
        <v>1063</v>
      </c>
      <c r="L70" s="39"/>
      <c r="M70" s="39"/>
      <c r="N70" s="39"/>
      <c r="O70" s="39"/>
      <c r="P70" s="39"/>
      <c r="Q70" s="39"/>
      <c r="R70" s="39"/>
      <c r="S70" s="39"/>
      <c r="T70" s="39"/>
      <c r="U70" s="39"/>
      <c r="V70" s="39"/>
      <c r="W70" s="39"/>
      <c r="X70" s="39"/>
      <c r="Y70" s="39"/>
      <c r="Z70" s="39"/>
      <c r="AA70" s="39"/>
      <c r="AB70" s="39"/>
      <c r="AC70" s="39"/>
      <c r="AD70" s="39"/>
      <c r="AE70" s="39"/>
      <c r="AF70" s="39"/>
      <c r="AG70" s="39"/>
      <c r="AH70" s="39"/>
      <c r="AI70" s="39"/>
    </row>
    <row r="71" spans="1:37" x14ac:dyDescent="0.4">
      <c r="A71" s="396"/>
      <c r="L71" s="39"/>
      <c r="M71" s="39"/>
      <c r="N71" s="39"/>
      <c r="O71" s="39"/>
      <c r="P71" s="39"/>
      <c r="Q71" s="39"/>
      <c r="R71" s="39"/>
      <c r="S71" s="39"/>
      <c r="T71" s="39"/>
      <c r="U71" s="39"/>
      <c r="V71" s="39"/>
      <c r="W71" s="39"/>
      <c r="X71" s="39"/>
      <c r="Y71" s="39"/>
      <c r="Z71" s="39"/>
      <c r="AA71" s="39"/>
      <c r="AB71" s="39"/>
      <c r="AC71" s="39"/>
      <c r="AD71" s="39"/>
      <c r="AE71" s="39"/>
      <c r="AF71" s="39"/>
      <c r="AG71" s="39"/>
      <c r="AH71" s="39"/>
      <c r="AI71" s="39"/>
    </row>
    <row r="72" spans="1:37" ht="17" x14ac:dyDescent="0.45">
      <c r="A72" s="1366" t="s">
        <v>1232</v>
      </c>
      <c r="L72" s="39"/>
      <c r="M72" s="39"/>
      <c r="N72" s="39"/>
      <c r="O72" s="39"/>
      <c r="P72" s="39"/>
      <c r="Q72" s="39"/>
      <c r="R72" s="39"/>
      <c r="S72" s="39"/>
      <c r="T72" s="39"/>
      <c r="U72" s="39"/>
      <c r="V72" s="39"/>
      <c r="W72" s="39"/>
      <c r="X72" s="39"/>
      <c r="Y72" s="39"/>
      <c r="Z72" s="39"/>
      <c r="AA72" s="39"/>
      <c r="AB72" s="39"/>
      <c r="AC72" s="39"/>
      <c r="AD72" s="39"/>
      <c r="AE72" s="39"/>
      <c r="AF72" s="39"/>
      <c r="AG72" s="39"/>
      <c r="AH72" s="39"/>
      <c r="AI72" s="39"/>
    </row>
    <row r="73" spans="1:37" x14ac:dyDescent="0.4">
      <c r="A73" s="42" t="s">
        <v>433</v>
      </c>
      <c r="B73" s="42" t="s">
        <v>428</v>
      </c>
      <c r="L73" s="39"/>
      <c r="M73" s="39"/>
      <c r="N73" s="39"/>
      <c r="O73" s="39"/>
      <c r="P73" s="39"/>
      <c r="Q73" s="39"/>
      <c r="R73" s="39"/>
      <c r="S73" s="39"/>
      <c r="T73" s="39"/>
      <c r="U73" s="39"/>
      <c r="V73" s="39"/>
      <c r="W73" s="39"/>
      <c r="X73" s="39"/>
      <c r="Y73" s="39"/>
      <c r="Z73" s="39"/>
      <c r="AA73" s="39"/>
      <c r="AB73" s="39"/>
      <c r="AC73" s="39"/>
      <c r="AD73" s="39"/>
      <c r="AE73" s="39"/>
      <c r="AF73" s="39"/>
      <c r="AG73" s="39"/>
      <c r="AH73" s="39"/>
      <c r="AI73" s="39"/>
    </row>
    <row r="74" spans="1:37" x14ac:dyDescent="0.4">
      <c r="A74" s="3" t="s">
        <v>432</v>
      </c>
      <c r="B74" s="3" t="s">
        <v>437</v>
      </c>
      <c r="L74" s="39"/>
      <c r="M74" s="39"/>
      <c r="N74" s="39"/>
      <c r="O74" s="39"/>
      <c r="P74" s="39"/>
      <c r="Q74" s="39"/>
      <c r="R74" s="39"/>
      <c r="S74" s="39"/>
      <c r="T74" s="39"/>
      <c r="U74" s="39"/>
      <c r="V74" s="39"/>
      <c r="W74" s="39"/>
      <c r="X74" s="39"/>
      <c r="Y74" s="39"/>
      <c r="Z74" s="39"/>
      <c r="AA74" s="39"/>
      <c r="AB74" s="39"/>
      <c r="AC74" s="39"/>
      <c r="AD74" s="39"/>
      <c r="AE74" s="39"/>
      <c r="AF74" s="39"/>
      <c r="AG74" s="39"/>
      <c r="AH74" s="39"/>
      <c r="AI74" s="39"/>
    </row>
    <row r="75" spans="1:37" x14ac:dyDescent="0.4">
      <c r="A75" s="3" t="s">
        <v>431</v>
      </c>
      <c r="B75" s="3" t="s">
        <v>438</v>
      </c>
      <c r="L75" s="39"/>
      <c r="M75" s="39"/>
      <c r="N75" s="39"/>
      <c r="O75" s="39"/>
      <c r="P75" s="39"/>
      <c r="Q75" s="39"/>
      <c r="R75" s="39"/>
      <c r="S75" s="39"/>
      <c r="T75" s="39"/>
      <c r="U75" s="39"/>
      <c r="V75" s="39"/>
      <c r="W75" s="39"/>
      <c r="X75" s="39"/>
      <c r="Y75" s="39"/>
      <c r="Z75" s="39"/>
      <c r="AA75" s="39"/>
      <c r="AB75" s="39"/>
      <c r="AC75" s="39"/>
      <c r="AD75" s="39"/>
      <c r="AE75" s="39"/>
      <c r="AF75" s="39"/>
      <c r="AG75" s="39"/>
      <c r="AH75" s="39"/>
      <c r="AI75" s="39"/>
    </row>
    <row r="76" spans="1:37" x14ac:dyDescent="0.4">
      <c r="A76" s="3" t="s">
        <v>429</v>
      </c>
      <c r="B76" s="85" t="s">
        <v>224</v>
      </c>
      <c r="L76" s="39"/>
      <c r="M76" s="39"/>
      <c r="N76" s="39"/>
      <c r="O76" s="39"/>
      <c r="P76" s="39"/>
      <c r="Q76" s="39"/>
      <c r="R76" s="39"/>
      <c r="S76" s="39"/>
      <c r="T76" s="39"/>
      <c r="U76" s="39"/>
      <c r="V76" s="39"/>
      <c r="W76" s="39"/>
      <c r="X76" s="39"/>
      <c r="Y76" s="39"/>
      <c r="Z76" s="39"/>
      <c r="AA76" s="39"/>
      <c r="AB76" s="39"/>
      <c r="AC76" s="39"/>
      <c r="AD76" s="39"/>
      <c r="AE76" s="39"/>
      <c r="AF76" s="39"/>
      <c r="AG76" s="39"/>
      <c r="AH76" s="39"/>
      <c r="AI76" s="39"/>
    </row>
    <row r="77" spans="1:37" x14ac:dyDescent="0.4">
      <c r="A77" s="42" t="s">
        <v>434</v>
      </c>
      <c r="B77" s="42" t="s">
        <v>435</v>
      </c>
      <c r="L77" s="39"/>
      <c r="M77" s="39"/>
      <c r="N77" s="39"/>
      <c r="O77" s="39"/>
      <c r="P77" s="39"/>
      <c r="Q77" s="39"/>
      <c r="R77" s="39"/>
      <c r="S77" s="39"/>
      <c r="T77" s="39"/>
      <c r="U77" s="39"/>
      <c r="V77" s="39"/>
      <c r="W77" s="39"/>
      <c r="X77" s="39"/>
      <c r="Y77" s="39"/>
      <c r="Z77" s="39"/>
      <c r="AA77" s="39"/>
      <c r="AB77" s="39"/>
      <c r="AC77" s="39"/>
      <c r="AD77" s="39"/>
      <c r="AE77" s="39"/>
      <c r="AF77" s="39"/>
      <c r="AG77" s="39"/>
      <c r="AH77" s="39"/>
      <c r="AI77" s="39"/>
    </row>
    <row r="78" spans="1:37" x14ac:dyDescent="0.4">
      <c r="A78" s="3" t="s">
        <v>432</v>
      </c>
      <c r="B78" s="3" t="s">
        <v>436</v>
      </c>
      <c r="L78" s="39"/>
      <c r="M78" s="39"/>
      <c r="N78" s="39"/>
      <c r="O78" s="39"/>
      <c r="P78" s="39"/>
      <c r="Q78" s="39"/>
      <c r="R78" s="39"/>
      <c r="S78" s="39"/>
      <c r="T78" s="39"/>
      <c r="U78" s="39"/>
      <c r="V78" s="39"/>
      <c r="W78" s="39"/>
      <c r="X78" s="39"/>
      <c r="Y78" s="39"/>
      <c r="Z78" s="39"/>
      <c r="AA78" s="39"/>
      <c r="AB78" s="39"/>
      <c r="AC78" s="39"/>
      <c r="AD78" s="39"/>
      <c r="AE78" s="39"/>
      <c r="AF78" s="39"/>
      <c r="AG78" s="39"/>
      <c r="AH78" s="39"/>
      <c r="AI78" s="39"/>
    </row>
    <row r="79" spans="1:37" x14ac:dyDescent="0.4">
      <c r="A79" s="3" t="s">
        <v>431</v>
      </c>
      <c r="B79" s="1366" t="s">
        <v>1231</v>
      </c>
      <c r="L79" s="39"/>
      <c r="M79" s="39"/>
      <c r="N79" s="39"/>
      <c r="O79" s="39"/>
      <c r="P79" s="39"/>
      <c r="Q79" s="39"/>
      <c r="R79" s="39"/>
      <c r="S79" s="39"/>
      <c r="T79" s="39"/>
      <c r="U79" s="39"/>
      <c r="V79" s="39"/>
      <c r="W79" s="39"/>
      <c r="X79" s="39"/>
      <c r="Y79" s="39"/>
      <c r="Z79" s="39"/>
      <c r="AA79" s="39"/>
      <c r="AB79" s="39"/>
      <c r="AC79" s="39"/>
      <c r="AD79" s="39"/>
      <c r="AE79" s="39"/>
      <c r="AF79" s="39"/>
      <c r="AG79" s="39"/>
      <c r="AH79" s="39"/>
      <c r="AI79" s="39"/>
    </row>
    <row r="80" spans="1:37" x14ac:dyDescent="0.4">
      <c r="A80" s="3" t="s">
        <v>429</v>
      </c>
      <c r="B80" s="5" t="s">
        <v>225</v>
      </c>
      <c r="L80" s="39"/>
      <c r="M80" s="39"/>
      <c r="N80" s="39"/>
      <c r="O80" s="39"/>
      <c r="P80" s="39"/>
      <c r="Q80" s="39"/>
      <c r="R80" s="39"/>
      <c r="S80" s="39"/>
      <c r="T80" s="39"/>
      <c r="U80" s="39"/>
      <c r="V80" s="39"/>
      <c r="W80" s="39"/>
      <c r="X80" s="39"/>
      <c r="Y80" s="39"/>
      <c r="Z80" s="39"/>
      <c r="AA80" s="39"/>
      <c r="AB80" s="39"/>
      <c r="AC80" s="39"/>
      <c r="AD80" s="39"/>
      <c r="AE80" s="39"/>
      <c r="AF80" s="39"/>
      <c r="AG80" s="39"/>
      <c r="AH80" s="39"/>
      <c r="AI80" s="39"/>
    </row>
    <row r="81" spans="1:35" x14ac:dyDescent="0.4">
      <c r="A81" s="37"/>
      <c r="L81" s="39"/>
      <c r="M81" s="39"/>
      <c r="N81" s="39"/>
      <c r="O81" s="39"/>
      <c r="P81" s="39"/>
      <c r="Q81" s="39"/>
      <c r="R81" s="39"/>
      <c r="S81" s="39"/>
      <c r="T81" s="39"/>
      <c r="U81" s="39"/>
      <c r="V81" s="39"/>
      <c r="W81" s="39"/>
      <c r="X81" s="39"/>
      <c r="Y81" s="39"/>
      <c r="Z81" s="39"/>
      <c r="AA81" s="39"/>
      <c r="AB81" s="39"/>
      <c r="AC81" s="39"/>
      <c r="AD81" s="39"/>
      <c r="AE81" s="39"/>
      <c r="AF81" s="39"/>
      <c r="AG81" s="39"/>
      <c r="AH81" s="39"/>
      <c r="AI81" s="39"/>
    </row>
    <row r="82" spans="1:35" ht="17" x14ac:dyDescent="0.45">
      <c r="A82" s="58" t="s">
        <v>1221</v>
      </c>
      <c r="D82" s="12"/>
      <c r="T82" s="33"/>
      <c r="U82" s="35"/>
      <c r="V82" s="32"/>
      <c r="W82" s="43"/>
      <c r="X82" s="32"/>
      <c r="Y82" s="32"/>
      <c r="Z82" s="32"/>
      <c r="AA82" s="32"/>
      <c r="AB82" s="32"/>
      <c r="AC82" s="32"/>
      <c r="AE82" s="32"/>
    </row>
    <row r="83" spans="1:35" x14ac:dyDescent="0.4">
      <c r="A83" s="59" t="s">
        <v>381</v>
      </c>
      <c r="B83" s="24" t="s">
        <v>382</v>
      </c>
      <c r="C83" s="24" t="s">
        <v>383</v>
      </c>
      <c r="U83" s="32"/>
      <c r="Z83" s="32"/>
      <c r="AA83" s="32"/>
      <c r="AB83" s="32"/>
      <c r="AC83" s="37"/>
      <c r="AD83" s="32"/>
    </row>
    <row r="84" spans="1:35" x14ac:dyDescent="0.4">
      <c r="A84" s="84" t="s">
        <v>387</v>
      </c>
      <c r="B84" s="24">
        <v>8.5000000000000006E-2</v>
      </c>
      <c r="C84" s="3" t="s">
        <v>227</v>
      </c>
      <c r="U84" s="32"/>
      <c r="Z84" s="32"/>
      <c r="AA84" s="32"/>
      <c r="AB84" s="32"/>
      <c r="AC84" s="37"/>
      <c r="AD84" s="32"/>
      <c r="AG84" s="37"/>
    </row>
    <row r="85" spans="1:35" ht="17" x14ac:dyDescent="0.45">
      <c r="A85" s="84" t="s">
        <v>380</v>
      </c>
      <c r="B85" s="24">
        <v>0.6</v>
      </c>
      <c r="C85" s="1366" t="s">
        <v>1222</v>
      </c>
      <c r="G85" s="53"/>
    </row>
    <row r="86" spans="1:35" x14ac:dyDescent="0.4">
      <c r="A86" s="84" t="s">
        <v>386</v>
      </c>
      <c r="B86" s="24">
        <v>0.5</v>
      </c>
    </row>
    <row r="87" spans="1:35" ht="17" x14ac:dyDescent="0.45">
      <c r="A87" s="84" t="s">
        <v>229</v>
      </c>
      <c r="B87" s="24">
        <f>B86*B85</f>
        <v>0.3</v>
      </c>
      <c r="C87" s="1366" t="s">
        <v>1222</v>
      </c>
    </row>
    <row r="88" spans="1:35" ht="15" customHeight="1" x14ac:dyDescent="0.4">
      <c r="A88" s="84" t="s">
        <v>892</v>
      </c>
      <c r="B88" s="24">
        <v>0.75</v>
      </c>
      <c r="C88" s="3" t="s">
        <v>384</v>
      </c>
      <c r="G88" s="53"/>
    </row>
    <row r="89" spans="1:35" x14ac:dyDescent="0.4">
      <c r="A89" s="84" t="s">
        <v>385</v>
      </c>
      <c r="B89" s="24">
        <v>0.28000000000000003</v>
      </c>
      <c r="C89" s="3" t="s">
        <v>384</v>
      </c>
      <c r="G89" s="53"/>
    </row>
    <row r="90" spans="1:35" x14ac:dyDescent="0.4">
      <c r="A90" s="397" t="s">
        <v>1063</v>
      </c>
      <c r="B90" s="24"/>
    </row>
    <row r="91" spans="1:35" x14ac:dyDescent="0.4">
      <c r="A91" s="56"/>
      <c r="B91" s="24"/>
    </row>
    <row r="92" spans="1:35" ht="17" x14ac:dyDescent="0.45">
      <c r="A92" s="1403" t="s">
        <v>1543</v>
      </c>
    </row>
    <row r="93" spans="1:35" x14ac:dyDescent="0.4">
      <c r="A93" s="42" t="s">
        <v>434</v>
      </c>
      <c r="B93" s="42" t="s">
        <v>386</v>
      </c>
      <c r="F93"/>
    </row>
    <row r="94" spans="1:35" ht="17" x14ac:dyDescent="0.4">
      <c r="A94" s="53" t="s">
        <v>445</v>
      </c>
      <c r="B94" s="1463" t="s">
        <v>1544</v>
      </c>
      <c r="F94"/>
    </row>
    <row r="95" spans="1:35" x14ac:dyDescent="0.4">
      <c r="A95" s="3" t="s">
        <v>439</v>
      </c>
      <c r="B95" s="3" t="s">
        <v>441</v>
      </c>
      <c r="F95"/>
    </row>
    <row r="96" spans="1:35" x14ac:dyDescent="0.4">
      <c r="A96" s="3" t="s">
        <v>431</v>
      </c>
      <c r="B96" s="3" t="s">
        <v>440</v>
      </c>
      <c r="F96"/>
    </row>
    <row r="97" spans="1:9" x14ac:dyDescent="0.4">
      <c r="A97" s="3" t="s">
        <v>429</v>
      </c>
      <c r="B97" s="5" t="s">
        <v>235</v>
      </c>
      <c r="F97"/>
    </row>
    <row r="98" spans="1:9" x14ac:dyDescent="0.4">
      <c r="A98" s="42" t="s">
        <v>433</v>
      </c>
      <c r="B98" s="42" t="s">
        <v>385</v>
      </c>
      <c r="F98"/>
    </row>
    <row r="99" spans="1:9" x14ac:dyDescent="0.4">
      <c r="A99" s="3" t="s">
        <v>432</v>
      </c>
      <c r="B99" s="3" t="s">
        <v>442</v>
      </c>
      <c r="F99"/>
    </row>
    <row r="100" spans="1:9" x14ac:dyDescent="0.4">
      <c r="A100" s="3" t="s">
        <v>431</v>
      </c>
      <c r="B100" s="1403" t="s">
        <v>1231</v>
      </c>
      <c r="F100"/>
    </row>
    <row r="101" spans="1:9" x14ac:dyDescent="0.4">
      <c r="A101" s="3" t="s">
        <v>429</v>
      </c>
      <c r="B101" s="57" t="s">
        <v>225</v>
      </c>
      <c r="F101"/>
    </row>
    <row r="102" spans="1:9" x14ac:dyDescent="0.4">
      <c r="A102" s="42" t="s">
        <v>433</v>
      </c>
      <c r="B102" s="1242" t="s">
        <v>892</v>
      </c>
      <c r="F102"/>
    </row>
    <row r="103" spans="1:9" x14ac:dyDescent="0.4">
      <c r="A103" s="3" t="s">
        <v>430</v>
      </c>
      <c r="B103" s="3" t="s">
        <v>444</v>
      </c>
      <c r="F103"/>
    </row>
    <row r="104" spans="1:9" x14ac:dyDescent="0.4">
      <c r="A104" s="3" t="s">
        <v>439</v>
      </c>
      <c r="B104" s="3" t="s">
        <v>443</v>
      </c>
      <c r="F104"/>
    </row>
    <row r="105" spans="1:9" x14ac:dyDescent="0.4">
      <c r="A105" s="3" t="s">
        <v>431</v>
      </c>
      <c r="B105" s="3" t="s">
        <v>440</v>
      </c>
      <c r="F105"/>
    </row>
    <row r="106" spans="1:9" x14ac:dyDescent="0.4">
      <c r="A106" s="3" t="s">
        <v>429</v>
      </c>
      <c r="B106" s="5" t="s">
        <v>235</v>
      </c>
      <c r="F106"/>
    </row>
    <row r="107" spans="1:9" x14ac:dyDescent="0.4">
      <c r="B107" s="24"/>
      <c r="F107"/>
    </row>
    <row r="108" spans="1:9" ht="17" x14ac:dyDescent="0.45">
      <c r="A108" s="58" t="s">
        <v>1223</v>
      </c>
      <c r="B108" s="24"/>
    </row>
    <row r="109" spans="1:9" ht="16" customHeight="1" x14ac:dyDescent="0.4">
      <c r="A109" s="59" t="s">
        <v>381</v>
      </c>
      <c r="B109" s="24" t="s">
        <v>382</v>
      </c>
      <c r="C109" s="24" t="s">
        <v>383</v>
      </c>
      <c r="D109" s="53"/>
    </row>
    <row r="110" spans="1:9" ht="16" customHeight="1" x14ac:dyDescent="0.4">
      <c r="A110" s="84" t="s">
        <v>387</v>
      </c>
      <c r="B110" s="24">
        <v>0.09</v>
      </c>
      <c r="C110" s="3" t="s">
        <v>227</v>
      </c>
      <c r="D110" s="53"/>
    </row>
    <row r="111" spans="1:9" ht="16" customHeight="1" x14ac:dyDescent="0.45">
      <c r="A111" s="84" t="s">
        <v>380</v>
      </c>
      <c r="B111" s="24">
        <v>0.6</v>
      </c>
      <c r="C111" s="1366" t="s">
        <v>1222</v>
      </c>
      <c r="H111" s="53"/>
    </row>
    <row r="112" spans="1:9" ht="16" customHeight="1" x14ac:dyDescent="0.4">
      <c r="A112" s="84" t="s">
        <v>386</v>
      </c>
      <c r="B112" s="24">
        <v>0.03</v>
      </c>
      <c r="H112" s="53"/>
      <c r="I112" s="53"/>
    </row>
    <row r="113" spans="1:15" ht="17" x14ac:dyDescent="0.45">
      <c r="A113" s="84" t="s">
        <v>229</v>
      </c>
      <c r="B113" s="24">
        <f>B112*B111</f>
        <v>1.7999999999999999E-2</v>
      </c>
      <c r="C113" s="1366" t="s">
        <v>1222</v>
      </c>
      <c r="H113" s="53"/>
    </row>
    <row r="114" spans="1:15" x14ac:dyDescent="0.4">
      <c r="A114" s="397" t="s">
        <v>1063</v>
      </c>
      <c r="B114" s="24"/>
      <c r="H114" s="37"/>
      <c r="N114" s="14"/>
      <c r="O114" s="44"/>
    </row>
    <row r="115" spans="1:15" x14ac:dyDescent="0.4">
      <c r="B115" s="24"/>
    </row>
    <row r="116" spans="1:15" ht="17" x14ac:dyDescent="0.45">
      <c r="A116" s="58" t="s">
        <v>1224</v>
      </c>
      <c r="B116" s="24"/>
      <c r="D116" s="40"/>
    </row>
    <row r="117" spans="1:15" x14ac:dyDescent="0.4">
      <c r="A117" s="59" t="s">
        <v>381</v>
      </c>
      <c r="B117" s="24" t="s">
        <v>382</v>
      </c>
      <c r="C117" s="24" t="s">
        <v>383</v>
      </c>
    </row>
    <row r="118" spans="1:15" ht="17" x14ac:dyDescent="0.45">
      <c r="A118" s="40" t="s">
        <v>228</v>
      </c>
      <c r="B118" s="24">
        <v>4</v>
      </c>
      <c r="C118" s="1366" t="s">
        <v>1225</v>
      </c>
      <c r="L118" s="53"/>
    </row>
    <row r="119" spans="1:15" x14ac:dyDescent="0.4">
      <c r="A119" s="56" t="s">
        <v>1063</v>
      </c>
      <c r="B119" s="24"/>
      <c r="L119" s="53"/>
    </row>
    <row r="120" spans="1:15" x14ac:dyDescent="0.4">
      <c r="B120" s="24"/>
      <c r="D120" s="56"/>
    </row>
    <row r="121" spans="1:15" ht="17" x14ac:dyDescent="0.45">
      <c r="A121" s="58" t="s">
        <v>1226</v>
      </c>
      <c r="B121" s="24"/>
      <c r="D121" s="40"/>
      <c r="K121" s="40"/>
    </row>
    <row r="122" spans="1:15" x14ac:dyDescent="0.4">
      <c r="A122" s="980" t="s">
        <v>381</v>
      </c>
      <c r="B122" s="981" t="s">
        <v>382</v>
      </c>
      <c r="C122" s="982" t="s">
        <v>383</v>
      </c>
      <c r="D122" s="40"/>
    </row>
    <row r="123" spans="1:15" x14ac:dyDescent="0.4">
      <c r="A123" s="40" t="s">
        <v>230</v>
      </c>
      <c r="B123" s="24">
        <v>0.16</v>
      </c>
      <c r="C123" s="3" t="s">
        <v>231</v>
      </c>
      <c r="D123" s="40"/>
    </row>
    <row r="124" spans="1:15" x14ac:dyDescent="0.4">
      <c r="A124" s="40" t="s">
        <v>232</v>
      </c>
      <c r="B124" s="24">
        <v>1.75</v>
      </c>
      <c r="C124" s="3" t="s">
        <v>233</v>
      </c>
      <c r="D124" s="40"/>
    </row>
    <row r="125" spans="1:15" ht="49" x14ac:dyDescent="0.4">
      <c r="A125" s="40" t="s">
        <v>234</v>
      </c>
      <c r="B125" s="24">
        <v>5.0000000000000001E-3</v>
      </c>
      <c r="C125" s="1374" t="s">
        <v>1227</v>
      </c>
      <c r="D125" s="40"/>
    </row>
    <row r="126" spans="1:15" x14ac:dyDescent="0.4">
      <c r="A126" s="56" t="s">
        <v>1063</v>
      </c>
      <c r="B126" s="24"/>
    </row>
    <row r="127" spans="1:15" x14ac:dyDescent="0.4">
      <c r="B127" s="24"/>
    </row>
    <row r="128" spans="1:15" x14ac:dyDescent="0.4">
      <c r="A128" s="88" t="s">
        <v>769</v>
      </c>
      <c r="B128" s="24"/>
    </row>
    <row r="129" spans="1:29" x14ac:dyDescent="0.4">
      <c r="A129" s="58" t="s">
        <v>446</v>
      </c>
      <c r="B129" s="24" t="s">
        <v>226</v>
      </c>
    </row>
    <row r="130" spans="1:29" ht="17" x14ac:dyDescent="0.45">
      <c r="A130" s="58" t="s">
        <v>1228</v>
      </c>
      <c r="B130" s="86">
        <v>25</v>
      </c>
    </row>
    <row r="131" spans="1:29" ht="17" x14ac:dyDescent="0.45">
      <c r="A131" s="58" t="s">
        <v>1229</v>
      </c>
      <c r="B131" s="86">
        <v>298</v>
      </c>
    </row>
    <row r="132" spans="1:29" x14ac:dyDescent="0.4">
      <c r="A132" s="56" t="s">
        <v>1063</v>
      </c>
      <c r="B132" s="24"/>
    </row>
    <row r="133" spans="1:29" x14ac:dyDescent="0.4">
      <c r="B133" s="24"/>
    </row>
    <row r="134" spans="1:29" x14ac:dyDescent="0.4">
      <c r="A134" s="395" t="s">
        <v>1064</v>
      </c>
      <c r="B134" s="24"/>
    </row>
    <row r="135" spans="1:29" x14ac:dyDescent="0.4">
      <c r="B135" s="24"/>
    </row>
    <row r="136" spans="1:29" x14ac:dyDescent="0.4">
      <c r="B136" s="24"/>
    </row>
    <row r="137" spans="1:29" x14ac:dyDescent="0.4">
      <c r="B137" s="24"/>
      <c r="S137" s="1523"/>
      <c r="T137" s="45"/>
      <c r="U137" s="45"/>
      <c r="V137" s="45"/>
      <c r="W137" s="45"/>
      <c r="X137" s="45"/>
      <c r="Y137" s="45"/>
      <c r="Z137" s="45"/>
      <c r="AA137" s="45"/>
      <c r="AB137" s="45"/>
      <c r="AC137" s="45"/>
    </row>
    <row r="138" spans="1:29" x14ac:dyDescent="0.4">
      <c r="S138" s="1523"/>
      <c r="T138" s="46"/>
      <c r="U138" s="45"/>
      <c r="V138" s="45"/>
      <c r="W138" s="45"/>
      <c r="X138" s="45"/>
      <c r="Y138" s="45"/>
      <c r="Z138" s="45"/>
      <c r="AA138" s="45"/>
      <c r="AB138" s="45"/>
      <c r="AC138" s="45"/>
    </row>
    <row r="139" spans="1:29" x14ac:dyDescent="0.4">
      <c r="S139" s="1523"/>
      <c r="T139" s="47"/>
      <c r="U139" s="47"/>
      <c r="V139" s="47"/>
      <c r="W139" s="47"/>
      <c r="X139" s="47"/>
      <c r="Y139" s="47"/>
      <c r="Z139" s="47"/>
      <c r="AA139" s="45"/>
      <c r="AB139" s="48"/>
      <c r="AC139" s="48"/>
    </row>
    <row r="140" spans="1:29" x14ac:dyDescent="0.4">
      <c r="S140" s="49"/>
      <c r="T140" s="50"/>
      <c r="U140" s="50"/>
      <c r="V140" s="50"/>
      <c r="W140" s="50"/>
      <c r="X140" s="50"/>
      <c r="Y140" s="50"/>
      <c r="Z140" s="50"/>
      <c r="AA140" s="51"/>
      <c r="AB140" s="50"/>
      <c r="AC140" s="50"/>
    </row>
    <row r="141" spans="1:29" x14ac:dyDescent="0.4">
      <c r="S141" s="49"/>
      <c r="T141" s="50"/>
      <c r="U141" s="50"/>
      <c r="V141" s="50"/>
      <c r="W141" s="50"/>
      <c r="X141" s="50"/>
      <c r="Y141" s="50"/>
      <c r="Z141" s="50"/>
      <c r="AA141" s="51"/>
      <c r="AB141" s="50"/>
      <c r="AC141" s="50"/>
    </row>
    <row r="142" spans="1:29" x14ac:dyDescent="0.4">
      <c r="S142" s="49"/>
      <c r="T142" s="50"/>
      <c r="U142" s="50"/>
      <c r="V142" s="50"/>
      <c r="W142" s="50"/>
      <c r="X142" s="50"/>
      <c r="Y142" s="50"/>
      <c r="Z142" s="50"/>
      <c r="AA142" s="51"/>
      <c r="AB142" s="50"/>
      <c r="AC142" s="50"/>
    </row>
    <row r="143" spans="1:29" x14ac:dyDescent="0.4">
      <c r="S143" s="49"/>
      <c r="T143" s="50"/>
      <c r="U143" s="50"/>
      <c r="V143" s="50"/>
      <c r="W143" s="50"/>
      <c r="X143" s="50"/>
      <c r="Y143" s="50"/>
      <c r="Z143" s="50"/>
      <c r="AA143" s="51"/>
      <c r="AB143" s="50"/>
      <c r="AC143" s="50"/>
    </row>
    <row r="144" spans="1:29" x14ac:dyDescent="0.4">
      <c r="S144" s="49"/>
      <c r="T144" s="50"/>
      <c r="U144" s="50"/>
      <c r="V144" s="50"/>
      <c r="W144" s="50"/>
      <c r="X144" s="50"/>
      <c r="Y144" s="50"/>
      <c r="Z144" s="50"/>
      <c r="AA144" s="51"/>
      <c r="AB144" s="50"/>
      <c r="AC144" s="50"/>
    </row>
    <row r="145" spans="19:29" x14ac:dyDescent="0.4">
      <c r="S145" s="49"/>
      <c r="T145" s="50"/>
      <c r="U145" s="50"/>
      <c r="V145" s="50"/>
      <c r="W145" s="50"/>
      <c r="X145" s="50"/>
      <c r="Y145" s="50"/>
      <c r="Z145" s="50"/>
      <c r="AA145" s="51"/>
      <c r="AB145" s="50"/>
      <c r="AC145" s="50"/>
    </row>
    <row r="146" spans="19:29" x14ac:dyDescent="0.4">
      <c r="S146" s="49"/>
      <c r="T146" s="50"/>
      <c r="U146" s="50"/>
      <c r="V146" s="50"/>
      <c r="W146" s="50"/>
      <c r="X146" s="50"/>
      <c r="Y146" s="50"/>
      <c r="Z146" s="50"/>
      <c r="AA146" s="51"/>
      <c r="AB146" s="50"/>
      <c r="AC146" s="50"/>
    </row>
    <row r="147" spans="19:29" x14ac:dyDescent="0.4">
      <c r="S147" s="49"/>
      <c r="T147" s="50"/>
      <c r="U147" s="50"/>
      <c r="V147" s="50"/>
      <c r="W147" s="50"/>
      <c r="X147" s="50"/>
      <c r="Y147" s="50"/>
      <c r="Z147" s="50"/>
      <c r="AA147" s="51"/>
      <c r="AB147" s="50"/>
      <c r="AC147" s="50"/>
    </row>
    <row r="148" spans="19:29" x14ac:dyDescent="0.4">
      <c r="S148" s="49"/>
      <c r="T148" s="50"/>
      <c r="U148" s="50"/>
      <c r="V148" s="50"/>
      <c r="W148" s="50"/>
      <c r="X148" s="50"/>
      <c r="Y148" s="50"/>
      <c r="Z148" s="50"/>
      <c r="AA148" s="51"/>
      <c r="AB148" s="50"/>
      <c r="AC148" s="50"/>
    </row>
    <row r="149" spans="19:29" x14ac:dyDescent="0.4">
      <c r="S149" s="49"/>
      <c r="T149" s="50"/>
      <c r="U149" s="50"/>
      <c r="V149" s="50"/>
      <c r="W149" s="50"/>
      <c r="X149" s="50"/>
      <c r="Y149" s="50"/>
      <c r="Z149" s="50"/>
      <c r="AA149" s="51"/>
      <c r="AB149" s="50"/>
      <c r="AC149" s="50"/>
    </row>
    <row r="150" spans="19:29" x14ac:dyDescent="0.4">
      <c r="S150" s="49"/>
      <c r="T150" s="50"/>
      <c r="U150" s="50"/>
      <c r="V150" s="50"/>
      <c r="W150" s="50"/>
      <c r="Y150" s="50"/>
      <c r="Z150" s="50"/>
      <c r="AA150" s="50"/>
      <c r="AB150" s="50"/>
      <c r="AC150" s="51"/>
    </row>
  </sheetData>
  <mergeCells count="1">
    <mergeCell ref="S137:S139"/>
  </mergeCells>
  <phoneticPr fontId="34" type="noConversion"/>
  <hyperlinks>
    <hyperlink ref="B80" r:id="rId1" display="https://neiwpcc.org/wp-content/uploads/2022/10/NEIWPCC-Sludge-End-Use-Disposal-Estimate-Report_FINAL.pdf" xr:uid="{0021F651-2AB6-4BC5-A641-DC1CE00127E7}"/>
    <hyperlink ref="B101" r:id="rId2" display="https://neiwpcc.org/wp-content/uploads/2022/10/NEIWPCC-Sludge-End-Use-Disposal-Estimate-Report_FINAL.pdf" xr:uid="{996201B0-2E2E-4DB7-883D-627B6D854E7A}"/>
    <hyperlink ref="B76" r:id="rId3" display="https://www.epa.gov/system/files/documents/2023-04/US-GHG-Inventory-2023-Main-Text.pdf" xr:uid="{CA03F5DF-ACC5-41F6-8DD7-A9868111EB35}"/>
    <hyperlink ref="B97" r:id="rId4" display="https://www.ipcc-nggip.iges.or.jp/public/2019rf/pdf/5_Volume5/19R_V5_6_Ch06_Wastewater.pdf" xr:uid="{BC4C7514-12DA-4DBF-9A31-01C3763063CD}"/>
    <hyperlink ref="B106" r:id="rId5" display="https://www.ipcc-nggip.iges.or.jp/public/2019rf/pdf/5_Volume5/19R_V5_6_Ch06_Wastewater.pdf" xr:uid="{377E9EC7-0783-44D9-BD7C-8BBF6FE67E85}"/>
    <hyperlink ref="A17" location="Wastewater!A65" display="Variables for the  Updated Methodology Tables (Beginning 2000)" xr:uid="{54FB2E60-8D86-4214-A8FF-E9E2D56BA4E9}"/>
    <hyperlink ref="A2" location="Contents!A1" display="Return to Contents tab" xr:uid="{E917C242-2F85-4F5F-B55E-5F097A7715E2}"/>
    <hyperlink ref="A3" location="Wastewater!A5" display="Go to Data on Wastewater Worksheet" xr:uid="{9EEC2EE4-E76A-46FF-A922-9C5C8AFDBBA3}"/>
  </hyperlinks>
  <pageMargins left="0.7" right="0.7" top="0.75" bottom="0.75" header="0.3" footer="0.3"/>
  <pageSetup scale="19" orientation="landscape" r:id="rId6"/>
  <headerFooter>
    <oddFooter>&amp;L&amp;F &amp;A&amp;R Page &amp;P of &amp;N</oddFooter>
  </headerFooter>
  <tableParts count="10">
    <tablePart r:id="rId7"/>
    <tablePart r:id="rId8"/>
    <tablePart r:id="rId9"/>
    <tablePart r:id="rId10"/>
    <tablePart r:id="rId11"/>
    <tablePart r:id="rId12"/>
    <tablePart r:id="rId13"/>
    <tablePart r:id="rId14"/>
    <tablePart r:id="rId15"/>
    <tablePart r:id="rId16"/>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J133"/>
  <sheetViews>
    <sheetView zoomScaleNormal="100" zoomScaleSheetLayoutView="100" workbookViewId="0">
      <pane xSplit="1" topLeftCell="B1" activePane="topRight" state="frozen"/>
      <selection activeCell="A23" sqref="A23"/>
      <selection pane="topRight"/>
    </sheetView>
  </sheetViews>
  <sheetFormatPr defaultColWidth="8.81640625" defaultRowHeight="16" x14ac:dyDescent="0.4"/>
  <cols>
    <col min="1" max="1" width="78.54296875" style="3" customWidth="1"/>
    <col min="2" max="2" width="19.81640625" style="3" customWidth="1"/>
    <col min="3" max="3" width="14.7265625" style="3" customWidth="1"/>
    <col min="4" max="4" width="15.26953125" style="3" customWidth="1"/>
    <col min="5" max="37" width="14.7265625" style="3" customWidth="1"/>
    <col min="38" max="16384" width="8.81640625" style="3"/>
  </cols>
  <sheetData>
    <row r="1" spans="1:8" ht="21" x14ac:dyDescent="0.5">
      <c r="A1" s="52" t="s">
        <v>768</v>
      </c>
      <c r="H1" s="4"/>
    </row>
    <row r="2" spans="1:8" x14ac:dyDescent="0.4">
      <c r="A2" s="1011" t="s">
        <v>730</v>
      </c>
      <c r="H2" s="4"/>
    </row>
    <row r="3" spans="1:8" x14ac:dyDescent="0.4">
      <c r="A3" s="1265" t="s">
        <v>906</v>
      </c>
      <c r="H3" s="4"/>
    </row>
    <row r="4" spans="1:8" x14ac:dyDescent="0.4">
      <c r="H4" s="4"/>
    </row>
    <row r="5" spans="1:8" x14ac:dyDescent="0.4">
      <c r="A5" s="108" t="s">
        <v>1081</v>
      </c>
      <c r="H5" s="4"/>
    </row>
    <row r="6" spans="1:8" x14ac:dyDescent="0.4">
      <c r="A6" s="1175" t="s">
        <v>912</v>
      </c>
      <c r="B6" s="1174" t="s">
        <v>676</v>
      </c>
      <c r="C6" s="1174" t="s">
        <v>673</v>
      </c>
      <c r="D6" s="1174" t="s">
        <v>888</v>
      </c>
      <c r="H6" s="4"/>
    </row>
    <row r="7" spans="1:8" x14ac:dyDescent="0.4">
      <c r="A7" s="1004">
        <v>1990</v>
      </c>
      <c r="B7" s="1005" t="s">
        <v>704</v>
      </c>
      <c r="C7" s="1313" t="s">
        <v>1052</v>
      </c>
      <c r="D7" s="1061">
        <v>44916</v>
      </c>
      <c r="H7" s="4"/>
    </row>
    <row r="8" spans="1:8" x14ac:dyDescent="0.4">
      <c r="A8" s="1003" t="s">
        <v>678</v>
      </c>
      <c r="B8" s="1005" t="s">
        <v>704</v>
      </c>
      <c r="C8" s="1343" t="s">
        <v>671</v>
      </c>
      <c r="D8" s="1007">
        <v>45685</v>
      </c>
      <c r="H8" s="4"/>
    </row>
    <row r="9" spans="1:8" x14ac:dyDescent="0.4">
      <c r="A9" s="1003" t="s">
        <v>682</v>
      </c>
      <c r="B9" s="1006" t="s">
        <v>683</v>
      </c>
      <c r="C9" s="1343" t="s">
        <v>1168</v>
      </c>
      <c r="D9" s="1007">
        <v>45965</v>
      </c>
      <c r="H9" s="4"/>
    </row>
    <row r="10" spans="1:8" x14ac:dyDescent="0.4">
      <c r="A10" s="28" t="s">
        <v>1063</v>
      </c>
      <c r="B10" s="86"/>
      <c r="C10" s="1008"/>
      <c r="D10" s="1009"/>
      <c r="H10" s="4"/>
    </row>
    <row r="11" spans="1:8" x14ac:dyDescent="0.4">
      <c r="A11" s="28"/>
      <c r="B11" s="86"/>
      <c r="C11" s="1008"/>
      <c r="D11" s="1009"/>
      <c r="H11" s="4"/>
    </row>
    <row r="12" spans="1:8" x14ac:dyDescent="0.4">
      <c r="A12" s="42" t="s">
        <v>1066</v>
      </c>
      <c r="B12" s="200"/>
    </row>
    <row r="13" spans="1:8" x14ac:dyDescent="0.4">
      <c r="A13" s="1221" t="s">
        <v>826</v>
      </c>
      <c r="B13" s="200"/>
    </row>
    <row r="14" spans="1:8" x14ac:dyDescent="0.4">
      <c r="A14" s="1221" t="s">
        <v>827</v>
      </c>
      <c r="B14" s="200"/>
    </row>
    <row r="15" spans="1:8" x14ac:dyDescent="0.4">
      <c r="A15" s="1221" t="s">
        <v>828</v>
      </c>
      <c r="B15" s="200"/>
    </row>
    <row r="16" spans="1:8" x14ac:dyDescent="0.4">
      <c r="A16" s="1221" t="s">
        <v>574</v>
      </c>
      <c r="B16" s="200"/>
    </row>
    <row r="17" spans="1:36" ht="16.5" thickBot="1" x14ac:dyDescent="0.45"/>
    <row r="18" spans="1:36" ht="16.5" thickBot="1" x14ac:dyDescent="0.45">
      <c r="A18" s="1270" t="s">
        <v>826</v>
      </c>
      <c r="C18" s="29"/>
    </row>
    <row r="19" spans="1:36" ht="17" x14ac:dyDescent="0.45">
      <c r="A19" s="108" t="s">
        <v>1233</v>
      </c>
      <c r="C19" s="29"/>
    </row>
    <row r="20" spans="1:36" s="28" customFormat="1" x14ac:dyDescent="0.4">
      <c r="A20" s="165" t="s">
        <v>829</v>
      </c>
      <c r="B20" s="985" t="s">
        <v>391</v>
      </c>
      <c r="C20" s="985" t="s">
        <v>392</v>
      </c>
      <c r="D20" s="985" t="s">
        <v>393</v>
      </c>
      <c r="E20" s="985" t="s">
        <v>394</v>
      </c>
      <c r="F20" s="985" t="s">
        <v>395</v>
      </c>
      <c r="G20" s="985" t="s">
        <v>396</v>
      </c>
      <c r="H20" s="985" t="s">
        <v>397</v>
      </c>
      <c r="I20" s="985" t="s">
        <v>398</v>
      </c>
      <c r="J20" s="985" t="s">
        <v>399</v>
      </c>
      <c r="K20" s="986" t="s">
        <v>400</v>
      </c>
      <c r="L20" s="986" t="s">
        <v>401</v>
      </c>
      <c r="M20" s="986" t="s">
        <v>402</v>
      </c>
      <c r="N20" s="986" t="s">
        <v>403</v>
      </c>
      <c r="O20" s="986" t="s">
        <v>404</v>
      </c>
      <c r="P20" s="986" t="s">
        <v>405</v>
      </c>
      <c r="Q20" s="986" t="s">
        <v>406</v>
      </c>
      <c r="R20" s="986" t="s">
        <v>407</v>
      </c>
      <c r="S20" s="986" t="s">
        <v>408</v>
      </c>
      <c r="T20" s="986" t="s">
        <v>409</v>
      </c>
      <c r="U20" s="986" t="s">
        <v>410</v>
      </c>
      <c r="V20" s="986" t="s">
        <v>411</v>
      </c>
      <c r="W20" s="986" t="s">
        <v>412</v>
      </c>
      <c r="X20" s="986" t="s">
        <v>413</v>
      </c>
      <c r="Y20" s="986" t="s">
        <v>414</v>
      </c>
      <c r="Z20" s="986" t="s">
        <v>415</v>
      </c>
      <c r="AA20" s="986" t="s">
        <v>416</v>
      </c>
      <c r="AB20" s="986" t="s">
        <v>417</v>
      </c>
      <c r="AC20" s="986" t="s">
        <v>418</v>
      </c>
      <c r="AD20" s="986" t="s">
        <v>419</v>
      </c>
      <c r="AE20" s="986" t="s">
        <v>420</v>
      </c>
      <c r="AF20" s="986" t="s">
        <v>421</v>
      </c>
      <c r="AG20" s="986" t="s">
        <v>422</v>
      </c>
      <c r="AH20" s="986" t="s">
        <v>423</v>
      </c>
      <c r="AI20" s="986" t="s">
        <v>424</v>
      </c>
      <c r="AJ20" s="3"/>
    </row>
    <row r="21" spans="1:36" ht="17" x14ac:dyDescent="0.45">
      <c r="A21" s="1375" t="s">
        <v>1234</v>
      </c>
      <c r="B21" s="202">
        <v>2702884.8493324271</v>
      </c>
      <c r="C21" s="203">
        <v>2777113.6989059681</v>
      </c>
      <c r="D21" s="203">
        <v>2793151.37067645</v>
      </c>
      <c r="E21" s="203">
        <v>2752777.5623213495</v>
      </c>
      <c r="F21" s="203">
        <v>2734905.3213931988</v>
      </c>
      <c r="G21" s="203">
        <v>2783394.6698507275</v>
      </c>
      <c r="H21" s="203">
        <v>2820104.5489855856</v>
      </c>
      <c r="I21" s="203">
        <v>2873969.2245111745</v>
      </c>
      <c r="J21" s="203">
        <v>2913519.3847074825</v>
      </c>
      <c r="K21" s="203">
        <v>2930600.2731830887</v>
      </c>
      <c r="L21" s="203">
        <v>2933065.7519365968</v>
      </c>
      <c r="M21" s="203">
        <v>2920326.761171462</v>
      </c>
      <c r="N21" s="203">
        <v>2905181.9278569492</v>
      </c>
      <c r="O21" s="203">
        <v>2895279.4847857053</v>
      </c>
      <c r="P21" s="203">
        <v>2881116.7692259829</v>
      </c>
      <c r="Q21" s="203">
        <v>2868090.4507908681</v>
      </c>
      <c r="R21" s="203">
        <v>2875912.3202607781</v>
      </c>
      <c r="S21" s="203">
        <v>2884008.5589462798</v>
      </c>
      <c r="T21" s="203">
        <v>2881328.0956932711</v>
      </c>
      <c r="U21" s="203">
        <v>2869455.6292376188</v>
      </c>
      <c r="V21" s="203">
        <v>449850</v>
      </c>
      <c r="W21" s="203">
        <v>460384.52380952385</v>
      </c>
      <c r="X21" s="203">
        <v>506594.17857142852</v>
      </c>
      <c r="Y21" s="203">
        <v>406890</v>
      </c>
      <c r="Z21" s="203">
        <v>350804</v>
      </c>
      <c r="AA21" s="203">
        <v>360936</v>
      </c>
      <c r="AB21" s="203">
        <v>326596.8</v>
      </c>
      <c r="AC21" s="203">
        <v>310218</v>
      </c>
      <c r="AD21" s="203">
        <v>304408</v>
      </c>
      <c r="AE21" s="203">
        <v>304132</v>
      </c>
      <c r="AF21" s="203">
        <v>272247</v>
      </c>
      <c r="AG21" s="203">
        <v>177118</v>
      </c>
      <c r="AH21" s="203">
        <v>164185</v>
      </c>
      <c r="AI21" s="203">
        <v>149863</v>
      </c>
    </row>
    <row r="22" spans="1:36" ht="17" x14ac:dyDescent="0.45">
      <c r="A22" s="1376" t="s">
        <v>1235</v>
      </c>
      <c r="B22" s="725">
        <v>-191569.84704000002</v>
      </c>
      <c r="C22" s="726">
        <v>-191569.84704000002</v>
      </c>
      <c r="D22" s="726">
        <v>-319574.47103999992</v>
      </c>
      <c r="E22" s="726">
        <v>-409934.38767225284</v>
      </c>
      <c r="F22" s="726">
        <v>-409934.38767225284</v>
      </c>
      <c r="G22" s="726">
        <v>-446003.04246857134</v>
      </c>
      <c r="H22" s="726">
        <v>-907918.62189714285</v>
      </c>
      <c r="I22" s="726">
        <v>-1480687.85152</v>
      </c>
      <c r="J22" s="726">
        <v>-1612813.5999999996</v>
      </c>
      <c r="K22" s="726">
        <v>-1621831.4571428569</v>
      </c>
      <c r="L22" s="726">
        <v>-2039040.112</v>
      </c>
      <c r="M22" s="726">
        <v>-2409495.3506210283</v>
      </c>
      <c r="N22" s="726">
        <v>-1973070.6416672282</v>
      </c>
      <c r="O22" s="726">
        <v>-1424681.6469991428</v>
      </c>
      <c r="P22" s="726">
        <v>-1619232.4686848572</v>
      </c>
      <c r="Q22" s="726">
        <v>-1595303.8972562859</v>
      </c>
      <c r="R22" s="726">
        <v>-1807644.3538491426</v>
      </c>
      <c r="S22" s="726">
        <v>-1906662.2109920001</v>
      </c>
      <c r="T22" s="726">
        <v>-1892703.2427071426</v>
      </c>
      <c r="U22" s="726">
        <v>-1830772.471484286</v>
      </c>
      <c r="V22" s="730" t="s">
        <v>32</v>
      </c>
      <c r="W22" s="730" t="s">
        <v>32</v>
      </c>
      <c r="X22" s="730" t="s">
        <v>32</v>
      </c>
      <c r="Y22" s="730" t="s">
        <v>32</v>
      </c>
      <c r="Z22" s="730" t="s">
        <v>32</v>
      </c>
      <c r="AA22" s="730" t="s">
        <v>32</v>
      </c>
      <c r="AB22" s="730" t="s">
        <v>32</v>
      </c>
      <c r="AC22" s="730" t="s">
        <v>32</v>
      </c>
      <c r="AD22" s="730" t="s">
        <v>32</v>
      </c>
      <c r="AE22" s="730" t="s">
        <v>32</v>
      </c>
      <c r="AF22" s="730" t="s">
        <v>32</v>
      </c>
      <c r="AG22" s="730" t="s">
        <v>32</v>
      </c>
      <c r="AH22" s="730" t="s">
        <v>32</v>
      </c>
      <c r="AI22" s="730" t="s">
        <v>32</v>
      </c>
    </row>
    <row r="23" spans="1:36" ht="15" customHeight="1" x14ac:dyDescent="0.45">
      <c r="A23" s="1377" t="s">
        <v>1236</v>
      </c>
      <c r="B23" s="202">
        <v>-191569.84704000002</v>
      </c>
      <c r="C23" s="203">
        <v>-191569.84704000002</v>
      </c>
      <c r="D23" s="203">
        <v>-319574.47103999992</v>
      </c>
      <c r="E23" s="203">
        <v>-319574.47103999992</v>
      </c>
      <c r="F23" s="203">
        <v>-319574.47103999992</v>
      </c>
      <c r="G23" s="203">
        <v>-319574.47103999992</v>
      </c>
      <c r="H23" s="203">
        <v>-466311.47904000001</v>
      </c>
      <c r="I23" s="203">
        <v>-531312.85152000014</v>
      </c>
      <c r="J23" s="203">
        <v>-663438.6</v>
      </c>
      <c r="K23" s="203">
        <v>-663438.6</v>
      </c>
      <c r="L23" s="203">
        <v>-688415.11199999996</v>
      </c>
      <c r="M23" s="203">
        <v>-986548.92204959982</v>
      </c>
      <c r="N23" s="203">
        <v>-550124.2130957999</v>
      </c>
      <c r="O23" s="203">
        <v>-113699.50414200001</v>
      </c>
      <c r="P23" s="203">
        <v>-145214.611542</v>
      </c>
      <c r="Q23" s="203">
        <v>-145214.611542</v>
      </c>
      <c r="R23" s="203">
        <v>-296662.21099200001</v>
      </c>
      <c r="S23" s="203">
        <v>-296662.21099200001</v>
      </c>
      <c r="T23" s="203">
        <v>-200471.09985</v>
      </c>
      <c r="U23" s="203">
        <v>-225683.18577000001</v>
      </c>
      <c r="V23" s="203" t="s">
        <v>32</v>
      </c>
      <c r="W23" s="203" t="s">
        <v>32</v>
      </c>
      <c r="X23" s="203" t="s">
        <v>32</v>
      </c>
      <c r="Y23" s="203" t="s">
        <v>32</v>
      </c>
      <c r="Z23" s="203" t="s">
        <v>32</v>
      </c>
      <c r="AA23" s="203" t="s">
        <v>32</v>
      </c>
      <c r="AB23" s="203" t="s">
        <v>32</v>
      </c>
      <c r="AC23" s="203" t="s">
        <v>32</v>
      </c>
      <c r="AD23" s="203" t="s">
        <v>32</v>
      </c>
      <c r="AE23" s="203" t="s">
        <v>32</v>
      </c>
      <c r="AF23" s="203" t="s">
        <v>32</v>
      </c>
      <c r="AG23" s="203" t="s">
        <v>32</v>
      </c>
      <c r="AH23" s="203" t="s">
        <v>32</v>
      </c>
      <c r="AI23" s="203" t="s">
        <v>32</v>
      </c>
    </row>
    <row r="24" spans="1:36" ht="17" x14ac:dyDescent="0.45">
      <c r="A24" s="1378" t="s">
        <v>1237</v>
      </c>
      <c r="B24" s="204">
        <v>0</v>
      </c>
      <c r="C24" s="205">
        <v>0</v>
      </c>
      <c r="D24" s="205">
        <v>0</v>
      </c>
      <c r="E24" s="205">
        <v>-90359.916632252949</v>
      </c>
      <c r="F24" s="205">
        <v>-90359.916632252949</v>
      </c>
      <c r="G24" s="205">
        <v>-126428.57142857142</v>
      </c>
      <c r="H24" s="205">
        <v>-441607.14285714284</v>
      </c>
      <c r="I24" s="205">
        <v>-949374.99999999977</v>
      </c>
      <c r="J24" s="205">
        <v>-949374.99999999977</v>
      </c>
      <c r="K24" s="205">
        <v>-958392.85714285704</v>
      </c>
      <c r="L24" s="205">
        <v>-1350625</v>
      </c>
      <c r="M24" s="205">
        <v>-1422946.4285714284</v>
      </c>
      <c r="N24" s="205">
        <v>-1422946.4285714284</v>
      </c>
      <c r="O24" s="205">
        <v>-1310982.1428571427</v>
      </c>
      <c r="P24" s="205">
        <v>-1474017.8571428573</v>
      </c>
      <c r="Q24" s="205">
        <v>-1450089.2857142859</v>
      </c>
      <c r="R24" s="205">
        <v>-1510982.1428571425</v>
      </c>
      <c r="S24" s="205">
        <v>-1610000</v>
      </c>
      <c r="T24" s="205">
        <v>-1692232.1428571427</v>
      </c>
      <c r="U24" s="205">
        <v>-1605089.2857142859</v>
      </c>
      <c r="V24" s="203" t="s">
        <v>32</v>
      </c>
      <c r="W24" s="203" t="s">
        <v>32</v>
      </c>
      <c r="X24" s="203" t="s">
        <v>32</v>
      </c>
      <c r="Y24" s="203" t="s">
        <v>32</v>
      </c>
      <c r="Z24" s="203" t="s">
        <v>32</v>
      </c>
      <c r="AA24" s="203" t="s">
        <v>32</v>
      </c>
      <c r="AB24" s="203" t="s">
        <v>32</v>
      </c>
      <c r="AC24" s="203" t="s">
        <v>32</v>
      </c>
      <c r="AD24" s="203" t="s">
        <v>32</v>
      </c>
      <c r="AE24" s="203" t="s">
        <v>32</v>
      </c>
      <c r="AF24" s="203" t="s">
        <v>32</v>
      </c>
      <c r="AG24" s="203" t="s">
        <v>32</v>
      </c>
      <c r="AH24" s="203" t="s">
        <v>32</v>
      </c>
      <c r="AI24" s="203" t="s">
        <v>32</v>
      </c>
    </row>
    <row r="25" spans="1:36" ht="17" x14ac:dyDescent="0.45">
      <c r="A25" s="1379" t="s">
        <v>1238</v>
      </c>
      <c r="B25" s="727">
        <v>251131.50022924267</v>
      </c>
      <c r="C25" s="728">
        <v>258554.38518659677</v>
      </c>
      <c r="D25" s="728">
        <v>247357.68996364498</v>
      </c>
      <c r="E25" s="728">
        <v>234284.3174649096</v>
      </c>
      <c r="F25" s="728">
        <v>232497.09337209453</v>
      </c>
      <c r="G25" s="728">
        <v>233739.16273821559</v>
      </c>
      <c r="H25" s="728">
        <v>191218.59270884423</v>
      </c>
      <c r="I25" s="728">
        <v>139328.13729911743</v>
      </c>
      <c r="J25" s="728">
        <v>130070.57847074827</v>
      </c>
      <c r="K25" s="728">
        <v>130876.88160402316</v>
      </c>
      <c r="L25" s="728">
        <v>89402.563993659671</v>
      </c>
      <c r="M25" s="728">
        <v>51083.141055043357</v>
      </c>
      <c r="N25" s="728">
        <v>93211.12861897207</v>
      </c>
      <c r="O25" s="728">
        <v>147059.78377865622</v>
      </c>
      <c r="P25" s="728">
        <v>126188.43005411254</v>
      </c>
      <c r="Q25" s="728">
        <v>127278.65535345819</v>
      </c>
      <c r="R25" s="728">
        <v>106826.79664116353</v>
      </c>
      <c r="S25" s="728">
        <v>97734.634795427948</v>
      </c>
      <c r="T25" s="728">
        <v>98862.485298612824</v>
      </c>
      <c r="U25" s="728">
        <v>103868.31577533325</v>
      </c>
      <c r="V25" s="724" t="s">
        <v>32</v>
      </c>
      <c r="W25" s="724" t="s">
        <v>32</v>
      </c>
      <c r="X25" s="724" t="s">
        <v>32</v>
      </c>
      <c r="Y25" s="724" t="s">
        <v>32</v>
      </c>
      <c r="Z25" s="724" t="s">
        <v>32</v>
      </c>
      <c r="AA25" s="729">
        <f>AA26*0.1</f>
        <v>36093.599999999999</v>
      </c>
      <c r="AB25" s="729">
        <f t="shared" ref="AB25:AI25" si="0">AB26*0.1</f>
        <v>32659.68</v>
      </c>
      <c r="AC25" s="729">
        <f t="shared" si="0"/>
        <v>31021.800000000003</v>
      </c>
      <c r="AD25" s="729">
        <f t="shared" si="0"/>
        <v>30440.800000000003</v>
      </c>
      <c r="AE25" s="729">
        <f t="shared" si="0"/>
        <v>30413.200000000001</v>
      </c>
      <c r="AF25" s="729">
        <f t="shared" si="0"/>
        <v>27224.7</v>
      </c>
      <c r="AG25" s="729">
        <f t="shared" si="0"/>
        <v>17711.8</v>
      </c>
      <c r="AH25" s="729">
        <f t="shared" si="0"/>
        <v>16418.5</v>
      </c>
      <c r="AI25" s="729">
        <f t="shared" si="0"/>
        <v>14986.300000000001</v>
      </c>
    </row>
    <row r="26" spans="1:36" ht="17" x14ac:dyDescent="0.45">
      <c r="A26" s="1257" t="s">
        <v>1239</v>
      </c>
      <c r="B26" s="1258">
        <f>B21+B22-B25</f>
        <v>2260183.5020631845</v>
      </c>
      <c r="C26" s="1258">
        <f t="shared" ref="C26:U26" si="1">C21+C22-C25</f>
        <v>2326989.4666793714</v>
      </c>
      <c r="D26" s="1258">
        <f t="shared" si="1"/>
        <v>2226219.2096728054</v>
      </c>
      <c r="E26" s="1258">
        <f t="shared" si="1"/>
        <v>2108558.857184187</v>
      </c>
      <c r="F26" s="1258">
        <f t="shared" si="1"/>
        <v>2092473.8403488514</v>
      </c>
      <c r="G26" s="1258">
        <f t="shared" si="1"/>
        <v>2103652.4646439408</v>
      </c>
      <c r="H26" s="1258">
        <f t="shared" si="1"/>
        <v>1720967.3343795985</v>
      </c>
      <c r="I26" s="1258">
        <f t="shared" si="1"/>
        <v>1253953.2356920571</v>
      </c>
      <c r="J26" s="1258">
        <f t="shared" si="1"/>
        <v>1170635.2062367345</v>
      </c>
      <c r="K26" s="1258">
        <f t="shared" si="1"/>
        <v>1177891.9344362086</v>
      </c>
      <c r="L26" s="1258">
        <f t="shared" si="1"/>
        <v>804623.07594293717</v>
      </c>
      <c r="M26" s="1258">
        <f t="shared" si="1"/>
        <v>459748.2694953903</v>
      </c>
      <c r="N26" s="1258">
        <f t="shared" si="1"/>
        <v>838900.15757074894</v>
      </c>
      <c r="O26" s="1258">
        <f t="shared" si="1"/>
        <v>1323538.0540079062</v>
      </c>
      <c r="P26" s="1258">
        <f t="shared" si="1"/>
        <v>1135695.8704870131</v>
      </c>
      <c r="Q26" s="1258">
        <f t="shared" si="1"/>
        <v>1145507.8981811241</v>
      </c>
      <c r="R26" s="1258">
        <f t="shared" si="1"/>
        <v>961441.16977047198</v>
      </c>
      <c r="S26" s="1258">
        <f t="shared" si="1"/>
        <v>879611.71315885184</v>
      </c>
      <c r="T26" s="1258">
        <f t="shared" si="1"/>
        <v>889762.36768751568</v>
      </c>
      <c r="U26" s="1258">
        <f t="shared" si="1"/>
        <v>934814.84197799955</v>
      </c>
      <c r="V26" s="1258">
        <f t="shared" ref="V26:AI26" si="2">V21</f>
        <v>449850</v>
      </c>
      <c r="W26" s="1258">
        <f t="shared" si="2"/>
        <v>460384.52380952385</v>
      </c>
      <c r="X26" s="1258">
        <f t="shared" si="2"/>
        <v>506594.17857142852</v>
      </c>
      <c r="Y26" s="1258">
        <f t="shared" si="2"/>
        <v>406890</v>
      </c>
      <c r="Z26" s="1258">
        <f t="shared" si="2"/>
        <v>350804</v>
      </c>
      <c r="AA26" s="1258">
        <f t="shared" si="2"/>
        <v>360936</v>
      </c>
      <c r="AB26" s="1258">
        <f t="shared" si="2"/>
        <v>326596.8</v>
      </c>
      <c r="AC26" s="1258">
        <f t="shared" si="2"/>
        <v>310218</v>
      </c>
      <c r="AD26" s="1258">
        <f t="shared" si="2"/>
        <v>304408</v>
      </c>
      <c r="AE26" s="1258">
        <f t="shared" si="2"/>
        <v>304132</v>
      </c>
      <c r="AF26" s="1258">
        <f t="shared" si="2"/>
        <v>272247</v>
      </c>
      <c r="AG26" s="1258">
        <f t="shared" si="2"/>
        <v>177118</v>
      </c>
      <c r="AH26" s="1258">
        <f t="shared" si="2"/>
        <v>164185</v>
      </c>
      <c r="AI26" s="1258">
        <f t="shared" si="2"/>
        <v>149863</v>
      </c>
    </row>
    <row r="27" spans="1:36" x14ac:dyDescent="0.4">
      <c r="A27" s="1053" t="s">
        <v>1063</v>
      </c>
      <c r="B27" s="1054"/>
      <c r="C27" s="1054"/>
      <c r="D27" s="1054"/>
      <c r="E27" s="1054"/>
      <c r="F27" s="1054"/>
      <c r="G27" s="1054"/>
      <c r="H27" s="1054"/>
      <c r="I27" s="1054"/>
      <c r="J27" s="1054"/>
      <c r="K27" s="1054"/>
      <c r="L27" s="1054"/>
      <c r="M27" s="1054"/>
      <c r="N27" s="1054"/>
      <c r="O27" s="1054"/>
      <c r="P27" s="1054"/>
      <c r="Q27" s="1054"/>
      <c r="R27" s="1054"/>
      <c r="S27" s="1054"/>
      <c r="T27" s="1054"/>
      <c r="U27" s="1054"/>
      <c r="V27" s="1054"/>
      <c r="W27" s="1054"/>
      <c r="X27" s="1054"/>
      <c r="Y27" s="1054"/>
      <c r="Z27" s="1054"/>
      <c r="AA27" s="1054"/>
      <c r="AB27" s="1054"/>
      <c r="AC27" s="1054"/>
      <c r="AD27" s="1054"/>
      <c r="AE27" s="1054"/>
      <c r="AF27" s="1054"/>
      <c r="AG27" s="1054"/>
      <c r="AH27" s="1054"/>
      <c r="AI27" s="1054"/>
    </row>
    <row r="28" spans="1:36" x14ac:dyDescent="0.4">
      <c r="A28" s="1351"/>
      <c r="B28" s="226"/>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226"/>
      <c r="AB28" s="226"/>
      <c r="AC28" s="226"/>
      <c r="AD28" s="226"/>
      <c r="AE28" s="226"/>
      <c r="AF28" s="226"/>
      <c r="AG28" s="226"/>
      <c r="AH28" s="226"/>
      <c r="AI28" s="226"/>
    </row>
    <row r="29" spans="1:36" ht="17" x14ac:dyDescent="0.45">
      <c r="A29" s="1404" t="s">
        <v>1381</v>
      </c>
      <c r="B29" s="226"/>
      <c r="C29" s="226"/>
      <c r="D29" s="226"/>
      <c r="E29" s="226"/>
      <c r="F29" s="226"/>
      <c r="G29" s="226"/>
      <c r="H29" s="226"/>
      <c r="I29" s="226"/>
      <c r="J29" s="226"/>
      <c r="K29" s="226"/>
      <c r="L29" s="226"/>
      <c r="M29" s="226"/>
      <c r="N29" s="226"/>
      <c r="O29" s="226"/>
      <c r="P29" s="226"/>
      <c r="Q29" s="226"/>
      <c r="R29" s="226"/>
      <c r="S29" s="226"/>
      <c r="T29" s="226"/>
      <c r="U29" s="723"/>
      <c r="V29" s="226"/>
      <c r="W29" s="226"/>
      <c r="X29" s="226"/>
      <c r="Y29" s="226"/>
      <c r="Z29" s="226"/>
      <c r="AA29" s="226"/>
      <c r="AB29" s="226"/>
      <c r="AC29" s="226"/>
      <c r="AD29" s="226"/>
      <c r="AE29" s="226"/>
      <c r="AF29" s="226"/>
      <c r="AG29" s="226"/>
      <c r="AH29" s="226"/>
      <c r="AI29" s="226"/>
    </row>
    <row r="30" spans="1:36" ht="17" x14ac:dyDescent="0.45">
      <c r="A30" s="1460" t="s">
        <v>1382</v>
      </c>
      <c r="B30" s="226"/>
      <c r="C30" s="226"/>
      <c r="D30" s="226"/>
      <c r="E30" s="226"/>
      <c r="F30" s="226"/>
      <c r="G30" s="226"/>
      <c r="H30" s="226"/>
      <c r="I30" s="226"/>
      <c r="J30" s="226"/>
      <c r="K30" s="226"/>
      <c r="L30" s="226"/>
      <c r="M30" s="226"/>
      <c r="N30" s="226"/>
      <c r="O30" s="226"/>
      <c r="P30" s="226"/>
      <c r="Q30" s="226"/>
      <c r="R30" s="226"/>
      <c r="S30" s="226"/>
      <c r="T30" s="226"/>
      <c r="U30" s="226"/>
      <c r="V30" s="226"/>
      <c r="W30" s="226"/>
      <c r="X30" s="226"/>
      <c r="Y30" s="226"/>
      <c r="Z30" s="226"/>
      <c r="AA30" s="226"/>
      <c r="AB30" s="226"/>
      <c r="AC30" s="226"/>
      <c r="AD30" s="226"/>
      <c r="AE30" s="226"/>
      <c r="AF30" s="226"/>
      <c r="AG30" s="226"/>
      <c r="AH30" s="226"/>
      <c r="AI30" s="226"/>
    </row>
    <row r="31" spans="1:36" x14ac:dyDescent="0.4">
      <c r="A31" s="1221" t="s">
        <v>825</v>
      </c>
      <c r="B31" s="226"/>
      <c r="C31" s="226"/>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26"/>
      <c r="AF31" s="226"/>
      <c r="AG31" s="226"/>
      <c r="AH31" s="226"/>
      <c r="AI31" s="226"/>
    </row>
    <row r="32" spans="1:36" ht="17" x14ac:dyDescent="0.45">
      <c r="A32" s="1404" t="s">
        <v>1383</v>
      </c>
      <c r="B32" s="226"/>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E32" s="226"/>
      <c r="AF32" s="226"/>
      <c r="AG32" s="226"/>
      <c r="AH32" s="226"/>
      <c r="AI32" s="226"/>
    </row>
    <row r="33" spans="1:36" x14ac:dyDescent="0.4">
      <c r="B33" s="206"/>
      <c r="C33" s="206"/>
      <c r="D33" s="206"/>
      <c r="E33" s="206"/>
      <c r="F33" s="206"/>
      <c r="G33" s="206"/>
      <c r="H33" s="206"/>
      <c r="I33" s="206"/>
      <c r="J33" s="206"/>
      <c r="K33" s="206"/>
      <c r="L33" s="206"/>
      <c r="M33" s="206"/>
      <c r="N33" s="206"/>
      <c r="O33" s="206"/>
      <c r="P33" s="206"/>
      <c r="Q33" s="206"/>
      <c r="R33" s="206"/>
      <c r="S33" s="206"/>
      <c r="T33" s="206"/>
      <c r="U33" s="206"/>
      <c r="V33" s="207"/>
      <c r="W33" s="206"/>
      <c r="X33" s="206"/>
      <c r="Y33" s="108"/>
      <c r="Z33" s="108"/>
      <c r="AA33" s="108"/>
      <c r="AB33" s="108"/>
      <c r="AC33" s="108"/>
      <c r="AD33" s="108"/>
      <c r="AE33" s="108"/>
      <c r="AF33" s="108"/>
      <c r="AG33" s="108"/>
      <c r="AH33" s="108"/>
      <c r="AI33" s="108"/>
    </row>
    <row r="34" spans="1:36" ht="17" x14ac:dyDescent="0.45">
      <c r="A34" s="108" t="s">
        <v>1240</v>
      </c>
      <c r="B34" s="206"/>
      <c r="C34" s="206"/>
      <c r="D34" s="206"/>
      <c r="E34" s="206"/>
      <c r="F34" s="206"/>
      <c r="G34" s="206"/>
      <c r="H34" s="206"/>
      <c r="I34" s="206"/>
      <c r="J34" s="206"/>
      <c r="K34" s="206"/>
      <c r="L34" s="206"/>
      <c r="M34" s="206"/>
      <c r="N34" s="206"/>
      <c r="O34" s="206"/>
      <c r="P34" s="206"/>
      <c r="Q34" s="206"/>
      <c r="R34" s="206"/>
      <c r="S34" s="206"/>
      <c r="T34" s="206"/>
      <c r="U34" s="206"/>
      <c r="V34" s="207"/>
      <c r="W34" s="206"/>
      <c r="X34" s="206"/>
      <c r="Y34" s="108"/>
      <c r="Z34" s="108"/>
      <c r="AA34" s="108"/>
      <c r="AB34" s="108"/>
      <c r="AC34" s="108"/>
      <c r="AD34" s="108"/>
      <c r="AE34" s="108"/>
      <c r="AF34" s="108"/>
      <c r="AG34" s="108"/>
      <c r="AH34" s="108"/>
      <c r="AI34" s="108"/>
    </row>
    <row r="35" spans="1:36" s="28" customFormat="1" x14ac:dyDescent="0.4">
      <c r="A35" s="892" t="s">
        <v>829</v>
      </c>
      <c r="B35" s="987" t="s">
        <v>391</v>
      </c>
      <c r="C35" s="988" t="s">
        <v>392</v>
      </c>
      <c r="D35" s="988" t="s">
        <v>393</v>
      </c>
      <c r="E35" s="988" t="s">
        <v>394</v>
      </c>
      <c r="F35" s="988" t="s">
        <v>395</v>
      </c>
      <c r="G35" s="988" t="s">
        <v>396</v>
      </c>
      <c r="H35" s="988" t="s">
        <v>397</v>
      </c>
      <c r="I35" s="988" t="s">
        <v>398</v>
      </c>
      <c r="J35" s="988" t="s">
        <v>399</v>
      </c>
      <c r="K35" s="985" t="s">
        <v>400</v>
      </c>
      <c r="L35" s="985" t="s">
        <v>401</v>
      </c>
      <c r="M35" s="985" t="s">
        <v>402</v>
      </c>
      <c r="N35" s="985" t="s">
        <v>403</v>
      </c>
      <c r="O35" s="985" t="s">
        <v>404</v>
      </c>
      <c r="P35" s="985" t="s">
        <v>405</v>
      </c>
      <c r="Q35" s="985" t="s">
        <v>406</v>
      </c>
      <c r="R35" s="985" t="s">
        <v>407</v>
      </c>
      <c r="S35" s="985" t="s">
        <v>408</v>
      </c>
      <c r="T35" s="985" t="s">
        <v>409</v>
      </c>
      <c r="U35" s="985" t="s">
        <v>410</v>
      </c>
      <c r="V35" s="985" t="s">
        <v>411</v>
      </c>
      <c r="W35" s="985" t="s">
        <v>412</v>
      </c>
      <c r="X35" s="985" t="s">
        <v>413</v>
      </c>
      <c r="Y35" s="985" t="s">
        <v>414</v>
      </c>
      <c r="Z35" s="985" t="s">
        <v>415</v>
      </c>
      <c r="AA35" s="985" t="s">
        <v>416</v>
      </c>
      <c r="AB35" s="985" t="s">
        <v>417</v>
      </c>
      <c r="AC35" s="985" t="s">
        <v>418</v>
      </c>
      <c r="AD35" s="985" t="s">
        <v>419</v>
      </c>
      <c r="AE35" s="985" t="s">
        <v>420</v>
      </c>
      <c r="AF35" s="985" t="s">
        <v>421</v>
      </c>
      <c r="AG35" s="985" t="s">
        <v>422</v>
      </c>
      <c r="AH35" s="985" t="s">
        <v>423</v>
      </c>
      <c r="AI35" s="985" t="s">
        <v>424</v>
      </c>
      <c r="AJ35" s="3"/>
    </row>
    <row r="36" spans="1:36" ht="17" x14ac:dyDescent="0.45">
      <c r="A36" s="1480" t="s">
        <v>1564</v>
      </c>
      <c r="B36" s="722">
        <f t="shared" ref="B36:U36" si="3">(B25/25)/1000000</f>
        <v>1.0045260009169705E-2</v>
      </c>
      <c r="C36" s="722">
        <f t="shared" si="3"/>
        <v>1.034217540746387E-2</v>
      </c>
      <c r="D36" s="722">
        <f t="shared" si="3"/>
        <v>9.8943075985457995E-3</v>
      </c>
      <c r="E36" s="722">
        <f t="shared" si="3"/>
        <v>9.3713726985963832E-3</v>
      </c>
      <c r="F36" s="722">
        <f t="shared" si="3"/>
        <v>9.2998837348837807E-3</v>
      </c>
      <c r="G36" s="722">
        <f t="shared" si="3"/>
        <v>9.3495665095286243E-3</v>
      </c>
      <c r="H36" s="722">
        <f t="shared" si="3"/>
        <v>7.6487437083537693E-3</v>
      </c>
      <c r="I36" s="722">
        <f t="shared" si="3"/>
        <v>5.5731254919646972E-3</v>
      </c>
      <c r="J36" s="722">
        <f t="shared" si="3"/>
        <v>5.2028231388299307E-3</v>
      </c>
      <c r="K36" s="722">
        <f t="shared" si="3"/>
        <v>5.2350752641609263E-3</v>
      </c>
      <c r="L36" s="722">
        <f t="shared" si="3"/>
        <v>3.5761025597463867E-3</v>
      </c>
      <c r="M36" s="722">
        <f t="shared" si="3"/>
        <v>2.0433256422017344E-3</v>
      </c>
      <c r="N36" s="722">
        <f t="shared" si="3"/>
        <v>3.7284451447588828E-3</v>
      </c>
      <c r="O36" s="722">
        <f t="shared" si="3"/>
        <v>5.8823913511462491E-3</v>
      </c>
      <c r="P36" s="722">
        <f t="shared" si="3"/>
        <v>5.0475372021645017E-3</v>
      </c>
      <c r="Q36" s="722">
        <f t="shared" si="3"/>
        <v>5.0911462141383272E-3</v>
      </c>
      <c r="R36" s="722">
        <f t="shared" si="3"/>
        <v>4.2730718656465412E-3</v>
      </c>
      <c r="S36" s="722">
        <f t="shared" si="3"/>
        <v>3.9093853918171183E-3</v>
      </c>
      <c r="T36" s="722">
        <f t="shared" si="3"/>
        <v>3.9544994119445126E-3</v>
      </c>
      <c r="U36" s="722">
        <f t="shared" si="3"/>
        <v>4.1547326310133305E-3</v>
      </c>
      <c r="V36" s="1254">
        <f>99247.6/1000000</f>
        <v>9.9247600000000005E-2</v>
      </c>
      <c r="W36" s="1254">
        <f>48098/1000000</f>
        <v>4.8098000000000002E-2</v>
      </c>
      <c r="X36" s="1254">
        <f>48571/1000000</f>
        <v>4.8571000000000003E-2</v>
      </c>
      <c r="Y36" s="1254">
        <f>64255.3718/1000000</f>
        <v>6.4255371800000002E-2</v>
      </c>
      <c r="Z36" s="1254">
        <f>68777.6/1000000</f>
        <v>6.8777600000000008E-2</v>
      </c>
      <c r="AA36" s="722">
        <f t="shared" ref="AA36:AI36" si="4">(AA25/25)/1000000</f>
        <v>1.4437439999999998E-3</v>
      </c>
      <c r="AB36" s="722">
        <f t="shared" si="4"/>
        <v>1.3063872000000001E-3</v>
      </c>
      <c r="AC36" s="722">
        <f t="shared" si="4"/>
        <v>1.2408720000000001E-3</v>
      </c>
      <c r="AD36" s="722">
        <f t="shared" si="4"/>
        <v>1.217632E-3</v>
      </c>
      <c r="AE36" s="722">
        <f t="shared" si="4"/>
        <v>1.2165279999999999E-3</v>
      </c>
      <c r="AF36" s="722">
        <f t="shared" si="4"/>
        <v>1.0889880000000002E-3</v>
      </c>
      <c r="AG36" s="722">
        <f t="shared" si="4"/>
        <v>7.0847200000000003E-4</v>
      </c>
      <c r="AH36" s="722">
        <f t="shared" si="4"/>
        <v>6.5674000000000006E-4</v>
      </c>
      <c r="AI36" s="722">
        <f t="shared" si="4"/>
        <v>5.9945199999999999E-4</v>
      </c>
    </row>
    <row r="37" spans="1:36" ht="17" x14ac:dyDescent="0.45">
      <c r="A37" s="1464" t="s">
        <v>1404</v>
      </c>
      <c r="B37" s="210" t="s">
        <v>32</v>
      </c>
      <c r="C37" s="210" t="s">
        <v>32</v>
      </c>
      <c r="D37" s="210" t="s">
        <v>32</v>
      </c>
      <c r="E37" s="210" t="s">
        <v>32</v>
      </c>
      <c r="F37" s="210" t="s">
        <v>32</v>
      </c>
      <c r="G37" s="210" t="s">
        <v>32</v>
      </c>
      <c r="H37" s="210" t="s">
        <v>32</v>
      </c>
      <c r="I37" s="210" t="s">
        <v>32</v>
      </c>
      <c r="J37" s="210" t="s">
        <v>32</v>
      </c>
      <c r="K37" s="210" t="s">
        <v>32</v>
      </c>
      <c r="L37" s="210" t="s">
        <v>32</v>
      </c>
      <c r="M37" s="210" t="s">
        <v>32</v>
      </c>
      <c r="N37" s="210" t="s">
        <v>32</v>
      </c>
      <c r="O37" s="210" t="s">
        <v>32</v>
      </c>
      <c r="P37" s="210" t="s">
        <v>32</v>
      </c>
      <c r="Q37" s="210" t="s">
        <v>32</v>
      </c>
      <c r="R37" s="210" t="s">
        <v>32</v>
      </c>
      <c r="S37" s="210" t="s">
        <v>32</v>
      </c>
      <c r="T37" s="210" t="s">
        <v>32</v>
      </c>
      <c r="U37" s="210" t="s">
        <v>32</v>
      </c>
      <c r="V37" s="211">
        <f>125269.5/1000000</f>
        <v>0.12526950000000001</v>
      </c>
      <c r="W37" s="211">
        <f>114669.9/1000000</f>
        <v>0.11466989999999999</v>
      </c>
      <c r="X37" s="211">
        <f>104581.6/1000000</f>
        <v>0.10458160000000001</v>
      </c>
      <c r="Y37" s="211">
        <f>111908.53491/1000000</f>
        <v>0.11190853491</v>
      </c>
      <c r="Z37" s="211">
        <f>89273.4/1000000</f>
        <v>8.9273399999999989E-2</v>
      </c>
      <c r="AA37" s="212">
        <f>24317.8/1000000</f>
        <v>2.4317800000000001E-2</v>
      </c>
      <c r="AB37" s="212">
        <f>30810.1/1000000</f>
        <v>3.08101E-2</v>
      </c>
      <c r="AC37" s="212">
        <f>29499/1000000</f>
        <v>2.9499000000000001E-2</v>
      </c>
      <c r="AD37" s="212">
        <f>28657/1000000</f>
        <v>2.8656999999999998E-2</v>
      </c>
      <c r="AE37" s="213">
        <f>26148/1000000</f>
        <v>2.6148000000000001E-2</v>
      </c>
      <c r="AF37" s="213">
        <v>2.8234099999999998E-2</v>
      </c>
      <c r="AG37" s="213">
        <v>2.8145799999999999E-2</v>
      </c>
      <c r="AH37" s="213">
        <v>2.6423499999999999E-2</v>
      </c>
      <c r="AI37" s="213">
        <v>1.8073499999999999E-2</v>
      </c>
    </row>
    <row r="38" spans="1:36" ht="17" x14ac:dyDescent="0.45">
      <c r="A38" s="1365" t="s">
        <v>1241</v>
      </c>
      <c r="B38" s="221" t="s">
        <v>32</v>
      </c>
      <c r="C38" s="36" t="s">
        <v>32</v>
      </c>
      <c r="D38" s="36" t="s">
        <v>32</v>
      </c>
      <c r="E38" s="36" t="s">
        <v>32</v>
      </c>
      <c r="F38" s="36" t="s">
        <v>32</v>
      </c>
      <c r="G38" s="36" t="s">
        <v>32</v>
      </c>
      <c r="H38" s="36" t="s">
        <v>32</v>
      </c>
      <c r="I38" s="36" t="s">
        <v>32</v>
      </c>
      <c r="J38" s="36" t="s">
        <v>32</v>
      </c>
      <c r="K38" s="36" t="s">
        <v>32</v>
      </c>
      <c r="L38" s="36" t="s">
        <v>32</v>
      </c>
      <c r="M38" s="36" t="s">
        <v>32</v>
      </c>
      <c r="N38" s="36" t="s">
        <v>32</v>
      </c>
      <c r="O38" s="36" t="s">
        <v>32</v>
      </c>
      <c r="P38" s="36" t="s">
        <v>32</v>
      </c>
      <c r="Q38" s="36" t="s">
        <v>32</v>
      </c>
      <c r="R38" s="36" t="s">
        <v>32</v>
      </c>
      <c r="S38" s="36" t="s">
        <v>32</v>
      </c>
      <c r="T38" s="36" t="s">
        <v>32</v>
      </c>
      <c r="U38" s="36" t="s">
        <v>32</v>
      </c>
      <c r="V38" s="736">
        <f>146.3/1000000</f>
        <v>1.4630000000000001E-4</v>
      </c>
      <c r="W38" s="736">
        <f>700.1/1000000</f>
        <v>7.0010000000000005E-4</v>
      </c>
      <c r="X38" s="736">
        <f>944.9/1000000</f>
        <v>9.4489999999999993E-4</v>
      </c>
      <c r="Y38" s="736">
        <f>1148.12318/1000000</f>
        <v>1.14812318E-3</v>
      </c>
      <c r="Z38" s="736">
        <f>2049.9/1000000</f>
        <v>2.0498999999999999E-3</v>
      </c>
      <c r="AA38" s="737">
        <f>37.3/1000000</f>
        <v>3.7299999999999999E-5</v>
      </c>
      <c r="AB38" s="737">
        <f>46.7/1000000</f>
        <v>4.6700000000000003E-5</v>
      </c>
      <c r="AC38" s="737">
        <f>45/1000000</f>
        <v>4.5000000000000003E-5</v>
      </c>
      <c r="AD38" s="737">
        <f>44/1000000</f>
        <v>4.3999999999999999E-5</v>
      </c>
      <c r="AE38" s="738">
        <f>40/1000000</f>
        <v>4.0000000000000003E-5</v>
      </c>
      <c r="AF38" s="738">
        <v>4.3400000000000005E-5</v>
      </c>
      <c r="AG38" s="738">
        <v>4.32E-5</v>
      </c>
      <c r="AH38" s="738">
        <v>4.0599999999999998E-5</v>
      </c>
      <c r="AI38" s="738">
        <v>3.7200000000000003E-5</v>
      </c>
    </row>
    <row r="39" spans="1:36" ht="17" x14ac:dyDescent="0.45">
      <c r="A39" s="1380" t="s">
        <v>1242</v>
      </c>
      <c r="B39" s="209" t="s">
        <v>32</v>
      </c>
      <c r="C39" s="210" t="s">
        <v>32</v>
      </c>
      <c r="D39" s="210" t="s">
        <v>32</v>
      </c>
      <c r="E39" s="210" t="s">
        <v>32</v>
      </c>
      <c r="F39" s="210" t="s">
        <v>32</v>
      </c>
      <c r="G39" s="210" t="s">
        <v>32</v>
      </c>
      <c r="H39" s="210" t="s">
        <v>32</v>
      </c>
      <c r="I39" s="210" t="s">
        <v>32</v>
      </c>
      <c r="J39" s="210" t="s">
        <v>32</v>
      </c>
      <c r="K39" s="210" t="s">
        <v>32</v>
      </c>
      <c r="L39" s="210" t="s">
        <v>32</v>
      </c>
      <c r="M39" s="210" t="s">
        <v>32</v>
      </c>
      <c r="N39" s="210" t="s">
        <v>32</v>
      </c>
      <c r="O39" s="210" t="s">
        <v>32</v>
      </c>
      <c r="P39" s="210" t="s">
        <v>32</v>
      </c>
      <c r="Q39" s="210" t="s">
        <v>32</v>
      </c>
      <c r="R39" s="210" t="s">
        <v>32</v>
      </c>
      <c r="S39" s="210" t="s">
        <v>32</v>
      </c>
      <c r="T39" s="210" t="s">
        <v>32</v>
      </c>
      <c r="U39" s="210" t="s">
        <v>32</v>
      </c>
      <c r="V39" s="731">
        <f>1844.5/1000000</f>
        <v>1.8445E-3</v>
      </c>
      <c r="W39" s="731">
        <f>287.8/1000000</f>
        <v>2.878E-4</v>
      </c>
      <c r="X39" s="731">
        <f>365.8/1000000</f>
        <v>3.658E-4</v>
      </c>
      <c r="Y39" s="731">
        <f>367.20938/1000000</f>
        <v>3.6720938000000001E-4</v>
      </c>
      <c r="Z39" s="731">
        <f>329.3/1000000</f>
        <v>3.2930000000000004E-4</v>
      </c>
      <c r="AA39" s="732">
        <f>87.6/1000000</f>
        <v>8.7599999999999988E-5</v>
      </c>
      <c r="AB39" s="732">
        <f>111.3/1000000</f>
        <v>1.1129999999999999E-4</v>
      </c>
      <c r="AC39" s="732">
        <f>106.4/1000000</f>
        <v>1.0640000000000001E-4</v>
      </c>
      <c r="AD39" s="732">
        <f>103/1000000</f>
        <v>1.03E-4</v>
      </c>
      <c r="AE39" s="733">
        <f>94/1000000</f>
        <v>9.3999999999999994E-5</v>
      </c>
      <c r="AF39" s="733">
        <v>1.0180000000000001E-4</v>
      </c>
      <c r="AG39" s="733">
        <v>1.015E-4</v>
      </c>
      <c r="AH39" s="733">
        <v>9.5199999999999997E-5</v>
      </c>
      <c r="AI39" s="733">
        <v>8.7300000000000008E-5</v>
      </c>
    </row>
    <row r="40" spans="1:36" x14ac:dyDescent="0.4">
      <c r="A40" s="1055" t="s">
        <v>1063</v>
      </c>
      <c r="B40" s="1056"/>
      <c r="C40" s="1057"/>
      <c r="D40" s="1057"/>
      <c r="E40" s="1057"/>
      <c r="F40" s="1057"/>
      <c r="G40" s="1057"/>
      <c r="H40" s="1057"/>
      <c r="I40" s="1057"/>
      <c r="J40" s="1057"/>
      <c r="K40" s="1057"/>
      <c r="L40" s="1057"/>
      <c r="M40" s="1057"/>
      <c r="N40" s="1057"/>
      <c r="O40" s="1057"/>
      <c r="P40" s="1057"/>
      <c r="Q40" s="1057"/>
      <c r="R40" s="1057"/>
      <c r="S40" s="1057"/>
      <c r="T40" s="1057"/>
      <c r="U40" s="1057"/>
      <c r="V40" s="1055"/>
      <c r="W40" s="1055"/>
      <c r="X40" s="1055"/>
      <c r="Y40" s="1055"/>
      <c r="Z40" s="1055"/>
      <c r="AA40" s="1055"/>
      <c r="AB40" s="1055"/>
      <c r="AC40" s="1055"/>
      <c r="AD40" s="665"/>
      <c r="AE40" s="665"/>
      <c r="AF40" s="665"/>
      <c r="AG40" s="665"/>
      <c r="AH40" s="665"/>
      <c r="AI40" s="665"/>
    </row>
    <row r="41" spans="1:36" x14ac:dyDescent="0.4">
      <c r="A41" s="28"/>
      <c r="B41" s="216"/>
      <c r="C41" s="36"/>
      <c r="D41" s="36"/>
      <c r="E41" s="36"/>
      <c r="F41" s="36"/>
      <c r="G41" s="36"/>
      <c r="H41" s="36"/>
      <c r="I41" s="36"/>
      <c r="J41" s="36"/>
      <c r="K41" s="36"/>
      <c r="L41" s="36"/>
      <c r="M41" s="36"/>
      <c r="N41" s="36"/>
      <c r="O41" s="36"/>
      <c r="P41" s="36"/>
      <c r="Q41" s="36"/>
      <c r="R41" s="36"/>
      <c r="S41" s="36"/>
      <c r="T41" s="36"/>
      <c r="U41" s="36"/>
      <c r="V41" s="28"/>
      <c r="W41" s="28"/>
      <c r="X41" s="28"/>
      <c r="Y41" s="28"/>
      <c r="Z41" s="28"/>
      <c r="AA41" s="28"/>
      <c r="AB41" s="28"/>
      <c r="AC41" s="28"/>
    </row>
    <row r="42" spans="1:36" x14ac:dyDescent="0.4">
      <c r="A42" s="196" t="s">
        <v>832</v>
      </c>
      <c r="B42" s="216"/>
      <c r="D42" s="216"/>
      <c r="E42" s="216"/>
      <c r="F42" s="216"/>
      <c r="G42" s="216"/>
      <c r="H42" s="216"/>
      <c r="I42" s="217"/>
      <c r="J42" s="217"/>
      <c r="K42" s="217"/>
      <c r="L42" s="217"/>
      <c r="M42" s="217"/>
      <c r="N42" s="217"/>
      <c r="O42" s="217"/>
      <c r="P42" s="217"/>
      <c r="Q42" s="217"/>
      <c r="R42" s="217"/>
      <c r="S42" s="217"/>
      <c r="T42" s="217"/>
      <c r="U42" s="217"/>
      <c r="V42" s="28"/>
      <c r="W42" s="28"/>
      <c r="X42" s="28"/>
      <c r="Y42" s="28"/>
      <c r="Z42" s="28"/>
      <c r="AA42" s="28"/>
      <c r="AB42" s="28"/>
      <c r="AC42" s="28"/>
    </row>
    <row r="43" spans="1:36" ht="17" x14ac:dyDescent="0.45">
      <c r="A43" s="1381" t="s">
        <v>1243</v>
      </c>
      <c r="B43" s="216"/>
      <c r="C43" s="216"/>
      <c r="D43" s="216"/>
      <c r="E43" s="216"/>
      <c r="F43" s="216"/>
      <c r="G43" s="216"/>
      <c r="H43" s="216"/>
      <c r="I43" s="217"/>
      <c r="J43" s="217"/>
      <c r="K43" s="217"/>
      <c r="L43" s="217"/>
      <c r="M43" s="217"/>
      <c r="N43" s="217"/>
      <c r="O43" s="217"/>
      <c r="P43" s="217"/>
      <c r="Q43" s="217"/>
      <c r="R43" s="217"/>
      <c r="S43" s="217"/>
      <c r="T43" s="217"/>
      <c r="U43" s="217"/>
      <c r="V43" s="28"/>
      <c r="W43" s="28"/>
      <c r="X43" s="28"/>
      <c r="Y43" s="28"/>
      <c r="Z43" s="28"/>
      <c r="AA43" s="28"/>
      <c r="AB43" s="28"/>
      <c r="AC43" s="28"/>
    </row>
    <row r="44" spans="1:36" ht="17" x14ac:dyDescent="0.45">
      <c r="A44" s="1381" t="s">
        <v>1244</v>
      </c>
      <c r="C44" s="216"/>
      <c r="D44" s="216"/>
      <c r="E44" s="216"/>
      <c r="F44" s="216"/>
      <c r="G44" s="216"/>
      <c r="H44" s="216"/>
      <c r="I44" s="217"/>
      <c r="J44" s="217"/>
      <c r="K44" s="217"/>
      <c r="L44" s="217"/>
      <c r="M44" s="217"/>
      <c r="N44" s="217"/>
      <c r="O44" s="217"/>
      <c r="P44" s="217"/>
      <c r="Q44" s="217"/>
      <c r="R44" s="217"/>
      <c r="S44" s="217"/>
      <c r="T44" s="217"/>
      <c r="U44" s="217"/>
      <c r="V44" s="28"/>
      <c r="W44" s="28"/>
      <c r="X44" s="28"/>
      <c r="Y44" s="28"/>
      <c r="Z44" s="28"/>
      <c r="AA44" s="28"/>
      <c r="AB44" s="28"/>
      <c r="AC44" s="28"/>
    </row>
    <row r="45" spans="1:36" s="1389" customFormat="1" x14ac:dyDescent="0.4">
      <c r="A45" s="1393" t="s">
        <v>831</v>
      </c>
      <c r="B45" s="1405"/>
      <c r="C45" s="1405"/>
      <c r="D45" s="1405"/>
      <c r="E45" s="1405"/>
      <c r="F45" s="1405"/>
      <c r="G45" s="1405"/>
      <c r="H45" s="1405"/>
      <c r="I45" s="1406"/>
      <c r="J45" s="1406"/>
      <c r="K45" s="1406"/>
      <c r="L45" s="1406"/>
      <c r="M45" s="1406"/>
      <c r="N45" s="1406"/>
      <c r="O45" s="1406"/>
      <c r="P45" s="1406"/>
      <c r="Q45" s="1406"/>
      <c r="R45" s="1406"/>
      <c r="S45" s="1406"/>
      <c r="T45" s="1406"/>
      <c r="U45" s="1406"/>
      <c r="AJ45" s="3"/>
    </row>
    <row r="46" spans="1:36" x14ac:dyDescent="0.4">
      <c r="A46" s="28"/>
      <c r="B46" s="216"/>
      <c r="C46" s="216"/>
      <c r="D46" s="216"/>
      <c r="E46" s="216"/>
      <c r="F46" s="216"/>
      <c r="G46" s="216"/>
      <c r="H46" s="216"/>
      <c r="I46" s="217"/>
      <c r="J46" s="217"/>
      <c r="K46" s="217"/>
      <c r="L46" s="217"/>
      <c r="M46" s="217"/>
      <c r="N46" s="217"/>
      <c r="O46" s="217"/>
      <c r="P46" s="217"/>
      <c r="Q46" s="217"/>
      <c r="R46" s="217"/>
      <c r="S46" s="217"/>
      <c r="T46" s="217"/>
      <c r="U46" s="217"/>
      <c r="V46" s="28"/>
      <c r="W46" s="28"/>
      <c r="X46" s="28"/>
      <c r="Y46" s="28"/>
      <c r="Z46" s="28"/>
      <c r="AA46" s="28"/>
      <c r="AB46" s="28"/>
      <c r="AC46" s="28"/>
    </row>
    <row r="47" spans="1:36" ht="17" x14ac:dyDescent="0.45">
      <c r="A47" s="108" t="s">
        <v>1245</v>
      </c>
      <c r="B47" s="216"/>
      <c r="C47" s="216"/>
      <c r="D47" s="216"/>
      <c r="E47" s="216"/>
      <c r="F47" s="216"/>
      <c r="G47" s="216"/>
      <c r="H47" s="216"/>
      <c r="I47" s="217"/>
      <c r="J47" s="217"/>
      <c r="K47" s="217"/>
      <c r="L47" s="217"/>
      <c r="M47" s="217"/>
      <c r="N47" s="217"/>
      <c r="O47" s="217"/>
      <c r="P47" s="217"/>
      <c r="Q47" s="217"/>
      <c r="R47" s="217"/>
      <c r="S47" s="217"/>
      <c r="T47" s="217"/>
      <c r="U47" s="217"/>
      <c r="V47" s="28"/>
      <c r="W47" s="28"/>
      <c r="X47" s="28"/>
      <c r="Y47" s="28"/>
      <c r="Z47" s="28"/>
      <c r="AA47" s="28"/>
      <c r="AB47" s="28"/>
      <c r="AC47" s="28"/>
    </row>
    <row r="48" spans="1:36" s="28" customFormat="1" x14ac:dyDescent="0.4">
      <c r="A48" s="165" t="s">
        <v>690</v>
      </c>
      <c r="B48" s="985" t="s">
        <v>391</v>
      </c>
      <c r="C48" s="985" t="s">
        <v>392</v>
      </c>
      <c r="D48" s="985" t="s">
        <v>393</v>
      </c>
      <c r="E48" s="985" t="s">
        <v>394</v>
      </c>
      <c r="F48" s="985" t="s">
        <v>395</v>
      </c>
      <c r="G48" s="985" t="s">
        <v>396</v>
      </c>
      <c r="H48" s="985" t="s">
        <v>397</v>
      </c>
      <c r="I48" s="985" t="s">
        <v>398</v>
      </c>
      <c r="J48" s="985" t="s">
        <v>399</v>
      </c>
      <c r="K48" s="985" t="s">
        <v>400</v>
      </c>
      <c r="L48" s="985" t="s">
        <v>401</v>
      </c>
      <c r="M48" s="985" t="s">
        <v>402</v>
      </c>
      <c r="N48" s="985" t="s">
        <v>403</v>
      </c>
      <c r="O48" s="985" t="s">
        <v>404</v>
      </c>
      <c r="P48" s="985" t="s">
        <v>405</v>
      </c>
      <c r="Q48" s="985" t="s">
        <v>406</v>
      </c>
      <c r="R48" s="985" t="s">
        <v>407</v>
      </c>
      <c r="S48" s="985" t="s">
        <v>408</v>
      </c>
      <c r="T48" s="985" t="s">
        <v>409</v>
      </c>
      <c r="U48" s="985" t="s">
        <v>410</v>
      </c>
      <c r="V48" s="985" t="s">
        <v>411</v>
      </c>
      <c r="W48" s="985" t="s">
        <v>412</v>
      </c>
      <c r="X48" s="985" t="s">
        <v>413</v>
      </c>
      <c r="Y48" s="985" t="s">
        <v>414</v>
      </c>
      <c r="Z48" s="985" t="s">
        <v>415</v>
      </c>
      <c r="AA48" s="985" t="s">
        <v>416</v>
      </c>
      <c r="AB48" s="985" t="s">
        <v>417</v>
      </c>
      <c r="AC48" s="985" t="s">
        <v>418</v>
      </c>
      <c r="AD48" s="985" t="s">
        <v>419</v>
      </c>
      <c r="AE48" s="985" t="s">
        <v>420</v>
      </c>
      <c r="AF48" s="985" t="s">
        <v>421</v>
      </c>
      <c r="AG48" s="985" t="s">
        <v>422</v>
      </c>
      <c r="AH48" s="985" t="s">
        <v>423</v>
      </c>
      <c r="AI48" s="985" t="s">
        <v>424</v>
      </c>
      <c r="AJ48" s="3"/>
    </row>
    <row r="49" spans="1:36" s="42" customFormat="1" ht="17" x14ac:dyDescent="0.45">
      <c r="A49" s="680" t="s">
        <v>587</v>
      </c>
      <c r="B49" s="1248">
        <f t="shared" ref="B49:U49" si="5">(B26/1000000)</f>
        <v>2.2601835020631844</v>
      </c>
      <c r="C49" s="1248">
        <f t="shared" si="5"/>
        <v>2.3269894666793713</v>
      </c>
      <c r="D49" s="1248">
        <f t="shared" si="5"/>
        <v>2.2262192096728053</v>
      </c>
      <c r="E49" s="1248">
        <f t="shared" si="5"/>
        <v>2.1085588571841871</v>
      </c>
      <c r="F49" s="1248">
        <f t="shared" si="5"/>
        <v>2.0924738403488514</v>
      </c>
      <c r="G49" s="1248">
        <f t="shared" si="5"/>
        <v>2.103652464643941</v>
      </c>
      <c r="H49" s="1248">
        <f t="shared" si="5"/>
        <v>1.7209673343795986</v>
      </c>
      <c r="I49" s="1248">
        <f t="shared" si="5"/>
        <v>1.2539532356920571</v>
      </c>
      <c r="J49" s="1248">
        <f t="shared" si="5"/>
        <v>1.1706352062367344</v>
      </c>
      <c r="K49" s="1248">
        <f t="shared" si="5"/>
        <v>1.1778919344362087</v>
      </c>
      <c r="L49" s="1248">
        <f t="shared" si="5"/>
        <v>0.80462307594293714</v>
      </c>
      <c r="M49" s="1248">
        <f t="shared" si="5"/>
        <v>0.45974826949539027</v>
      </c>
      <c r="N49" s="1248">
        <f t="shared" si="5"/>
        <v>0.83890015757074898</v>
      </c>
      <c r="O49" s="1248">
        <f t="shared" si="5"/>
        <v>1.3235380540079063</v>
      </c>
      <c r="P49" s="1248">
        <f t="shared" si="5"/>
        <v>1.135695870487013</v>
      </c>
      <c r="Q49" s="1248">
        <f t="shared" si="5"/>
        <v>1.1455078981811242</v>
      </c>
      <c r="R49" s="1248">
        <f t="shared" si="5"/>
        <v>0.961441169770472</v>
      </c>
      <c r="S49" s="1248">
        <f t="shared" si="5"/>
        <v>0.87961171315885189</v>
      </c>
      <c r="T49" s="1248">
        <f t="shared" si="5"/>
        <v>0.88976236768751571</v>
      </c>
      <c r="U49" s="1248">
        <f t="shared" si="5"/>
        <v>0.93481484197799958</v>
      </c>
      <c r="V49" s="1248">
        <f t="shared" ref="V49:AI49" si="6">(V26/1000000)+V38</f>
        <v>0.44999630000000002</v>
      </c>
      <c r="W49" s="1248">
        <f t="shared" si="6"/>
        <v>0.46108462380952381</v>
      </c>
      <c r="X49" s="1248">
        <f t="shared" si="6"/>
        <v>0.50753907857142855</v>
      </c>
      <c r="Y49" s="1248">
        <f t="shared" si="6"/>
        <v>0.40803812317999999</v>
      </c>
      <c r="Z49" s="1248">
        <f t="shared" si="6"/>
        <v>0.3528539</v>
      </c>
      <c r="AA49" s="1248">
        <f t="shared" si="6"/>
        <v>0.3609733</v>
      </c>
      <c r="AB49" s="1248">
        <f t="shared" si="6"/>
        <v>0.32664349999999998</v>
      </c>
      <c r="AC49" s="1248">
        <f t="shared" si="6"/>
        <v>0.31026300000000001</v>
      </c>
      <c r="AD49" s="1248">
        <f t="shared" si="6"/>
        <v>0.304452</v>
      </c>
      <c r="AE49" s="1248">
        <f t="shared" si="6"/>
        <v>0.304172</v>
      </c>
      <c r="AF49" s="1248">
        <f t="shared" si="6"/>
        <v>0.27229040000000004</v>
      </c>
      <c r="AG49" s="1248">
        <f t="shared" si="6"/>
        <v>0.17716119999999999</v>
      </c>
      <c r="AH49" s="1248">
        <f t="shared" si="6"/>
        <v>0.1642256</v>
      </c>
      <c r="AI49" s="1248">
        <f t="shared" si="6"/>
        <v>0.14990019999999998</v>
      </c>
      <c r="AJ49" s="3"/>
    </row>
    <row r="50" spans="1:36" ht="17" x14ac:dyDescent="0.45">
      <c r="A50" s="680" t="s">
        <v>588</v>
      </c>
      <c r="B50" s="1249" t="s">
        <v>32</v>
      </c>
      <c r="C50" s="1249" t="s">
        <v>32</v>
      </c>
      <c r="D50" s="1249" t="s">
        <v>32</v>
      </c>
      <c r="E50" s="1249" t="s">
        <v>32</v>
      </c>
      <c r="F50" s="1249" t="s">
        <v>32</v>
      </c>
      <c r="G50" s="1249" t="s">
        <v>32</v>
      </c>
      <c r="H50" s="1249" t="s">
        <v>32</v>
      </c>
      <c r="I50" s="1249" t="s">
        <v>32</v>
      </c>
      <c r="J50" s="1249" t="s">
        <v>32</v>
      </c>
      <c r="K50" s="1249" t="s">
        <v>32</v>
      </c>
      <c r="L50" s="1249" t="s">
        <v>32</v>
      </c>
      <c r="M50" s="1249" t="s">
        <v>32</v>
      </c>
      <c r="N50" s="1249" t="s">
        <v>32</v>
      </c>
      <c r="O50" s="1249" t="s">
        <v>32</v>
      </c>
      <c r="P50" s="1249" t="s">
        <v>32</v>
      </c>
      <c r="Q50" s="1249" t="s">
        <v>32</v>
      </c>
      <c r="R50" s="1249" t="s">
        <v>32</v>
      </c>
      <c r="S50" s="1249" t="s">
        <v>32</v>
      </c>
      <c r="T50" s="1249" t="s">
        <v>32</v>
      </c>
      <c r="U50" s="1249" t="s">
        <v>32</v>
      </c>
      <c r="V50" s="1250">
        <f t="shared" ref="V50:AI50" si="7">V39</f>
        <v>1.8445E-3</v>
      </c>
      <c r="W50" s="1250">
        <f t="shared" si="7"/>
        <v>2.878E-4</v>
      </c>
      <c r="X50" s="1250">
        <f t="shared" si="7"/>
        <v>3.658E-4</v>
      </c>
      <c r="Y50" s="1250">
        <f t="shared" si="7"/>
        <v>3.6720938000000001E-4</v>
      </c>
      <c r="Z50" s="1250">
        <f t="shared" si="7"/>
        <v>3.2930000000000004E-4</v>
      </c>
      <c r="AA50" s="1250">
        <f t="shared" si="7"/>
        <v>8.7599999999999988E-5</v>
      </c>
      <c r="AB50" s="1250">
        <f t="shared" si="7"/>
        <v>1.1129999999999999E-4</v>
      </c>
      <c r="AC50" s="1250">
        <f t="shared" si="7"/>
        <v>1.0640000000000001E-4</v>
      </c>
      <c r="AD50" s="1250">
        <f t="shared" si="7"/>
        <v>1.03E-4</v>
      </c>
      <c r="AE50" s="1250">
        <f t="shared" si="7"/>
        <v>9.3999999999999994E-5</v>
      </c>
      <c r="AF50" s="1250">
        <f t="shared" si="7"/>
        <v>1.0180000000000001E-4</v>
      </c>
      <c r="AG50" s="1250">
        <f t="shared" si="7"/>
        <v>1.015E-4</v>
      </c>
      <c r="AH50" s="1250">
        <f t="shared" si="7"/>
        <v>9.5199999999999997E-5</v>
      </c>
      <c r="AI50" s="1250">
        <f t="shared" si="7"/>
        <v>8.7300000000000008E-5</v>
      </c>
    </row>
    <row r="51" spans="1:36" ht="17" x14ac:dyDescent="0.45">
      <c r="A51" s="680" t="s">
        <v>1246</v>
      </c>
      <c r="B51" s="1248">
        <f t="shared" ref="B51:U51" si="8">B49</f>
        <v>2.2601835020631844</v>
      </c>
      <c r="C51" s="1248">
        <f t="shared" si="8"/>
        <v>2.3269894666793713</v>
      </c>
      <c r="D51" s="1248">
        <f t="shared" si="8"/>
        <v>2.2262192096728053</v>
      </c>
      <c r="E51" s="1248">
        <f t="shared" si="8"/>
        <v>2.1085588571841871</v>
      </c>
      <c r="F51" s="1248">
        <f t="shared" si="8"/>
        <v>2.0924738403488514</v>
      </c>
      <c r="G51" s="1248">
        <f t="shared" si="8"/>
        <v>2.103652464643941</v>
      </c>
      <c r="H51" s="1248">
        <f t="shared" si="8"/>
        <v>1.7209673343795986</v>
      </c>
      <c r="I51" s="1248">
        <f t="shared" si="8"/>
        <v>1.2539532356920571</v>
      </c>
      <c r="J51" s="1248">
        <f t="shared" si="8"/>
        <v>1.1706352062367344</v>
      </c>
      <c r="K51" s="1248">
        <f t="shared" si="8"/>
        <v>1.1778919344362087</v>
      </c>
      <c r="L51" s="1248">
        <f t="shared" si="8"/>
        <v>0.80462307594293714</v>
      </c>
      <c r="M51" s="1248">
        <f t="shared" si="8"/>
        <v>0.45974826949539027</v>
      </c>
      <c r="N51" s="1248">
        <f t="shared" si="8"/>
        <v>0.83890015757074898</v>
      </c>
      <c r="O51" s="1248">
        <f t="shared" si="8"/>
        <v>1.3235380540079063</v>
      </c>
      <c r="P51" s="1248">
        <f t="shared" si="8"/>
        <v>1.135695870487013</v>
      </c>
      <c r="Q51" s="1248">
        <f t="shared" si="8"/>
        <v>1.1455078981811242</v>
      </c>
      <c r="R51" s="1248">
        <f t="shared" si="8"/>
        <v>0.961441169770472</v>
      </c>
      <c r="S51" s="1248">
        <f t="shared" si="8"/>
        <v>0.87961171315885189</v>
      </c>
      <c r="T51" s="1248">
        <f t="shared" si="8"/>
        <v>0.88976236768751571</v>
      </c>
      <c r="U51" s="1248">
        <f t="shared" si="8"/>
        <v>0.93481484197799958</v>
      </c>
      <c r="V51" s="1248">
        <f t="shared" ref="V51:AI51" si="9">V50+V49</f>
        <v>0.45184080000000004</v>
      </c>
      <c r="W51" s="1248">
        <f t="shared" si="9"/>
        <v>0.46137242380952381</v>
      </c>
      <c r="X51" s="1248">
        <f t="shared" si="9"/>
        <v>0.50790487857142852</v>
      </c>
      <c r="Y51" s="1248">
        <f t="shared" si="9"/>
        <v>0.40840533256</v>
      </c>
      <c r="Z51" s="1248">
        <f t="shared" si="9"/>
        <v>0.35318319999999997</v>
      </c>
      <c r="AA51" s="1248">
        <f t="shared" si="9"/>
        <v>0.36106090000000002</v>
      </c>
      <c r="AB51" s="1248">
        <f t="shared" si="9"/>
        <v>0.32675479999999996</v>
      </c>
      <c r="AC51" s="1248">
        <f t="shared" si="9"/>
        <v>0.31036940000000002</v>
      </c>
      <c r="AD51" s="1248">
        <f t="shared" si="9"/>
        <v>0.30455500000000002</v>
      </c>
      <c r="AE51" s="1248">
        <f t="shared" si="9"/>
        <v>0.30426599999999998</v>
      </c>
      <c r="AF51" s="1248">
        <f t="shared" si="9"/>
        <v>0.27239220000000003</v>
      </c>
      <c r="AG51" s="1248">
        <f t="shared" si="9"/>
        <v>0.1772627</v>
      </c>
      <c r="AH51" s="1248">
        <f t="shared" si="9"/>
        <v>0.16432079999999999</v>
      </c>
      <c r="AI51" s="1248">
        <f t="shared" si="9"/>
        <v>0.1499875</v>
      </c>
    </row>
    <row r="52" spans="1:36" ht="17" x14ac:dyDescent="0.45">
      <c r="A52" s="1382" t="s">
        <v>1247</v>
      </c>
      <c r="B52" s="989">
        <f t="shared" ref="B52:AI52" si="10">SUM(B36:B37)</f>
        <v>1.0045260009169705E-2</v>
      </c>
      <c r="C52" s="989">
        <f t="shared" si="10"/>
        <v>1.034217540746387E-2</v>
      </c>
      <c r="D52" s="989">
        <f t="shared" si="10"/>
        <v>9.8943075985457995E-3</v>
      </c>
      <c r="E52" s="989">
        <f t="shared" si="10"/>
        <v>9.3713726985963832E-3</v>
      </c>
      <c r="F52" s="989">
        <f t="shared" si="10"/>
        <v>9.2998837348837807E-3</v>
      </c>
      <c r="G52" s="989">
        <f t="shared" si="10"/>
        <v>9.3495665095286243E-3</v>
      </c>
      <c r="H52" s="989">
        <f t="shared" si="10"/>
        <v>7.6487437083537693E-3</v>
      </c>
      <c r="I52" s="989">
        <f t="shared" si="10"/>
        <v>5.5731254919646972E-3</v>
      </c>
      <c r="J52" s="989">
        <f t="shared" si="10"/>
        <v>5.2028231388299307E-3</v>
      </c>
      <c r="K52" s="989">
        <f t="shared" si="10"/>
        <v>5.2350752641609263E-3</v>
      </c>
      <c r="L52" s="989">
        <f t="shared" si="10"/>
        <v>3.5761025597463867E-3</v>
      </c>
      <c r="M52" s="989">
        <f t="shared" si="10"/>
        <v>2.0433256422017344E-3</v>
      </c>
      <c r="N52" s="989">
        <f t="shared" si="10"/>
        <v>3.7284451447588828E-3</v>
      </c>
      <c r="O52" s="989">
        <f t="shared" si="10"/>
        <v>5.8823913511462491E-3</v>
      </c>
      <c r="P52" s="989">
        <f t="shared" si="10"/>
        <v>5.0475372021645017E-3</v>
      </c>
      <c r="Q52" s="989">
        <f t="shared" si="10"/>
        <v>5.0911462141383272E-3</v>
      </c>
      <c r="R52" s="989">
        <f t="shared" si="10"/>
        <v>4.2730718656465412E-3</v>
      </c>
      <c r="S52" s="989">
        <f t="shared" si="10"/>
        <v>3.9093853918171183E-3</v>
      </c>
      <c r="T52" s="989">
        <f t="shared" si="10"/>
        <v>3.9544994119445126E-3</v>
      </c>
      <c r="U52" s="989">
        <f t="shared" si="10"/>
        <v>4.1547326310133305E-3</v>
      </c>
      <c r="V52" s="989">
        <f t="shared" si="10"/>
        <v>0.22451710000000002</v>
      </c>
      <c r="W52" s="989">
        <f t="shared" si="10"/>
        <v>0.16276789999999999</v>
      </c>
      <c r="X52" s="989">
        <f t="shared" si="10"/>
        <v>0.15315260000000003</v>
      </c>
      <c r="Y52" s="989">
        <f t="shared" si="10"/>
        <v>0.17616390670999998</v>
      </c>
      <c r="Z52" s="989">
        <f t="shared" si="10"/>
        <v>0.158051</v>
      </c>
      <c r="AA52" s="990">
        <f t="shared" si="10"/>
        <v>2.5761544000000001E-2</v>
      </c>
      <c r="AB52" s="990">
        <f t="shared" si="10"/>
        <v>3.2116487200000002E-2</v>
      </c>
      <c r="AC52" s="990">
        <f t="shared" si="10"/>
        <v>3.0739872000000001E-2</v>
      </c>
      <c r="AD52" s="990">
        <f t="shared" si="10"/>
        <v>2.9874631999999998E-2</v>
      </c>
      <c r="AE52" s="990">
        <f t="shared" si="10"/>
        <v>2.7364528000000003E-2</v>
      </c>
      <c r="AF52" s="990">
        <f t="shared" si="10"/>
        <v>2.9323087999999997E-2</v>
      </c>
      <c r="AG52" s="990">
        <f t="shared" si="10"/>
        <v>2.8854272E-2</v>
      </c>
      <c r="AH52" s="990">
        <f t="shared" si="10"/>
        <v>2.7080239999999998E-2</v>
      </c>
      <c r="AI52" s="990">
        <f t="shared" si="10"/>
        <v>1.8672952E-2</v>
      </c>
    </row>
    <row r="53" spans="1:36" x14ac:dyDescent="0.4">
      <c r="A53" s="28" t="s">
        <v>1063</v>
      </c>
      <c r="B53" s="216"/>
      <c r="C53" s="216"/>
      <c r="D53" s="216"/>
      <c r="E53" s="216"/>
      <c r="F53" s="216"/>
      <c r="G53" s="216"/>
      <c r="H53" s="216"/>
      <c r="I53" s="217"/>
      <c r="J53" s="217"/>
      <c r="K53" s="217"/>
      <c r="L53" s="217"/>
      <c r="M53" s="217"/>
      <c r="N53" s="217"/>
      <c r="O53" s="217"/>
      <c r="P53" s="217"/>
      <c r="Q53" s="217"/>
      <c r="R53" s="217"/>
      <c r="S53" s="217"/>
      <c r="T53" s="217"/>
      <c r="U53" s="217"/>
      <c r="V53" s="28"/>
      <c r="W53" s="28"/>
      <c r="X53" s="28"/>
      <c r="Y53" s="28"/>
      <c r="Z53" s="28"/>
      <c r="AA53" s="28"/>
      <c r="AB53" s="28"/>
      <c r="AC53" s="28"/>
    </row>
    <row r="54" spans="1:36" ht="16.5" thickBot="1" x14ac:dyDescent="0.45">
      <c r="A54" s="28"/>
      <c r="B54" s="216"/>
      <c r="C54" s="216"/>
      <c r="D54" s="216"/>
      <c r="E54" s="216"/>
      <c r="F54" s="216"/>
      <c r="G54" s="216"/>
      <c r="H54" s="216"/>
      <c r="I54" s="217"/>
      <c r="J54" s="217"/>
      <c r="K54" s="217"/>
      <c r="L54" s="217"/>
      <c r="M54" s="217"/>
      <c r="N54" s="217"/>
      <c r="O54" s="217"/>
      <c r="P54" s="217"/>
      <c r="Q54" s="217"/>
      <c r="R54" s="217"/>
      <c r="S54" s="217"/>
      <c r="T54" s="217"/>
      <c r="U54" s="217"/>
      <c r="V54" s="28"/>
      <c r="W54" s="28"/>
      <c r="X54" s="28"/>
      <c r="Y54" s="28"/>
      <c r="Z54" s="28"/>
      <c r="AA54" s="28"/>
      <c r="AB54" s="28"/>
      <c r="AC54" s="28"/>
    </row>
    <row r="55" spans="1:36" ht="16.5" thickBot="1" x14ac:dyDescent="0.45">
      <c r="A55" s="764" t="s">
        <v>827</v>
      </c>
      <c r="B55" s="216"/>
      <c r="C55" s="216"/>
      <c r="D55" s="216"/>
      <c r="E55" s="216"/>
      <c r="F55" s="216"/>
      <c r="G55" s="216"/>
      <c r="H55" s="216"/>
      <c r="I55" s="217"/>
      <c r="J55" s="217"/>
      <c r="K55" s="217"/>
      <c r="L55" s="217"/>
      <c r="M55" s="217"/>
      <c r="N55" s="217"/>
      <c r="O55" s="217"/>
      <c r="P55" s="217"/>
      <c r="Q55" s="217"/>
      <c r="R55" s="217"/>
      <c r="S55" s="217"/>
      <c r="T55" s="217"/>
      <c r="U55" s="217"/>
      <c r="V55" s="28"/>
      <c r="W55" s="28"/>
      <c r="X55" s="28"/>
      <c r="Y55" s="28"/>
      <c r="Z55" s="28"/>
      <c r="AA55" s="28"/>
      <c r="AB55" s="28"/>
      <c r="AC55" s="28"/>
    </row>
    <row r="56" spans="1:36" x14ac:dyDescent="0.4">
      <c r="A56" s="108" t="s">
        <v>570</v>
      </c>
      <c r="B56" s="29"/>
      <c r="C56" s="29"/>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row>
    <row r="57" spans="1:36" s="28" customFormat="1" x14ac:dyDescent="0.4">
      <c r="A57" s="165" t="s">
        <v>829</v>
      </c>
      <c r="B57" s="987" t="s">
        <v>391</v>
      </c>
      <c r="C57" s="988" t="s">
        <v>392</v>
      </c>
      <c r="D57" s="988" t="s">
        <v>393</v>
      </c>
      <c r="E57" s="988" t="s">
        <v>394</v>
      </c>
      <c r="F57" s="988" t="s">
        <v>395</v>
      </c>
      <c r="G57" s="988" t="s">
        <v>396</v>
      </c>
      <c r="H57" s="988" t="s">
        <v>397</v>
      </c>
      <c r="I57" s="988" t="s">
        <v>398</v>
      </c>
      <c r="J57" s="988" t="s">
        <v>399</v>
      </c>
      <c r="K57" s="985" t="s">
        <v>400</v>
      </c>
      <c r="L57" s="985" t="s">
        <v>401</v>
      </c>
      <c r="M57" s="985" t="s">
        <v>402</v>
      </c>
      <c r="N57" s="985" t="s">
        <v>403</v>
      </c>
      <c r="O57" s="985" t="s">
        <v>404</v>
      </c>
      <c r="P57" s="985" t="s">
        <v>405</v>
      </c>
      <c r="Q57" s="985" t="s">
        <v>406</v>
      </c>
      <c r="R57" s="985" t="s">
        <v>407</v>
      </c>
      <c r="S57" s="985" t="s">
        <v>408</v>
      </c>
      <c r="T57" s="985" t="s">
        <v>409</v>
      </c>
      <c r="U57" s="985" t="s">
        <v>410</v>
      </c>
      <c r="V57" s="985" t="s">
        <v>411</v>
      </c>
      <c r="W57" s="985" t="s">
        <v>412</v>
      </c>
      <c r="X57" s="985" t="s">
        <v>413</v>
      </c>
      <c r="Y57" s="985" t="s">
        <v>414</v>
      </c>
      <c r="Z57" s="985" t="s">
        <v>415</v>
      </c>
      <c r="AA57" s="985" t="s">
        <v>416</v>
      </c>
      <c r="AB57" s="985" t="s">
        <v>417</v>
      </c>
      <c r="AC57" s="985" t="s">
        <v>418</v>
      </c>
      <c r="AD57" s="985" t="s">
        <v>419</v>
      </c>
      <c r="AE57" s="985" t="s">
        <v>420</v>
      </c>
      <c r="AF57" s="985" t="s">
        <v>421</v>
      </c>
      <c r="AG57" s="985" t="s">
        <v>422</v>
      </c>
      <c r="AH57" s="985" t="s">
        <v>423</v>
      </c>
      <c r="AI57" s="985" t="s">
        <v>424</v>
      </c>
      <c r="AJ57" s="3"/>
    </row>
    <row r="58" spans="1:36" ht="17" x14ac:dyDescent="0.45">
      <c r="A58" s="108" t="s">
        <v>1248</v>
      </c>
      <c r="B58" s="218">
        <v>892475.56301483978</v>
      </c>
      <c r="C58" s="219">
        <v>1044856.9327209948</v>
      </c>
      <c r="D58" s="219">
        <v>1054377.6902462656</v>
      </c>
      <c r="E58" s="219">
        <v>1204161.0415171448</v>
      </c>
      <c r="F58" s="219">
        <v>1252483.1832742891</v>
      </c>
      <c r="G58" s="219">
        <v>1235119.6553614726</v>
      </c>
      <c r="H58" s="219">
        <v>1405208.7838494706</v>
      </c>
      <c r="I58" s="219">
        <v>1414627.7495964726</v>
      </c>
      <c r="J58" s="219">
        <v>1474533.5043123588</v>
      </c>
      <c r="K58" s="219">
        <v>1516638.9476480698</v>
      </c>
      <c r="L58" s="219">
        <v>1652505.2240651883</v>
      </c>
      <c r="M58" s="219">
        <v>1736562.9939097434</v>
      </c>
      <c r="N58" s="219">
        <v>1733188.088099269</v>
      </c>
      <c r="O58" s="219">
        <v>1762652.4666561857</v>
      </c>
      <c r="P58" s="219">
        <v>1800645.1695362648</v>
      </c>
      <c r="Q58" s="219">
        <v>1923537.5455854833</v>
      </c>
      <c r="R58" s="219">
        <v>1914554.258988441</v>
      </c>
      <c r="S58" s="219">
        <v>1829930.1824896708</v>
      </c>
      <c r="T58" s="219">
        <v>2132447.3289620155</v>
      </c>
      <c r="U58" s="219">
        <v>2071562.8781302948</v>
      </c>
      <c r="V58" s="219">
        <v>2368931.5</v>
      </c>
      <c r="W58" s="219">
        <v>1070152.5</v>
      </c>
      <c r="X58" s="219">
        <v>1066015</v>
      </c>
      <c r="Y58" s="219">
        <v>1115786.8999999999</v>
      </c>
      <c r="Z58" s="219">
        <v>1150062.2</v>
      </c>
      <c r="AA58" s="219">
        <v>1155359.5</v>
      </c>
      <c r="AB58" s="219">
        <v>1171561.3999999999</v>
      </c>
      <c r="AC58" s="219">
        <v>1106227.6000000001</v>
      </c>
      <c r="AD58" s="219">
        <v>1101225.8</v>
      </c>
      <c r="AE58" s="220">
        <v>1024260.4</v>
      </c>
      <c r="AF58" s="220">
        <v>1106098.3999999999</v>
      </c>
      <c r="AG58" s="220">
        <v>1160617.2</v>
      </c>
      <c r="AH58" s="220">
        <v>1219560.8999999999</v>
      </c>
      <c r="AI58" s="220">
        <v>1169956</v>
      </c>
    </row>
    <row r="59" spans="1:36" ht="17" x14ac:dyDescent="0.45">
      <c r="A59" s="1383" t="s">
        <v>1249</v>
      </c>
      <c r="B59" s="221">
        <v>602822.79997096665</v>
      </c>
      <c r="C59" s="36">
        <v>702332.11501463328</v>
      </c>
      <c r="D59" s="36">
        <v>704512.44192148512</v>
      </c>
      <c r="E59" s="36">
        <v>807047.39706109243</v>
      </c>
      <c r="F59" s="36">
        <v>829743.03503516747</v>
      </c>
      <c r="G59" s="36">
        <v>823603.30618791434</v>
      </c>
      <c r="H59" s="36">
        <v>937168.1938034991</v>
      </c>
      <c r="I59" s="36">
        <v>954337.01598626934</v>
      </c>
      <c r="J59" s="36">
        <v>995338.52015985863</v>
      </c>
      <c r="K59" s="36">
        <v>1038398.4857090039</v>
      </c>
      <c r="L59" s="36">
        <v>1154246.3657812977</v>
      </c>
      <c r="M59" s="36">
        <v>1176357.1100614106</v>
      </c>
      <c r="N59" s="36">
        <v>1173526.2883761099</v>
      </c>
      <c r="O59" s="36">
        <v>1184815.2107819277</v>
      </c>
      <c r="P59" s="36">
        <v>1235047.5701806704</v>
      </c>
      <c r="Q59" s="36">
        <v>1332042.4692639038</v>
      </c>
      <c r="R59" s="36">
        <v>1310195.2557032367</v>
      </c>
      <c r="S59" s="36">
        <v>1226328.5532730974</v>
      </c>
      <c r="T59" s="36">
        <v>1435224.0654822916</v>
      </c>
      <c r="U59" s="36">
        <v>1343115.8698328671</v>
      </c>
      <c r="V59" s="3" t="s">
        <v>32</v>
      </c>
      <c r="W59" s="3" t="s">
        <v>32</v>
      </c>
      <c r="X59" s="3" t="s">
        <v>32</v>
      </c>
      <c r="Y59" s="3" t="s">
        <v>32</v>
      </c>
      <c r="Z59" s="3" t="s">
        <v>32</v>
      </c>
      <c r="AA59" s="3" t="s">
        <v>32</v>
      </c>
      <c r="AB59" s="3" t="s">
        <v>32</v>
      </c>
      <c r="AC59" s="3" t="s">
        <v>32</v>
      </c>
      <c r="AD59" s="3" t="s">
        <v>32</v>
      </c>
      <c r="AE59" s="3" t="s">
        <v>32</v>
      </c>
      <c r="AF59" s="3" t="s">
        <v>32</v>
      </c>
      <c r="AG59" s="3" t="s">
        <v>32</v>
      </c>
      <c r="AH59" s="3" t="s">
        <v>32</v>
      </c>
      <c r="AI59" s="3" t="s">
        <v>32</v>
      </c>
    </row>
    <row r="60" spans="1:36" ht="17" x14ac:dyDescent="0.45">
      <c r="A60" s="1383" t="s">
        <v>1250</v>
      </c>
      <c r="B60" s="221">
        <v>128461.31340306383</v>
      </c>
      <c r="C60" s="36">
        <v>148539.44170118895</v>
      </c>
      <c r="D60" s="36">
        <v>144399.20391281351</v>
      </c>
      <c r="E60" s="36">
        <v>160985.96028252269</v>
      </c>
      <c r="F60" s="36">
        <v>165332.48650843953</v>
      </c>
      <c r="G60" s="36">
        <v>146847.55438386428</v>
      </c>
      <c r="H60" s="36">
        <v>164801.2221837992</v>
      </c>
      <c r="I60" s="36">
        <v>159651.19792145971</v>
      </c>
      <c r="J60" s="36">
        <v>163827.34500940173</v>
      </c>
      <c r="K60" s="36">
        <v>159936.15448454008</v>
      </c>
      <c r="L60" s="36">
        <v>166744.05356431194</v>
      </c>
      <c r="M60" s="36">
        <v>190791.55931626959</v>
      </c>
      <c r="N60" s="36">
        <v>187886.24505124721</v>
      </c>
      <c r="O60" s="36">
        <v>192229.45127922422</v>
      </c>
      <c r="P60" s="36">
        <v>190242.2263290046</v>
      </c>
      <c r="Q60" s="36">
        <v>195781.47960080751</v>
      </c>
      <c r="R60" s="36">
        <v>194606.71672818129</v>
      </c>
      <c r="S60" s="36">
        <v>199516.75737439352</v>
      </c>
      <c r="T60" s="36">
        <v>225606.27663887755</v>
      </c>
      <c r="U60" s="36">
        <v>232647.70366344007</v>
      </c>
      <c r="V60" s="3" t="s">
        <v>32</v>
      </c>
      <c r="W60" s="3" t="s">
        <v>32</v>
      </c>
      <c r="X60" s="3" t="s">
        <v>32</v>
      </c>
      <c r="Y60" s="3" t="s">
        <v>32</v>
      </c>
      <c r="Z60" s="3" t="s">
        <v>32</v>
      </c>
      <c r="AA60" s="3" t="s">
        <v>32</v>
      </c>
      <c r="AB60" s="3" t="s">
        <v>32</v>
      </c>
      <c r="AC60" s="3" t="s">
        <v>32</v>
      </c>
      <c r="AD60" s="3" t="s">
        <v>32</v>
      </c>
      <c r="AE60" s="3" t="s">
        <v>32</v>
      </c>
      <c r="AF60" s="3" t="s">
        <v>32</v>
      </c>
      <c r="AG60" s="3" t="s">
        <v>32</v>
      </c>
      <c r="AH60" s="3" t="s">
        <v>32</v>
      </c>
      <c r="AI60" s="3" t="s">
        <v>32</v>
      </c>
    </row>
    <row r="61" spans="1:36" ht="17" x14ac:dyDescent="0.45">
      <c r="A61" s="1384" t="s">
        <v>1251</v>
      </c>
      <c r="B61" s="209">
        <v>161191.44964080927</v>
      </c>
      <c r="C61" s="210">
        <v>193985.37600517261</v>
      </c>
      <c r="D61" s="210">
        <v>205466.0444119671</v>
      </c>
      <c r="E61" s="210">
        <v>236127.68417352968</v>
      </c>
      <c r="F61" s="210">
        <v>257407.66173068219</v>
      </c>
      <c r="G61" s="210">
        <v>264668.79478969408</v>
      </c>
      <c r="H61" s="210">
        <v>303239.36786217213</v>
      </c>
      <c r="I61" s="210">
        <v>300639.53568874352</v>
      </c>
      <c r="J61" s="210">
        <v>315367.63914309838</v>
      </c>
      <c r="K61" s="210">
        <v>318304.3074545259</v>
      </c>
      <c r="L61" s="210">
        <v>331514.80471957871</v>
      </c>
      <c r="M61" s="210">
        <v>369414.32453206321</v>
      </c>
      <c r="N61" s="210">
        <v>371775.55467191181</v>
      </c>
      <c r="O61" s="210">
        <v>385607.80459503399</v>
      </c>
      <c r="P61" s="210">
        <v>375355.37302658992</v>
      </c>
      <c r="Q61" s="210">
        <v>395713.59672077216</v>
      </c>
      <c r="R61" s="210">
        <v>409752.28655702283</v>
      </c>
      <c r="S61" s="210">
        <v>404084.8718421798</v>
      </c>
      <c r="T61" s="210">
        <v>471616.98684084631</v>
      </c>
      <c r="U61" s="210">
        <v>495799.30463398754</v>
      </c>
      <c r="V61" s="521" t="s">
        <v>32</v>
      </c>
      <c r="W61" s="521" t="s">
        <v>32</v>
      </c>
      <c r="X61" s="521" t="s">
        <v>32</v>
      </c>
      <c r="Y61" s="521" t="s">
        <v>32</v>
      </c>
      <c r="Z61" s="521" t="s">
        <v>32</v>
      </c>
      <c r="AA61" s="521" t="s">
        <v>32</v>
      </c>
      <c r="AB61" s="521" t="s">
        <v>32</v>
      </c>
      <c r="AC61" s="521" t="s">
        <v>32</v>
      </c>
      <c r="AD61" s="521" t="s">
        <v>32</v>
      </c>
      <c r="AE61" s="521" t="s">
        <v>32</v>
      </c>
      <c r="AF61" s="521" t="s">
        <v>32</v>
      </c>
      <c r="AG61" s="521" t="s">
        <v>32</v>
      </c>
      <c r="AH61" s="521" t="s">
        <v>32</v>
      </c>
      <c r="AI61" s="521" t="s">
        <v>32</v>
      </c>
    </row>
    <row r="62" spans="1:36" ht="17" x14ac:dyDescent="0.45">
      <c r="A62" s="165" t="s">
        <v>1252</v>
      </c>
      <c r="B62" s="214">
        <v>1088.984561896003</v>
      </c>
      <c r="C62" s="215">
        <v>1145.2345516997029</v>
      </c>
      <c r="D62" s="215">
        <v>1177.5847595281032</v>
      </c>
      <c r="E62" s="215">
        <v>1251.8786538104034</v>
      </c>
      <c r="F62" s="215">
        <v>1309.6209625114036</v>
      </c>
      <c r="G62" s="215">
        <v>1278.4491876602635</v>
      </c>
      <c r="H62" s="215">
        <v>1352.3856511550036</v>
      </c>
      <c r="I62" s="215">
        <v>1329.8153484161737</v>
      </c>
      <c r="J62" s="215">
        <v>1359.9665404348136</v>
      </c>
      <c r="K62" s="215">
        <v>1340.4457391994936</v>
      </c>
      <c r="L62" s="215">
        <v>1397.7648462192838</v>
      </c>
      <c r="M62" s="215">
        <v>1420.5719241752538</v>
      </c>
      <c r="N62" s="215">
        <v>1390.5681496768639</v>
      </c>
      <c r="O62" s="215">
        <v>1409.2588768750836</v>
      </c>
      <c r="P62" s="215">
        <v>1393.2438910674937</v>
      </c>
      <c r="Q62" s="215">
        <v>1405.7167740577538</v>
      </c>
      <c r="R62" s="215">
        <v>1402.5207622187336</v>
      </c>
      <c r="S62" s="215">
        <v>1336.6750258276836</v>
      </c>
      <c r="T62" s="215">
        <v>1454.3155677642937</v>
      </c>
      <c r="U62" s="215">
        <v>1431.4926140753739</v>
      </c>
      <c r="V62" s="215">
        <v>22605</v>
      </c>
      <c r="W62" s="215">
        <v>22695</v>
      </c>
      <c r="X62" s="215">
        <v>23007.5</v>
      </c>
      <c r="Y62" s="215">
        <v>24841.25</v>
      </c>
      <c r="Z62" s="215">
        <v>24908.499999999996</v>
      </c>
      <c r="AA62" s="215">
        <v>24623.25</v>
      </c>
      <c r="AB62" s="215">
        <v>24382</v>
      </c>
      <c r="AC62" s="215">
        <v>24295.25</v>
      </c>
      <c r="AD62" s="215">
        <v>24464.75</v>
      </c>
      <c r="AE62" s="222">
        <v>23952.749999999996</v>
      </c>
      <c r="AF62" s="222">
        <v>22593.75</v>
      </c>
      <c r="AG62" s="222">
        <v>24180.249999999996</v>
      </c>
      <c r="AH62" s="222">
        <v>23847.750000000004</v>
      </c>
      <c r="AI62" s="222">
        <v>24105.5</v>
      </c>
    </row>
    <row r="63" spans="1:36" ht="17" x14ac:dyDescent="0.45">
      <c r="A63" s="165" t="s">
        <v>1253</v>
      </c>
      <c r="B63" s="214">
        <v>32451.739944500885</v>
      </c>
      <c r="C63" s="215">
        <v>34127.989640651154</v>
      </c>
      <c r="D63" s="215">
        <v>35092.02583393747</v>
      </c>
      <c r="E63" s="215">
        <v>37305.98388355002</v>
      </c>
      <c r="F63" s="215">
        <v>39026.704682839831</v>
      </c>
      <c r="G63" s="215">
        <v>38097.785792275856</v>
      </c>
      <c r="H63" s="215">
        <v>40301.092404419112</v>
      </c>
      <c r="I63" s="215">
        <v>39628.497382801972</v>
      </c>
      <c r="J63" s="215">
        <v>40527.002904957444</v>
      </c>
      <c r="K63" s="215">
        <v>39945.283028144906</v>
      </c>
      <c r="L63" s="215">
        <v>41653.39241733466</v>
      </c>
      <c r="M63" s="215">
        <v>42333.043340422555</v>
      </c>
      <c r="N63" s="215">
        <v>41438.930860370543</v>
      </c>
      <c r="O63" s="215">
        <v>41995.914530877497</v>
      </c>
      <c r="P63" s="215">
        <v>41518.667953811317</v>
      </c>
      <c r="Q63" s="215">
        <v>41890.359866921062</v>
      </c>
      <c r="R63" s="215">
        <v>41795.118714118267</v>
      </c>
      <c r="S63" s="215">
        <v>39832.915769664971</v>
      </c>
      <c r="T63" s="215">
        <v>43338.603919375957</v>
      </c>
      <c r="U63" s="215">
        <v>42658.479899446138</v>
      </c>
      <c r="V63" s="215">
        <v>35280.22</v>
      </c>
      <c r="W63" s="215">
        <v>35491.799999999996</v>
      </c>
      <c r="X63" s="215">
        <v>35491.800000000003</v>
      </c>
      <c r="Y63" s="215">
        <v>38854.134000000005</v>
      </c>
      <c r="Z63" s="215">
        <v>39023.398000000008</v>
      </c>
      <c r="AA63" s="215">
        <v>38522.758000000002</v>
      </c>
      <c r="AB63" s="215">
        <v>38146.384000000005</v>
      </c>
      <c r="AC63" s="215">
        <v>38010.198000000004</v>
      </c>
      <c r="AD63" s="215">
        <v>38286.443999999996</v>
      </c>
      <c r="AE63" s="222">
        <v>37474.393999999993</v>
      </c>
      <c r="AF63" s="222">
        <v>35348.462</v>
      </c>
      <c r="AG63" s="222">
        <v>37831.695999999996</v>
      </c>
      <c r="AH63" s="222">
        <v>37310.196000000004</v>
      </c>
      <c r="AI63" s="222">
        <v>37713.092000000004</v>
      </c>
    </row>
    <row r="64" spans="1:36" ht="17.5" thickBot="1" x14ac:dyDescent="0.5">
      <c r="A64" s="160" t="s">
        <v>1254</v>
      </c>
      <c r="B64" s="223">
        <v>926016.28752123669</v>
      </c>
      <c r="C64" s="224">
        <v>1080130.1569133454</v>
      </c>
      <c r="D64" s="224">
        <v>1090647.3008397312</v>
      </c>
      <c r="E64" s="224">
        <v>1242718.9040545051</v>
      </c>
      <c r="F64" s="224">
        <v>1292819.5089196404</v>
      </c>
      <c r="G64" s="224">
        <v>1274495.8903414088</v>
      </c>
      <c r="H64" s="224">
        <v>1446862.2619050446</v>
      </c>
      <c r="I64" s="224">
        <v>1455586.0623276907</v>
      </c>
      <c r="J64" s="224">
        <v>1516420.4737577511</v>
      </c>
      <c r="K64" s="224">
        <v>1557924.6764154141</v>
      </c>
      <c r="L64" s="224">
        <v>1695556.3813287423</v>
      </c>
      <c r="M64" s="224">
        <v>1780316.6091743412</v>
      </c>
      <c r="N64" s="224">
        <v>1776017.5871093164</v>
      </c>
      <c r="O64" s="224">
        <v>1806057.6400639382</v>
      </c>
      <c r="P64" s="224">
        <v>1843557.0813811438</v>
      </c>
      <c r="Q64" s="224">
        <v>1966833.6222264622</v>
      </c>
      <c r="R64" s="224">
        <v>1957751.898464778</v>
      </c>
      <c r="S64" s="224">
        <v>1871099.7732851636</v>
      </c>
      <c r="T64" s="224">
        <v>2177240.2484491561</v>
      </c>
      <c r="U64" s="224">
        <v>2115652.8506438164</v>
      </c>
      <c r="V64" s="225">
        <f t="shared" ref="V64:AI64" si="11">V58+V62+V63</f>
        <v>2426816.7200000002</v>
      </c>
      <c r="W64" s="225">
        <f t="shared" si="11"/>
        <v>1128339.3</v>
      </c>
      <c r="X64" s="225">
        <f t="shared" si="11"/>
        <v>1124514.3</v>
      </c>
      <c r="Y64" s="225">
        <f t="shared" si="11"/>
        <v>1179482.284</v>
      </c>
      <c r="Z64" s="225">
        <f t="shared" si="11"/>
        <v>1213994.098</v>
      </c>
      <c r="AA64" s="225">
        <f t="shared" si="11"/>
        <v>1218505.5079999999</v>
      </c>
      <c r="AB64" s="225">
        <f t="shared" si="11"/>
        <v>1234089.784</v>
      </c>
      <c r="AC64" s="225">
        <f t="shared" si="11"/>
        <v>1168533.0480000002</v>
      </c>
      <c r="AD64" s="225">
        <f t="shared" si="11"/>
        <v>1163976.9939999999</v>
      </c>
      <c r="AE64" s="225">
        <f t="shared" si="11"/>
        <v>1085687.544</v>
      </c>
      <c r="AF64" s="225">
        <f t="shared" si="11"/>
        <v>1164040.612</v>
      </c>
      <c r="AG64" s="225">
        <f t="shared" si="11"/>
        <v>1222629.1459999999</v>
      </c>
      <c r="AH64" s="225">
        <f t="shared" si="11"/>
        <v>1280718.8459999999</v>
      </c>
      <c r="AI64" s="225">
        <f t="shared" si="11"/>
        <v>1231774.5919999999</v>
      </c>
    </row>
    <row r="65" spans="1:36" ht="17.5" thickBot="1" x14ac:dyDescent="0.5">
      <c r="A65" s="1251" t="s">
        <v>1255</v>
      </c>
      <c r="B65" s="1252">
        <f t="shared" ref="B65:Q65" si="12">B64/1000000</f>
        <v>0.92601628752123666</v>
      </c>
      <c r="C65" s="1252">
        <f>C64/1000000</f>
        <v>1.0801301569133455</v>
      </c>
      <c r="D65" s="1252">
        <f t="shared" si="12"/>
        <v>1.0906473008397313</v>
      </c>
      <c r="E65" s="1252">
        <f t="shared" si="12"/>
        <v>1.242718904054505</v>
      </c>
      <c r="F65" s="1252">
        <f t="shared" si="12"/>
        <v>1.2928195089196404</v>
      </c>
      <c r="G65" s="1252">
        <f t="shared" si="12"/>
        <v>1.2744958903414088</v>
      </c>
      <c r="H65" s="1252">
        <f t="shared" si="12"/>
        <v>1.4468622619050446</v>
      </c>
      <c r="I65" s="1252">
        <f t="shared" si="12"/>
        <v>1.4555860623276906</v>
      </c>
      <c r="J65" s="1252">
        <f t="shared" si="12"/>
        <v>1.5164204737577511</v>
      </c>
      <c r="K65" s="1252">
        <f t="shared" si="12"/>
        <v>1.557924676415414</v>
      </c>
      <c r="L65" s="1252">
        <f t="shared" si="12"/>
        <v>1.6955563813287422</v>
      </c>
      <c r="M65" s="1252">
        <f t="shared" si="12"/>
        <v>1.7803166091743412</v>
      </c>
      <c r="N65" s="1252">
        <f t="shared" si="12"/>
        <v>1.7760175871093165</v>
      </c>
      <c r="O65" s="1252">
        <f t="shared" si="12"/>
        <v>1.8060576400639383</v>
      </c>
      <c r="P65" s="1252">
        <f t="shared" si="12"/>
        <v>1.8435570813811437</v>
      </c>
      <c r="Q65" s="1252">
        <f t="shared" si="12"/>
        <v>1.9668336222264622</v>
      </c>
      <c r="R65" s="1252">
        <f>R64/1000000</f>
        <v>1.9577518984647779</v>
      </c>
      <c r="S65" s="1252">
        <f>S64/1000000</f>
        <v>1.8710997732851635</v>
      </c>
      <c r="T65" s="1252">
        <f>T64/1000000</f>
        <v>2.1772402484491562</v>
      </c>
      <c r="U65" s="1252">
        <f>U64/1000000</f>
        <v>2.1156528506438166</v>
      </c>
      <c r="V65" s="1252">
        <f t="shared" ref="V65:AA65" si="13">V64/1000000</f>
        <v>2.4268167200000001</v>
      </c>
      <c r="W65" s="1252">
        <f t="shared" si="13"/>
        <v>1.1283393000000002</v>
      </c>
      <c r="X65" s="1252">
        <f t="shared" si="13"/>
        <v>1.1245143</v>
      </c>
      <c r="Y65" s="1252">
        <f t="shared" si="13"/>
        <v>1.1794822839999999</v>
      </c>
      <c r="Z65" s="1252">
        <f t="shared" si="13"/>
        <v>1.2139940979999999</v>
      </c>
      <c r="AA65" s="1252">
        <f t="shared" si="13"/>
        <v>1.218505508</v>
      </c>
      <c r="AB65" s="1252">
        <f t="shared" ref="AB65:AG65" si="14">AB64/1000000</f>
        <v>1.234089784</v>
      </c>
      <c r="AC65" s="1252">
        <f t="shared" si="14"/>
        <v>1.1685330480000002</v>
      </c>
      <c r="AD65" s="1252">
        <f t="shared" si="14"/>
        <v>1.163976994</v>
      </c>
      <c r="AE65" s="1252">
        <f t="shared" si="14"/>
        <v>1.085687544</v>
      </c>
      <c r="AF65" s="1252">
        <f t="shared" si="14"/>
        <v>1.164040612</v>
      </c>
      <c r="AG65" s="1252">
        <f t="shared" si="14"/>
        <v>1.2226291460000001</v>
      </c>
      <c r="AH65" s="1252">
        <f t="shared" ref="AH65:AI65" si="15">AH64/1000000</f>
        <v>1.2807188459999999</v>
      </c>
      <c r="AI65" s="1252">
        <f t="shared" si="15"/>
        <v>1.2317745919999998</v>
      </c>
    </row>
    <row r="66" spans="1:36" x14ac:dyDescent="0.4">
      <c r="A66" s="665" t="s">
        <v>1063</v>
      </c>
      <c r="B66" s="665"/>
      <c r="C66" s="665"/>
      <c r="D66" s="665"/>
      <c r="E66" s="665"/>
      <c r="F66" s="665"/>
      <c r="G66" s="665"/>
      <c r="H66" s="665"/>
      <c r="I66" s="665"/>
      <c r="J66" s="665"/>
      <c r="K66" s="665"/>
      <c r="L66" s="665"/>
      <c r="M66" s="665"/>
      <c r="N66" s="665"/>
      <c r="O66" s="665"/>
      <c r="P66" s="665"/>
      <c r="Q66" s="665"/>
      <c r="R66" s="665"/>
      <c r="S66" s="665"/>
      <c r="T66" s="1058"/>
      <c r="U66" s="665"/>
      <c r="V66" s="665"/>
      <c r="W66" s="665"/>
      <c r="X66" s="665"/>
      <c r="Y66" s="665"/>
      <c r="Z66" s="665"/>
      <c r="AA66" s="665"/>
      <c r="AB66" s="665"/>
      <c r="AC66" s="665"/>
      <c r="AD66" s="665"/>
      <c r="AE66" s="665"/>
      <c r="AF66" s="665"/>
      <c r="AG66" s="665"/>
      <c r="AH66" s="665"/>
      <c r="AI66" s="665"/>
    </row>
    <row r="67" spans="1:36" x14ac:dyDescent="0.4">
      <c r="T67" s="14"/>
    </row>
    <row r="68" spans="1:36" x14ac:dyDescent="0.4">
      <c r="A68" s="1403" t="s">
        <v>1296</v>
      </c>
      <c r="T68" s="14"/>
    </row>
    <row r="69" spans="1:36" x14ac:dyDescent="0.4">
      <c r="A69" s="1255" t="s">
        <v>836</v>
      </c>
      <c r="T69" s="14"/>
    </row>
    <row r="70" spans="1:36" x14ac:dyDescent="0.4">
      <c r="A70" s="739" t="s">
        <v>840</v>
      </c>
      <c r="T70" s="14"/>
    </row>
    <row r="71" spans="1:36" ht="16.5" thickBot="1" x14ac:dyDescent="0.45">
      <c r="A71" s="739"/>
      <c r="T71" s="14"/>
    </row>
    <row r="72" spans="1:36" ht="16.5" thickBot="1" x14ac:dyDescent="0.45">
      <c r="A72" s="1271" t="s">
        <v>830</v>
      </c>
      <c r="T72" s="14"/>
    </row>
    <row r="73" spans="1:36" x14ac:dyDescent="0.4">
      <c r="A73" s="108" t="s">
        <v>666</v>
      </c>
      <c r="B73" s="108"/>
      <c r="C73" s="108"/>
      <c r="D73" s="28"/>
      <c r="E73" s="28"/>
      <c r="F73" s="28"/>
      <c r="G73" s="28"/>
      <c r="H73" s="28"/>
      <c r="I73" s="28"/>
      <c r="J73" s="28"/>
      <c r="K73" s="28"/>
      <c r="L73" s="28"/>
      <c r="M73" s="28"/>
      <c r="N73" s="28"/>
      <c r="O73" s="28"/>
      <c r="P73" s="28"/>
      <c r="Q73" s="28"/>
      <c r="R73" s="28"/>
      <c r="S73" s="28"/>
      <c r="T73" s="28"/>
      <c r="U73" s="28"/>
      <c r="V73" s="28"/>
      <c r="W73" s="28"/>
      <c r="X73" s="28"/>
      <c r="Y73" s="28"/>
      <c r="Z73" s="28"/>
      <c r="AA73" s="28"/>
    </row>
    <row r="74" spans="1:36" s="28" customFormat="1" x14ac:dyDescent="0.4">
      <c r="A74" s="991" t="s">
        <v>690</v>
      </c>
      <c r="B74" s="987" t="s">
        <v>698</v>
      </c>
      <c r="C74" s="988" t="s">
        <v>392</v>
      </c>
      <c r="D74" s="988" t="s">
        <v>393</v>
      </c>
      <c r="E74" s="988" t="s">
        <v>394</v>
      </c>
      <c r="F74" s="988" t="s">
        <v>395</v>
      </c>
      <c r="G74" s="988" t="s">
        <v>396</v>
      </c>
      <c r="H74" s="988" t="s">
        <v>397</v>
      </c>
      <c r="I74" s="988" t="s">
        <v>398</v>
      </c>
      <c r="J74" s="988" t="s">
        <v>399</v>
      </c>
      <c r="K74" s="985" t="s">
        <v>400</v>
      </c>
      <c r="L74" s="985" t="s">
        <v>401</v>
      </c>
      <c r="M74" s="985" t="s">
        <v>402</v>
      </c>
      <c r="N74" s="985" t="s">
        <v>403</v>
      </c>
      <c r="O74" s="985" t="s">
        <v>404</v>
      </c>
      <c r="P74" s="985" t="s">
        <v>405</v>
      </c>
      <c r="Q74" s="985" t="s">
        <v>406</v>
      </c>
      <c r="R74" s="985" t="s">
        <v>407</v>
      </c>
      <c r="S74" s="985" t="s">
        <v>408</v>
      </c>
      <c r="T74" s="985" t="s">
        <v>409</v>
      </c>
      <c r="U74" s="985" t="s">
        <v>410</v>
      </c>
      <c r="V74" s="985" t="s">
        <v>411</v>
      </c>
      <c r="W74" s="985" t="s">
        <v>412</v>
      </c>
      <c r="X74" s="985" t="s">
        <v>413</v>
      </c>
      <c r="Y74" s="985" t="s">
        <v>414</v>
      </c>
      <c r="Z74" s="985" t="s">
        <v>415</v>
      </c>
      <c r="AA74" s="985" t="s">
        <v>416</v>
      </c>
      <c r="AB74" s="985" t="s">
        <v>417</v>
      </c>
      <c r="AC74" s="985" t="s">
        <v>418</v>
      </c>
      <c r="AD74" s="985" t="s">
        <v>419</v>
      </c>
      <c r="AE74" s="985" t="s">
        <v>420</v>
      </c>
      <c r="AF74" s="985" t="s">
        <v>421</v>
      </c>
      <c r="AG74" s="985" t="s">
        <v>422</v>
      </c>
      <c r="AH74" s="985" t="s">
        <v>423</v>
      </c>
      <c r="AI74" s="3"/>
      <c r="AJ74" s="3"/>
    </row>
    <row r="75" spans="1:36" ht="17" x14ac:dyDescent="0.45">
      <c r="A75" s="108" t="s">
        <v>1256</v>
      </c>
      <c r="B75" s="1085">
        <f>B102/$B$125</f>
        <v>106993.20172648883</v>
      </c>
      <c r="C75" s="219">
        <f t="shared" ref="C75:U75" si="16">C102/$B$124</f>
        <v>88201.069879999981</v>
      </c>
      <c r="D75" s="219">
        <f t="shared" si="16"/>
        <v>120453.22799999999</v>
      </c>
      <c r="E75" s="219">
        <f t="shared" si="16"/>
        <v>95014.871100000018</v>
      </c>
      <c r="F75" s="219">
        <f t="shared" si="16"/>
        <v>105564.53276</v>
      </c>
      <c r="G75" s="219">
        <f t="shared" si="16"/>
        <v>101738.25530400001</v>
      </c>
      <c r="H75" s="219">
        <f t="shared" si="16"/>
        <v>112804.49699999999</v>
      </c>
      <c r="I75" s="219">
        <f t="shared" si="16"/>
        <v>114191.3</v>
      </c>
      <c r="J75" s="219">
        <f t="shared" si="16"/>
        <v>39976.932000000001</v>
      </c>
      <c r="K75" s="219">
        <f t="shared" si="16"/>
        <v>18248.840000000004</v>
      </c>
      <c r="L75" s="219">
        <f t="shared" si="16"/>
        <v>15085.224</v>
      </c>
      <c r="M75" s="219">
        <f t="shared" si="16"/>
        <v>25590.129824561402</v>
      </c>
      <c r="N75" s="219">
        <f t="shared" si="16"/>
        <v>15393.085714285709</v>
      </c>
      <c r="O75" s="219">
        <f t="shared" si="16"/>
        <v>15435.490909090904</v>
      </c>
      <c r="P75" s="219">
        <f t="shared" si="16"/>
        <v>15287.072727272725</v>
      </c>
      <c r="Q75" s="219">
        <f t="shared" si="16"/>
        <v>15535.614285714282</v>
      </c>
      <c r="R75" s="219">
        <f t="shared" si="16"/>
        <v>49030.10753893519</v>
      </c>
      <c r="S75" s="219">
        <f t="shared" si="16"/>
        <v>55657.843025014583</v>
      </c>
      <c r="T75" s="219">
        <f t="shared" si="16"/>
        <v>54873.410381748894</v>
      </c>
      <c r="U75" s="219">
        <f t="shared" si="16"/>
        <v>60645.919701239633</v>
      </c>
      <c r="V75" s="219">
        <v>20858.900000000001</v>
      </c>
      <c r="W75" s="219">
        <v>22093</v>
      </c>
      <c r="X75" s="219">
        <v>24779</v>
      </c>
      <c r="Y75" s="219">
        <v>25643.8</v>
      </c>
      <c r="Z75" s="219">
        <v>26449.7</v>
      </c>
      <c r="AA75" s="219">
        <v>25488.2</v>
      </c>
      <c r="AB75" s="219">
        <v>29544</v>
      </c>
      <c r="AC75" s="219">
        <v>26555.200000000001</v>
      </c>
      <c r="AD75" s="219">
        <v>39489.4</v>
      </c>
      <c r="AE75" s="220">
        <v>18173.300000000003</v>
      </c>
      <c r="AF75" s="220">
        <v>15938.5</v>
      </c>
      <c r="AG75" s="220">
        <v>27116.9</v>
      </c>
      <c r="AH75" s="220">
        <v>6436.2</v>
      </c>
    </row>
    <row r="76" spans="1:36" ht="17" x14ac:dyDescent="0.45">
      <c r="A76" s="108" t="s">
        <v>1252</v>
      </c>
      <c r="B76" s="1085">
        <f>B104/$B$125</f>
        <v>2200.7099093330576</v>
      </c>
      <c r="C76" s="219">
        <f t="shared" ref="C76:U76" si="17">C104/$B$124</f>
        <v>2222.7391999999995</v>
      </c>
      <c r="D76" s="219">
        <f t="shared" si="17"/>
        <v>2951.2</v>
      </c>
      <c r="E76" s="219">
        <f t="shared" si="17"/>
        <v>2327.9399999999996</v>
      </c>
      <c r="F76" s="219">
        <f t="shared" si="17"/>
        <v>2516.5120000000002</v>
      </c>
      <c r="G76" s="219">
        <f t="shared" si="17"/>
        <v>2361.4752000000003</v>
      </c>
      <c r="H76" s="219">
        <f t="shared" si="17"/>
        <v>2551.1999999999998</v>
      </c>
      <c r="I76" s="219">
        <f t="shared" si="17"/>
        <v>2517.9999999999995</v>
      </c>
      <c r="J76" s="219">
        <f t="shared" si="17"/>
        <v>881.51999999999987</v>
      </c>
      <c r="K76" s="219">
        <f t="shared" si="17"/>
        <v>402.40000000000003</v>
      </c>
      <c r="L76" s="219">
        <f t="shared" si="17"/>
        <v>316.8</v>
      </c>
      <c r="M76" s="219">
        <f t="shared" si="17"/>
        <v>524.91228070175441</v>
      </c>
      <c r="N76" s="219">
        <f t="shared" si="17"/>
        <v>308.5714285714285</v>
      </c>
      <c r="O76" s="219">
        <f t="shared" si="17"/>
        <v>302.5454545454545</v>
      </c>
      <c r="P76" s="219">
        <f t="shared" si="17"/>
        <v>299.63636363636357</v>
      </c>
      <c r="Q76" s="219">
        <f t="shared" si="17"/>
        <v>311.42857142857127</v>
      </c>
      <c r="R76" s="219">
        <f t="shared" si="17"/>
        <v>982.85960343051988</v>
      </c>
      <c r="S76" s="219">
        <f t="shared" si="17"/>
        <v>1115.718130319864</v>
      </c>
      <c r="T76" s="219">
        <f t="shared" si="17"/>
        <v>1099.9992095413354</v>
      </c>
      <c r="U76" s="219">
        <f t="shared" si="17"/>
        <v>1215.714396482819</v>
      </c>
      <c r="V76" s="219">
        <v>891.0200000000001</v>
      </c>
      <c r="W76" s="219">
        <v>894</v>
      </c>
      <c r="X76" s="219">
        <v>894</v>
      </c>
      <c r="Y76" s="219">
        <v>894</v>
      </c>
      <c r="Z76" s="219">
        <v>842.14800000000002</v>
      </c>
      <c r="AA76" s="219">
        <v>856.75</v>
      </c>
      <c r="AB76" s="219">
        <v>885.35800000000006</v>
      </c>
      <c r="AC76" s="219">
        <v>893.1</v>
      </c>
      <c r="AD76" s="219">
        <v>893.40400000000011</v>
      </c>
      <c r="AE76" s="220">
        <v>822.18200000000002</v>
      </c>
      <c r="AF76" s="220">
        <v>709.5379999999999</v>
      </c>
      <c r="AG76" s="220">
        <v>668.1</v>
      </c>
      <c r="AH76" s="220">
        <v>201.74600000000001</v>
      </c>
    </row>
    <row r="77" spans="1:36" ht="17" x14ac:dyDescent="0.45">
      <c r="A77" s="1256" t="s">
        <v>1253</v>
      </c>
      <c r="B77" s="1086">
        <f>B106/$B$125</f>
        <v>3497.6616159000068</v>
      </c>
      <c r="C77" s="215">
        <f t="shared" ref="C77:U77" si="18">C106/$B$124</f>
        <v>3477.4754783999992</v>
      </c>
      <c r="D77" s="215">
        <f t="shared" si="18"/>
        <v>4617.152399999999</v>
      </c>
      <c r="E77" s="215">
        <f t="shared" si="18"/>
        <v>3642.0621299999993</v>
      </c>
      <c r="F77" s="215">
        <f t="shared" si="18"/>
        <v>3937.0830239999987</v>
      </c>
      <c r="G77" s="215">
        <f t="shared" si="18"/>
        <v>3694.5279503999986</v>
      </c>
      <c r="H77" s="215">
        <f t="shared" si="18"/>
        <v>3991.3523999999989</v>
      </c>
      <c r="I77" s="215">
        <f t="shared" si="18"/>
        <v>3939.4109999999991</v>
      </c>
      <c r="J77" s="215">
        <f t="shared" si="18"/>
        <v>1379.1380399999996</v>
      </c>
      <c r="K77" s="215">
        <f t="shared" si="18"/>
        <v>629.55479999999977</v>
      </c>
      <c r="L77" s="215">
        <f t="shared" si="18"/>
        <v>495.63359999999989</v>
      </c>
      <c r="M77" s="215">
        <f t="shared" si="18"/>
        <v>821.22526315789457</v>
      </c>
      <c r="N77" s="215">
        <f t="shared" si="18"/>
        <v>482.75999999999982</v>
      </c>
      <c r="O77" s="215">
        <f t="shared" si="18"/>
        <v>473.33236363636343</v>
      </c>
      <c r="P77" s="215">
        <f t="shared" si="18"/>
        <v>468.78109090909078</v>
      </c>
      <c r="Q77" s="215">
        <f t="shared" si="18"/>
        <v>487.22999999999979</v>
      </c>
      <c r="R77" s="215">
        <f t="shared" si="18"/>
        <v>1537.6838495670481</v>
      </c>
      <c r="S77" s="215">
        <f t="shared" si="18"/>
        <v>1745.5410148854271</v>
      </c>
      <c r="T77" s="215">
        <f t="shared" si="18"/>
        <v>1720.9487633274186</v>
      </c>
      <c r="U77" s="215">
        <f t="shared" si="18"/>
        <v>1901.98517329737</v>
      </c>
      <c r="V77" s="215">
        <v>569.75</v>
      </c>
      <c r="W77" s="215">
        <v>577.5</v>
      </c>
      <c r="X77" s="215">
        <v>562.5</v>
      </c>
      <c r="Y77" s="215">
        <v>571.25</v>
      </c>
      <c r="Z77" s="215">
        <v>538.5</v>
      </c>
      <c r="AA77" s="215">
        <v>547.75</v>
      </c>
      <c r="AB77" s="215">
        <v>566</v>
      </c>
      <c r="AC77" s="215">
        <v>571</v>
      </c>
      <c r="AD77" s="215">
        <v>571</v>
      </c>
      <c r="AE77" s="222">
        <v>525.5</v>
      </c>
      <c r="AF77" s="222">
        <v>453.5</v>
      </c>
      <c r="AG77" s="220">
        <v>427</v>
      </c>
      <c r="AH77" s="220">
        <v>129</v>
      </c>
    </row>
    <row r="78" spans="1:36" ht="17.5" thickBot="1" x14ac:dyDescent="0.5">
      <c r="A78" s="160" t="s">
        <v>1254</v>
      </c>
      <c r="B78" s="1084">
        <f t="shared" ref="B78" si="19">B75+B76+B77</f>
        <v>112691.5732517219</v>
      </c>
      <c r="C78" s="224">
        <f t="shared" ref="C78:U78" si="20">C75+C76+C77</f>
        <v>93901.284558399973</v>
      </c>
      <c r="D78" s="224">
        <f t="shared" si="20"/>
        <v>128021.58039999998</v>
      </c>
      <c r="E78" s="224">
        <f t="shared" si="20"/>
        <v>100984.87323000003</v>
      </c>
      <c r="F78" s="224">
        <f t="shared" si="20"/>
        <v>112018.127784</v>
      </c>
      <c r="G78" s="224">
        <f t="shared" si="20"/>
        <v>107794.2584544</v>
      </c>
      <c r="H78" s="224">
        <f t="shared" si="20"/>
        <v>119347.04939999999</v>
      </c>
      <c r="I78" s="224">
        <f t="shared" si="20"/>
        <v>120648.711</v>
      </c>
      <c r="J78" s="224">
        <f t="shared" si="20"/>
        <v>42237.590039999995</v>
      </c>
      <c r="K78" s="224">
        <f t="shared" si="20"/>
        <v>19280.794800000003</v>
      </c>
      <c r="L78" s="224">
        <f t="shared" si="20"/>
        <v>15897.657599999999</v>
      </c>
      <c r="M78" s="224">
        <f t="shared" si="20"/>
        <v>26936.267368421053</v>
      </c>
      <c r="N78" s="224">
        <f t="shared" si="20"/>
        <v>16184.417142857139</v>
      </c>
      <c r="O78" s="224">
        <f t="shared" si="20"/>
        <v>16211.368727272722</v>
      </c>
      <c r="P78" s="224">
        <f t="shared" si="20"/>
        <v>16055.490181818181</v>
      </c>
      <c r="Q78" s="224">
        <f t="shared" si="20"/>
        <v>16334.272857142852</v>
      </c>
      <c r="R78" s="224">
        <f t="shared" si="20"/>
        <v>51550.650991932758</v>
      </c>
      <c r="S78" s="224">
        <f t="shared" si="20"/>
        <v>58519.102170219878</v>
      </c>
      <c r="T78" s="224">
        <f t="shared" si="20"/>
        <v>57694.358354617645</v>
      </c>
      <c r="U78" s="224">
        <f t="shared" si="20"/>
        <v>63763.619271019823</v>
      </c>
      <c r="V78" s="224">
        <f t="shared" ref="V78:AA78" si="21">V75+V77+V76</f>
        <v>22319.670000000002</v>
      </c>
      <c r="W78" s="224">
        <f t="shared" si="21"/>
        <v>23564.5</v>
      </c>
      <c r="X78" s="224">
        <f t="shared" si="21"/>
        <v>26235.5</v>
      </c>
      <c r="Y78" s="224">
        <f t="shared" si="21"/>
        <v>27109.05</v>
      </c>
      <c r="Z78" s="224">
        <f t="shared" si="21"/>
        <v>27830.348000000002</v>
      </c>
      <c r="AA78" s="224">
        <f t="shared" si="21"/>
        <v>26892.7</v>
      </c>
      <c r="AB78" s="224">
        <f t="shared" ref="AB78:AH78" si="22">AB75+AB77+AB76</f>
        <v>30995.358</v>
      </c>
      <c r="AC78" s="224">
        <f t="shared" si="22"/>
        <v>28019.3</v>
      </c>
      <c r="AD78" s="224">
        <f t="shared" si="22"/>
        <v>40953.804000000004</v>
      </c>
      <c r="AE78" s="224">
        <f t="shared" si="22"/>
        <v>19520.982000000004</v>
      </c>
      <c r="AF78" s="224">
        <f t="shared" si="22"/>
        <v>17101.538</v>
      </c>
      <c r="AG78" s="224">
        <f t="shared" si="22"/>
        <v>28212</v>
      </c>
      <c r="AH78" s="224">
        <f t="shared" si="22"/>
        <v>6766.9459999999999</v>
      </c>
    </row>
    <row r="79" spans="1:36" ht="17.5" thickBot="1" x14ac:dyDescent="0.5">
      <c r="A79" s="1251" t="s">
        <v>1257</v>
      </c>
      <c r="B79" s="1253">
        <f t="shared" ref="B79:U79" si="23">B78/1000000</f>
        <v>0.1126915732517219</v>
      </c>
      <c r="C79" s="1252">
        <f t="shared" si="23"/>
        <v>9.3901284558399967E-2</v>
      </c>
      <c r="D79" s="1252">
        <f t="shared" si="23"/>
        <v>0.12802158039999997</v>
      </c>
      <c r="E79" s="1252">
        <f t="shared" si="23"/>
        <v>0.10098487323000002</v>
      </c>
      <c r="F79" s="1252">
        <f t="shared" si="23"/>
        <v>0.112018127784</v>
      </c>
      <c r="G79" s="1252">
        <f t="shared" si="23"/>
        <v>0.10779425845439999</v>
      </c>
      <c r="H79" s="1252">
        <f t="shared" si="23"/>
        <v>0.11934704939999999</v>
      </c>
      <c r="I79" s="1252">
        <f t="shared" si="23"/>
        <v>0.12064871099999999</v>
      </c>
      <c r="J79" s="1252">
        <f t="shared" si="23"/>
        <v>4.2237590039999995E-2</v>
      </c>
      <c r="K79" s="1252">
        <f t="shared" si="23"/>
        <v>1.9280794800000004E-2</v>
      </c>
      <c r="L79" s="1252">
        <f t="shared" si="23"/>
        <v>1.58976576E-2</v>
      </c>
      <c r="M79" s="1252">
        <f t="shared" si="23"/>
        <v>2.6936267368421054E-2</v>
      </c>
      <c r="N79" s="1252">
        <f t="shared" si="23"/>
        <v>1.6184417142857139E-2</v>
      </c>
      <c r="O79" s="1252">
        <f t="shared" si="23"/>
        <v>1.6211368727272722E-2</v>
      </c>
      <c r="P79" s="1252">
        <f t="shared" si="23"/>
        <v>1.6055490181818181E-2</v>
      </c>
      <c r="Q79" s="1252">
        <f t="shared" si="23"/>
        <v>1.6334272857142854E-2</v>
      </c>
      <c r="R79" s="1252">
        <f t="shared" si="23"/>
        <v>5.1550650991932762E-2</v>
      </c>
      <c r="S79" s="1252">
        <f t="shared" si="23"/>
        <v>5.8519102170219876E-2</v>
      </c>
      <c r="T79" s="1252">
        <f t="shared" si="23"/>
        <v>5.7694358354617642E-2</v>
      </c>
      <c r="U79" s="1252">
        <f t="shared" si="23"/>
        <v>6.3763619271019825E-2</v>
      </c>
      <c r="V79" s="1252">
        <f t="shared" ref="V79:AA79" si="24">V78/1000000</f>
        <v>2.2319670000000003E-2</v>
      </c>
      <c r="W79" s="1252">
        <f t="shared" si="24"/>
        <v>2.3564499999999999E-2</v>
      </c>
      <c r="X79" s="1252">
        <f t="shared" si="24"/>
        <v>2.6235499999999998E-2</v>
      </c>
      <c r="Y79" s="1252">
        <f t="shared" si="24"/>
        <v>2.7109049999999999E-2</v>
      </c>
      <c r="Z79" s="1252">
        <f t="shared" si="24"/>
        <v>2.7830348000000001E-2</v>
      </c>
      <c r="AA79" s="1252">
        <f t="shared" si="24"/>
        <v>2.6892700000000002E-2</v>
      </c>
      <c r="AB79" s="1252">
        <f t="shared" ref="AB79:AG79" si="25">AB78/1000000</f>
        <v>3.0995358000000001E-2</v>
      </c>
      <c r="AC79" s="1252">
        <f t="shared" si="25"/>
        <v>2.80193E-2</v>
      </c>
      <c r="AD79" s="1252">
        <f t="shared" si="25"/>
        <v>4.0953804000000003E-2</v>
      </c>
      <c r="AE79" s="1252">
        <f t="shared" si="25"/>
        <v>1.9520982000000003E-2</v>
      </c>
      <c r="AF79" s="1252">
        <f t="shared" si="25"/>
        <v>1.7101537999999999E-2</v>
      </c>
      <c r="AG79" s="1252">
        <f t="shared" si="25"/>
        <v>2.8212000000000001E-2</v>
      </c>
      <c r="AH79" s="1252">
        <f t="shared" ref="AH79" si="26">AH78/1000000</f>
        <v>6.7669460000000002E-3</v>
      </c>
    </row>
    <row r="80" spans="1:36" x14ac:dyDescent="0.4">
      <c r="A80" s="3" t="s">
        <v>1063</v>
      </c>
      <c r="B80" s="226"/>
      <c r="C80" s="226"/>
      <c r="D80" s="226"/>
      <c r="E80" s="226"/>
      <c r="F80" s="226"/>
      <c r="G80" s="226"/>
      <c r="H80" s="226"/>
      <c r="I80" s="226"/>
      <c r="J80" s="226"/>
      <c r="K80" s="226"/>
      <c r="L80" s="226"/>
      <c r="M80" s="226"/>
      <c r="N80" s="226"/>
      <c r="O80" s="226"/>
      <c r="P80" s="226"/>
      <c r="Q80" s="226"/>
      <c r="R80" s="69"/>
      <c r="S80" s="28"/>
      <c r="T80" s="28"/>
      <c r="U80" s="28"/>
      <c r="V80" s="28"/>
      <c r="W80" s="28"/>
      <c r="X80" s="28"/>
      <c r="Y80" s="108"/>
      <c r="Z80" s="28"/>
      <c r="AA80" s="28"/>
    </row>
    <row r="81" spans="1:36" x14ac:dyDescent="0.4">
      <c r="B81" s="226"/>
      <c r="C81" s="226"/>
      <c r="D81" s="226"/>
      <c r="E81" s="226"/>
      <c r="F81" s="226"/>
      <c r="G81" s="226"/>
      <c r="H81" s="226"/>
      <c r="I81" s="226"/>
      <c r="J81" s="226"/>
      <c r="K81" s="226"/>
      <c r="L81" s="226"/>
      <c r="M81" s="226"/>
      <c r="N81" s="226"/>
      <c r="O81" s="226"/>
      <c r="P81" s="226"/>
      <c r="Q81" s="226"/>
      <c r="R81" s="69"/>
      <c r="S81" s="28"/>
      <c r="T81" s="28"/>
      <c r="U81" s="28"/>
      <c r="V81" s="28"/>
      <c r="W81" s="28"/>
      <c r="X81" s="28"/>
      <c r="Y81" s="108"/>
      <c r="Z81" s="28"/>
      <c r="AA81" s="28"/>
    </row>
    <row r="82" spans="1:36" x14ac:dyDescent="0.4">
      <c r="A82" s="1403" t="s">
        <v>1296</v>
      </c>
      <c r="B82" s="226"/>
      <c r="C82" s="226"/>
      <c r="D82" s="226"/>
      <c r="E82" s="226"/>
      <c r="F82" s="226"/>
      <c r="G82" s="226"/>
      <c r="H82" s="226"/>
      <c r="I82" s="226"/>
      <c r="J82" s="226"/>
      <c r="K82" s="226"/>
      <c r="L82" s="226"/>
      <c r="M82" s="226"/>
      <c r="N82" s="226"/>
      <c r="O82" s="226"/>
      <c r="P82" s="226"/>
      <c r="Q82" s="226"/>
      <c r="R82" s="69"/>
      <c r="S82" s="28"/>
      <c r="T82" s="28"/>
      <c r="U82" s="28"/>
      <c r="V82" s="28"/>
      <c r="W82" s="28"/>
      <c r="X82" s="28"/>
      <c r="Y82" s="108"/>
      <c r="Z82" s="28"/>
      <c r="AA82" s="28"/>
    </row>
    <row r="83" spans="1:36" x14ac:dyDescent="0.4">
      <c r="A83" s="1389" t="s">
        <v>1405</v>
      </c>
      <c r="B83" s="226"/>
      <c r="C83" s="226"/>
      <c r="D83" s="226"/>
      <c r="E83" s="226"/>
      <c r="F83" s="226"/>
      <c r="G83" s="226"/>
      <c r="H83" s="226"/>
      <c r="I83" s="226"/>
      <c r="J83" s="226"/>
      <c r="K83" s="226"/>
      <c r="L83" s="226"/>
      <c r="M83" s="226"/>
      <c r="N83" s="226"/>
      <c r="O83" s="226"/>
      <c r="P83" s="226"/>
      <c r="Q83" s="226"/>
      <c r="R83" s="69"/>
      <c r="S83" s="28"/>
      <c r="T83" s="28"/>
      <c r="U83" s="28"/>
      <c r="V83" s="28"/>
      <c r="W83" s="28"/>
      <c r="X83" s="28"/>
      <c r="Y83" s="108"/>
      <c r="Z83" s="28"/>
      <c r="AA83" s="28"/>
    </row>
    <row r="84" spans="1:36" x14ac:dyDescent="0.4">
      <c r="B84" s="226"/>
      <c r="D84" s="226"/>
      <c r="E84" s="226"/>
      <c r="F84" s="226"/>
      <c r="G84" s="226"/>
      <c r="H84" s="226"/>
      <c r="I84" s="226"/>
      <c r="J84" s="226"/>
      <c r="K84" s="226"/>
      <c r="L84" s="226"/>
      <c r="M84" s="226"/>
      <c r="N84" s="226"/>
      <c r="O84" s="226"/>
      <c r="P84" s="226"/>
      <c r="Q84" s="226"/>
      <c r="R84" s="69"/>
      <c r="S84" s="28"/>
      <c r="T84" s="28"/>
      <c r="U84" s="28"/>
      <c r="V84" s="28"/>
      <c r="W84" s="28"/>
      <c r="X84" s="28"/>
      <c r="Y84" s="108"/>
      <c r="Z84" s="28"/>
      <c r="AA84" s="28"/>
    </row>
    <row r="85" spans="1:36" x14ac:dyDescent="0.4">
      <c r="A85" s="88" t="s">
        <v>833</v>
      </c>
      <c r="B85" s="227"/>
      <c r="C85" s="227"/>
      <c r="D85" s="227"/>
      <c r="E85" s="227"/>
      <c r="F85" s="227"/>
      <c r="G85" s="227"/>
      <c r="H85" s="227"/>
      <c r="I85" s="227"/>
      <c r="J85" s="227"/>
      <c r="K85" s="228"/>
      <c r="M85" s="227"/>
      <c r="N85" s="227"/>
      <c r="O85" s="227"/>
      <c r="P85" s="227"/>
      <c r="Q85" s="227"/>
      <c r="R85" s="227"/>
      <c r="S85" s="227"/>
      <c r="T85" s="227"/>
      <c r="U85" s="227"/>
    </row>
    <row r="86" spans="1:36" s="28" customFormat="1" x14ac:dyDescent="0.4">
      <c r="A86" s="992" t="s">
        <v>839</v>
      </c>
      <c r="B86" s="993" t="s">
        <v>391</v>
      </c>
      <c r="C86" s="993" t="s">
        <v>392</v>
      </c>
      <c r="D86" s="993" t="s">
        <v>393</v>
      </c>
      <c r="E86" s="993" t="s">
        <v>394</v>
      </c>
      <c r="F86" s="993" t="s">
        <v>395</v>
      </c>
      <c r="G86" s="993" t="s">
        <v>396</v>
      </c>
      <c r="H86" s="993" t="s">
        <v>397</v>
      </c>
      <c r="I86" s="993" t="s">
        <v>398</v>
      </c>
      <c r="J86" s="993" t="s">
        <v>399</v>
      </c>
      <c r="K86" s="993" t="s">
        <v>400</v>
      </c>
      <c r="L86" s="993" t="s">
        <v>401</v>
      </c>
      <c r="M86" s="993" t="s">
        <v>402</v>
      </c>
      <c r="N86" s="993" t="s">
        <v>403</v>
      </c>
      <c r="O86" s="993" t="s">
        <v>404</v>
      </c>
      <c r="P86" s="993" t="s">
        <v>405</v>
      </c>
      <c r="Q86" s="994" t="s">
        <v>406</v>
      </c>
      <c r="R86" s="994" t="s">
        <v>407</v>
      </c>
      <c r="S86" s="994" t="s">
        <v>408</v>
      </c>
      <c r="T86" s="994" t="s">
        <v>409</v>
      </c>
      <c r="U86" s="994" t="s">
        <v>410</v>
      </c>
      <c r="AJ86" s="3"/>
    </row>
    <row r="87" spans="1:36" x14ac:dyDescent="0.4">
      <c r="A87" s="742" t="s">
        <v>837</v>
      </c>
      <c r="B87" s="234">
        <v>2983.0360000000001</v>
      </c>
      <c r="C87" s="234">
        <v>2778.424</v>
      </c>
      <c r="D87" s="234">
        <v>3689</v>
      </c>
      <c r="E87" s="234">
        <v>2909.9250000000002</v>
      </c>
      <c r="F87" s="234">
        <v>3145.64</v>
      </c>
      <c r="G87" s="234">
        <v>2951.8440000000001</v>
      </c>
      <c r="H87" s="234">
        <v>3189</v>
      </c>
      <c r="I87" s="234">
        <v>3147.5</v>
      </c>
      <c r="J87" s="234">
        <v>1101.9000000000001</v>
      </c>
      <c r="K87" s="743">
        <v>503</v>
      </c>
      <c r="L87" s="743">
        <v>396</v>
      </c>
      <c r="M87" s="234">
        <v>374</v>
      </c>
      <c r="N87" s="234">
        <v>216</v>
      </c>
      <c r="O87" s="234">
        <v>208</v>
      </c>
      <c r="P87" s="234">
        <v>206</v>
      </c>
      <c r="Q87" s="234">
        <v>218</v>
      </c>
      <c r="R87" s="234">
        <v>688</v>
      </c>
      <c r="S87" s="234">
        <v>781</v>
      </c>
      <c r="T87" s="234">
        <v>770</v>
      </c>
      <c r="U87" s="234">
        <v>851</v>
      </c>
    </row>
    <row r="88" spans="1:36" x14ac:dyDescent="0.4">
      <c r="A88" s="742" t="s">
        <v>215</v>
      </c>
      <c r="B88" s="749">
        <v>0.66</v>
      </c>
      <c r="C88" s="749">
        <v>0.65</v>
      </c>
      <c r="D88" s="749">
        <v>0.64</v>
      </c>
      <c r="E88" s="749">
        <v>0.64</v>
      </c>
      <c r="F88" s="749">
        <v>0.63</v>
      </c>
      <c r="G88" s="749">
        <v>0.62</v>
      </c>
      <c r="H88" s="749">
        <v>0.61</v>
      </c>
      <c r="I88" s="749">
        <v>0.6</v>
      </c>
      <c r="J88" s="749">
        <v>0.6</v>
      </c>
      <c r="K88" s="749">
        <v>0.6</v>
      </c>
      <c r="L88" s="749">
        <v>0.57999999999999996</v>
      </c>
      <c r="M88" s="744">
        <v>0.56999999999999995</v>
      </c>
      <c r="N88" s="744">
        <v>0.56000000000000005</v>
      </c>
      <c r="O88" s="744">
        <v>0.55000000000000004</v>
      </c>
      <c r="P88" s="744">
        <v>0.55000000000000004</v>
      </c>
      <c r="Q88" s="744">
        <v>0.56000000000000005</v>
      </c>
      <c r="R88" s="744">
        <v>0.55999859804891117</v>
      </c>
      <c r="S88" s="744">
        <v>0.55999807031985471</v>
      </c>
      <c r="T88" s="744">
        <v>0.56000040241560933</v>
      </c>
      <c r="U88" s="744">
        <v>0.55999994897619132</v>
      </c>
    </row>
    <row r="89" spans="1:36" ht="16.5" thickBot="1" x14ac:dyDescent="0.45">
      <c r="A89" s="747" t="s">
        <v>216</v>
      </c>
      <c r="B89" s="752">
        <v>0.34</v>
      </c>
      <c r="C89" s="752">
        <v>0.35</v>
      </c>
      <c r="D89" s="752">
        <v>0.36</v>
      </c>
      <c r="E89" s="752">
        <v>0.36</v>
      </c>
      <c r="F89" s="752">
        <v>0.37</v>
      </c>
      <c r="G89" s="752">
        <v>0.38</v>
      </c>
      <c r="H89" s="752">
        <v>0.39</v>
      </c>
      <c r="I89" s="752">
        <v>0.4</v>
      </c>
      <c r="J89" s="752">
        <v>0.4</v>
      </c>
      <c r="K89" s="752">
        <v>0.4</v>
      </c>
      <c r="L89" s="752">
        <v>0.42</v>
      </c>
      <c r="M89" s="752">
        <v>0.43</v>
      </c>
      <c r="N89" s="752">
        <v>0.44</v>
      </c>
      <c r="O89" s="752">
        <v>0.45</v>
      </c>
      <c r="P89" s="752">
        <v>0.45</v>
      </c>
      <c r="Q89" s="752">
        <v>0.44</v>
      </c>
      <c r="R89" s="752">
        <v>0.44000140195108878</v>
      </c>
      <c r="S89" s="752">
        <v>0.44000192968014534</v>
      </c>
      <c r="T89" s="752">
        <v>0.43999959758439061</v>
      </c>
      <c r="U89" s="752">
        <v>0.44000005102380868</v>
      </c>
    </row>
    <row r="90" spans="1:36" ht="17.5" thickBot="1" x14ac:dyDescent="0.5">
      <c r="A90" s="745" t="s">
        <v>1271</v>
      </c>
      <c r="B90" s="746">
        <f>B87*B88</f>
        <v>1968.8037600000002</v>
      </c>
      <c r="C90" s="746">
        <f t="shared" ref="C90:L90" si="27">C87*C88</f>
        <v>1805.9756</v>
      </c>
      <c r="D90" s="746">
        <f t="shared" si="27"/>
        <v>2360.96</v>
      </c>
      <c r="E90" s="746">
        <f t="shared" si="27"/>
        <v>1862.3520000000001</v>
      </c>
      <c r="F90" s="746">
        <f t="shared" si="27"/>
        <v>1981.7531999999999</v>
      </c>
      <c r="G90" s="746">
        <f t="shared" si="27"/>
        <v>1830.14328</v>
      </c>
      <c r="H90" s="746">
        <f t="shared" si="27"/>
        <v>1945.29</v>
      </c>
      <c r="I90" s="746">
        <f t="shared" si="27"/>
        <v>1888.5</v>
      </c>
      <c r="J90" s="746">
        <f t="shared" si="27"/>
        <v>661.14</v>
      </c>
      <c r="K90" s="746">
        <f t="shared" si="27"/>
        <v>301.8</v>
      </c>
      <c r="L90" s="746">
        <f t="shared" si="27"/>
        <v>229.67999999999998</v>
      </c>
      <c r="M90" s="746">
        <f>M87</f>
        <v>374</v>
      </c>
      <c r="N90" s="746">
        <f t="shared" ref="N90:U90" si="28">N87</f>
        <v>216</v>
      </c>
      <c r="O90" s="746">
        <f t="shared" si="28"/>
        <v>208</v>
      </c>
      <c r="P90" s="746">
        <f t="shared" si="28"/>
        <v>206</v>
      </c>
      <c r="Q90" s="746">
        <f t="shared" si="28"/>
        <v>218</v>
      </c>
      <c r="R90" s="746">
        <f t="shared" si="28"/>
        <v>688</v>
      </c>
      <c r="S90" s="746">
        <f t="shared" si="28"/>
        <v>781</v>
      </c>
      <c r="T90" s="746">
        <f t="shared" si="28"/>
        <v>770</v>
      </c>
      <c r="U90" s="746">
        <f t="shared" si="28"/>
        <v>851</v>
      </c>
    </row>
    <row r="91" spans="1:36" ht="17.5" thickBot="1" x14ac:dyDescent="0.5">
      <c r="A91" s="745" t="s">
        <v>1272</v>
      </c>
      <c r="B91" s="746">
        <f t="shared" ref="B91:L91" si="29">B87*B89</f>
        <v>1014.23224</v>
      </c>
      <c r="C91" s="746">
        <f t="shared" si="29"/>
        <v>972.44839999999988</v>
      </c>
      <c r="D91" s="746">
        <f t="shared" si="29"/>
        <v>1328.04</v>
      </c>
      <c r="E91" s="746">
        <f t="shared" si="29"/>
        <v>1047.5730000000001</v>
      </c>
      <c r="F91" s="746">
        <f t="shared" si="29"/>
        <v>1163.8868</v>
      </c>
      <c r="G91" s="746">
        <f t="shared" si="29"/>
        <v>1121.70072</v>
      </c>
      <c r="H91" s="746">
        <f t="shared" si="29"/>
        <v>1243.71</v>
      </c>
      <c r="I91" s="746">
        <f t="shared" si="29"/>
        <v>1259</v>
      </c>
      <c r="J91" s="746">
        <f t="shared" si="29"/>
        <v>440.76000000000005</v>
      </c>
      <c r="K91" s="746">
        <f t="shared" si="29"/>
        <v>201.20000000000002</v>
      </c>
      <c r="L91" s="746">
        <f t="shared" si="29"/>
        <v>166.32</v>
      </c>
      <c r="M91" s="746">
        <f t="shared" ref="M91:U91" si="30">M92*M89</f>
        <v>282.14035087719299</v>
      </c>
      <c r="N91" s="746">
        <f t="shared" si="30"/>
        <v>169.71428571428569</v>
      </c>
      <c r="O91" s="746">
        <f t="shared" si="30"/>
        <v>170.18181818181816</v>
      </c>
      <c r="P91" s="746">
        <f t="shared" si="30"/>
        <v>168.54545454545453</v>
      </c>
      <c r="Q91" s="746">
        <f t="shared" si="30"/>
        <v>171.28571428571425</v>
      </c>
      <c r="R91" s="746">
        <f t="shared" si="30"/>
        <v>540.57450428814991</v>
      </c>
      <c r="S91" s="746">
        <f t="shared" si="30"/>
        <v>613.64766289983004</v>
      </c>
      <c r="T91" s="746">
        <f t="shared" si="30"/>
        <v>604.99901192666914</v>
      </c>
      <c r="U91" s="746">
        <f t="shared" si="30"/>
        <v>668.64299560352401</v>
      </c>
    </row>
    <row r="92" spans="1:36" ht="17.5" thickBot="1" x14ac:dyDescent="0.5">
      <c r="A92" s="745" t="s">
        <v>1273</v>
      </c>
      <c r="B92" s="750" t="s">
        <v>32</v>
      </c>
      <c r="C92" s="750" t="s">
        <v>32</v>
      </c>
      <c r="D92" s="750" t="s">
        <v>32</v>
      </c>
      <c r="E92" s="750" t="s">
        <v>32</v>
      </c>
      <c r="F92" s="750" t="s">
        <v>32</v>
      </c>
      <c r="G92" s="750" t="s">
        <v>32</v>
      </c>
      <c r="H92" s="750" t="s">
        <v>32</v>
      </c>
      <c r="I92" s="750" t="s">
        <v>32</v>
      </c>
      <c r="J92" s="750" t="s">
        <v>32</v>
      </c>
      <c r="K92" s="750" t="s">
        <v>32</v>
      </c>
      <c r="L92" s="750" t="s">
        <v>32</v>
      </c>
      <c r="M92" s="751">
        <f t="shared" ref="M92:U92" si="31">M87/M88</f>
        <v>656.14035087719299</v>
      </c>
      <c r="N92" s="751">
        <f t="shared" si="31"/>
        <v>385.71428571428567</v>
      </c>
      <c r="O92" s="751">
        <f t="shared" si="31"/>
        <v>378.18181818181813</v>
      </c>
      <c r="P92" s="751">
        <f t="shared" si="31"/>
        <v>374.5454545454545</v>
      </c>
      <c r="Q92" s="751">
        <f t="shared" si="31"/>
        <v>389.28571428571422</v>
      </c>
      <c r="R92" s="751">
        <f t="shared" si="31"/>
        <v>1228.5745042881499</v>
      </c>
      <c r="S92" s="751">
        <f t="shared" si="31"/>
        <v>1394.64766289983</v>
      </c>
      <c r="T92" s="751">
        <f t="shared" si="31"/>
        <v>1374.9990119266693</v>
      </c>
      <c r="U92" s="751">
        <f t="shared" si="31"/>
        <v>1519.642995603524</v>
      </c>
    </row>
    <row r="93" spans="1:36" x14ac:dyDescent="0.4">
      <c r="A93" s="754" t="s">
        <v>1063</v>
      </c>
      <c r="B93" s="188"/>
      <c r="C93" s="188"/>
      <c r="D93" s="188"/>
      <c r="E93" s="188"/>
      <c r="F93" s="188"/>
      <c r="G93" s="188"/>
      <c r="H93" s="188"/>
      <c r="I93" s="188"/>
      <c r="J93" s="188"/>
      <c r="K93" s="188"/>
      <c r="L93" s="188"/>
      <c r="M93" s="753"/>
      <c r="N93" s="753"/>
      <c r="O93" s="753"/>
      <c r="P93" s="753"/>
      <c r="Q93" s="753"/>
      <c r="R93" s="753"/>
      <c r="S93" s="753"/>
      <c r="T93" s="753"/>
      <c r="U93" s="753"/>
    </row>
    <row r="94" spans="1:36" x14ac:dyDescent="0.4">
      <c r="A94" s="754"/>
      <c r="B94" s="188"/>
      <c r="C94" s="188"/>
      <c r="D94" s="188"/>
      <c r="E94" s="188"/>
      <c r="F94" s="188"/>
      <c r="G94" s="188"/>
      <c r="H94" s="188"/>
      <c r="I94" s="188"/>
      <c r="J94" s="188"/>
      <c r="K94" s="188"/>
      <c r="L94" s="188"/>
      <c r="M94" s="753"/>
      <c r="N94" s="753"/>
      <c r="O94" s="753"/>
      <c r="P94" s="753"/>
      <c r="Q94" s="753"/>
      <c r="R94" s="753"/>
      <c r="S94" s="753"/>
      <c r="T94" s="753"/>
      <c r="U94" s="753"/>
    </row>
    <row r="95" spans="1:36" x14ac:dyDescent="0.4">
      <c r="A95" s="196" t="s">
        <v>893</v>
      </c>
      <c r="B95" s="188"/>
      <c r="C95" s="188"/>
      <c r="D95" s="188"/>
      <c r="E95" s="188"/>
      <c r="F95" s="188"/>
      <c r="G95" s="188"/>
      <c r="H95" s="188"/>
      <c r="I95" s="188"/>
      <c r="J95" s="188"/>
      <c r="K95" s="188"/>
      <c r="L95" s="188"/>
      <c r="M95" s="188"/>
      <c r="N95" s="188"/>
      <c r="O95" s="188"/>
      <c r="P95" s="188"/>
      <c r="Q95" s="188"/>
      <c r="R95" s="188"/>
      <c r="S95" s="188"/>
      <c r="T95" s="188"/>
      <c r="U95" s="188"/>
    </row>
    <row r="96" spans="1:36" x14ac:dyDescent="0.4">
      <c r="A96" s="227" t="s">
        <v>838</v>
      </c>
      <c r="B96" s="188"/>
      <c r="C96" s="188"/>
      <c r="D96" s="188"/>
      <c r="E96" s="188"/>
      <c r="F96" s="188"/>
      <c r="G96" s="188"/>
      <c r="H96" s="188"/>
      <c r="I96" s="188"/>
      <c r="J96" s="188"/>
      <c r="K96" s="188"/>
      <c r="L96" s="188"/>
      <c r="M96" s="188"/>
      <c r="N96" s="188"/>
      <c r="O96" s="188"/>
      <c r="P96" s="188"/>
      <c r="Q96" s="188"/>
      <c r="R96" s="188"/>
      <c r="S96" s="188"/>
      <c r="T96" s="188"/>
      <c r="U96" s="188"/>
    </row>
    <row r="97" spans="1:21" x14ac:dyDescent="0.4">
      <c r="A97" s="1434" t="s">
        <v>1411</v>
      </c>
      <c r="B97" s="188"/>
      <c r="C97" s="188"/>
      <c r="D97" s="188"/>
      <c r="E97" s="188"/>
      <c r="F97" s="188"/>
      <c r="G97" s="188"/>
      <c r="H97" s="188"/>
      <c r="I97" s="188"/>
      <c r="J97" s="188"/>
      <c r="K97" s="188"/>
      <c r="L97" s="188"/>
      <c r="M97" s="188"/>
      <c r="N97" s="188"/>
      <c r="O97" s="188"/>
      <c r="P97" s="188"/>
      <c r="R97" s="188"/>
      <c r="S97" s="188"/>
      <c r="T97" s="188"/>
      <c r="U97" s="188"/>
    </row>
    <row r="98" spans="1:21" x14ac:dyDescent="0.4">
      <c r="A98" s="1389" t="s">
        <v>1407</v>
      </c>
      <c r="B98" s="188"/>
      <c r="C98" s="188"/>
      <c r="D98" s="188"/>
      <c r="E98" s="188"/>
      <c r="F98" s="188"/>
      <c r="G98" s="188"/>
      <c r="H98" s="188"/>
      <c r="I98" s="188"/>
      <c r="J98" s="188"/>
      <c r="K98" s="188"/>
      <c r="L98" s="188"/>
      <c r="M98" s="188"/>
      <c r="N98" s="188"/>
      <c r="O98" s="188"/>
      <c r="P98" s="188"/>
      <c r="Q98" s="188"/>
      <c r="R98" s="188"/>
      <c r="S98" s="188"/>
      <c r="T98" s="188"/>
      <c r="U98" s="188"/>
    </row>
    <row r="99" spans="1:21" x14ac:dyDescent="0.4">
      <c r="A99" s="229"/>
      <c r="B99" s="188"/>
      <c r="C99" s="188"/>
      <c r="D99" s="188"/>
      <c r="E99" s="188"/>
      <c r="F99" s="188"/>
      <c r="G99" s="188"/>
      <c r="H99" s="188"/>
      <c r="I99" s="188"/>
      <c r="J99" s="188"/>
      <c r="K99" s="188"/>
      <c r="L99" s="188"/>
      <c r="M99" s="188"/>
      <c r="N99" s="188"/>
      <c r="O99" s="188"/>
      <c r="P99" s="188"/>
      <c r="Q99" s="188"/>
      <c r="R99" s="188"/>
      <c r="S99" s="188"/>
      <c r="T99" s="188"/>
      <c r="U99" s="188"/>
    </row>
    <row r="100" spans="1:21" x14ac:dyDescent="0.4">
      <c r="A100" s="108" t="s">
        <v>834</v>
      </c>
      <c r="B100" s="188"/>
      <c r="C100" s="188"/>
      <c r="D100" s="188"/>
      <c r="E100" s="188"/>
      <c r="F100" s="188"/>
      <c r="G100" s="188"/>
      <c r="H100" s="188"/>
      <c r="I100" s="188"/>
      <c r="J100" s="188"/>
      <c r="K100" s="188"/>
      <c r="L100" s="188"/>
      <c r="M100" s="188"/>
      <c r="N100" s="188"/>
      <c r="O100" s="188"/>
      <c r="P100" s="188"/>
      <c r="Q100" s="188"/>
      <c r="R100" s="188"/>
      <c r="S100" s="188"/>
      <c r="T100" s="188"/>
      <c r="U100" s="188"/>
    </row>
    <row r="101" spans="1:21" s="28" customFormat="1" x14ac:dyDescent="0.4">
      <c r="A101" s="991" t="s">
        <v>690</v>
      </c>
      <c r="B101" s="987" t="s">
        <v>391</v>
      </c>
      <c r="C101" s="988" t="s">
        <v>392</v>
      </c>
      <c r="D101" s="988" t="s">
        <v>393</v>
      </c>
      <c r="E101" s="988" t="s">
        <v>394</v>
      </c>
      <c r="F101" s="988" t="s">
        <v>395</v>
      </c>
      <c r="G101" s="988" t="s">
        <v>396</v>
      </c>
      <c r="H101" s="988" t="s">
        <v>397</v>
      </c>
      <c r="I101" s="988" t="s">
        <v>398</v>
      </c>
      <c r="J101" s="988" t="s">
        <v>399</v>
      </c>
      <c r="K101" s="985" t="s">
        <v>400</v>
      </c>
      <c r="L101" s="985" t="s">
        <v>401</v>
      </c>
      <c r="M101" s="985" t="s">
        <v>402</v>
      </c>
      <c r="N101" s="985" t="s">
        <v>403</v>
      </c>
      <c r="O101" s="985" t="s">
        <v>404</v>
      </c>
      <c r="P101" s="985" t="s">
        <v>405</v>
      </c>
      <c r="Q101" s="985" t="s">
        <v>406</v>
      </c>
      <c r="R101" s="985" t="s">
        <v>407</v>
      </c>
      <c r="S101" s="985" t="s">
        <v>408</v>
      </c>
      <c r="T101" s="985" t="s">
        <v>409</v>
      </c>
      <c r="U101" s="985" t="s">
        <v>410</v>
      </c>
    </row>
    <row r="102" spans="1:21" ht="15" customHeight="1" x14ac:dyDescent="0.45">
      <c r="A102" s="232" t="s">
        <v>1258</v>
      </c>
      <c r="B102" s="234">
        <f>B91*1000*$C$116</f>
        <v>235920009.80690786</v>
      </c>
      <c r="C102" s="234">
        <f t="shared" ref="C102:U102" si="32">C91*1000*$C$114</f>
        <v>194450073.76564866</v>
      </c>
      <c r="D102" s="234">
        <f t="shared" si="32"/>
        <v>265553911.10081735</v>
      </c>
      <c r="E102" s="234">
        <f t="shared" si="32"/>
        <v>209471934.06344432</v>
      </c>
      <c r="F102" s="234">
        <f t="shared" si="32"/>
        <v>232729956.79242703</v>
      </c>
      <c r="G102" s="234">
        <f t="shared" si="32"/>
        <v>224294458.96253338</v>
      </c>
      <c r="H102" s="234">
        <f t="shared" si="32"/>
        <v>248691345.72392213</v>
      </c>
      <c r="I102" s="234">
        <f t="shared" si="32"/>
        <v>251748722.98720601</v>
      </c>
      <c r="J102" s="234">
        <f t="shared" si="32"/>
        <v>88134048.565401852</v>
      </c>
      <c r="K102" s="234">
        <f t="shared" si="32"/>
        <v>40231805.452760808</v>
      </c>
      <c r="L102" s="234">
        <f t="shared" si="32"/>
        <v>33257226.05816688</v>
      </c>
      <c r="M102" s="234">
        <f t="shared" si="32"/>
        <v>56416579.059964702</v>
      </c>
      <c r="N102" s="234">
        <f t="shared" si="32"/>
        <v>33935944.957313135</v>
      </c>
      <c r="O102" s="234">
        <f t="shared" si="32"/>
        <v>34029432.408986174</v>
      </c>
      <c r="P102" s="234">
        <f t="shared" si="32"/>
        <v>33702226.328130543</v>
      </c>
      <c r="Q102" s="234">
        <f t="shared" si="32"/>
        <v>34250166.669880852</v>
      </c>
      <c r="R102" s="234">
        <f t="shared" si="32"/>
        <v>108092884.14136906</v>
      </c>
      <c r="S102" s="234">
        <f t="shared" si="32"/>
        <v>122704539.71335638</v>
      </c>
      <c r="T102" s="234">
        <f t="shared" si="32"/>
        <v>120975161.76414645</v>
      </c>
      <c r="U102" s="234">
        <f t="shared" si="32"/>
        <v>133701366.38405654</v>
      </c>
    </row>
    <row r="103" spans="1:21" ht="17" x14ac:dyDescent="0.45">
      <c r="A103" s="235" t="s">
        <v>1259</v>
      </c>
      <c r="B103" s="234">
        <f>B91*1000*$D$117+126868.14480468</f>
        <v>194102.61400317569</v>
      </c>
      <c r="C103" s="234">
        <f t="shared" ref="C103:L103" si="33">C87*1000*$D$114</f>
        <v>196012.04474722815</v>
      </c>
      <c r="D103" s="234">
        <f t="shared" si="33"/>
        <v>260251.29104576001</v>
      </c>
      <c r="E103" s="234">
        <f t="shared" si="33"/>
        <v>205289.16728011199</v>
      </c>
      <c r="F103" s="234">
        <f t="shared" si="33"/>
        <v>221918.3711480576</v>
      </c>
      <c r="G103" s="234">
        <f t="shared" si="33"/>
        <v>208246.46569956097</v>
      </c>
      <c r="H103" s="234">
        <f t="shared" si="33"/>
        <v>224977.32912576001</v>
      </c>
      <c r="I103" s="234">
        <f t="shared" si="33"/>
        <v>222049.59028639999</v>
      </c>
      <c r="J103" s="234">
        <f t="shared" si="33"/>
        <v>77736.757279295998</v>
      </c>
      <c r="K103" s="234">
        <f t="shared" si="33"/>
        <v>35485.605691520002</v>
      </c>
      <c r="L103" s="234">
        <f t="shared" si="33"/>
        <v>27936.97784064</v>
      </c>
      <c r="M103" s="234">
        <f t="shared" ref="M103:U103" si="34">M92*1000*$D$114</f>
        <v>46289.339502035087</v>
      </c>
      <c r="N103" s="234">
        <f t="shared" si="34"/>
        <v>27211.342052571425</v>
      </c>
      <c r="O103" s="234">
        <f t="shared" si="34"/>
        <v>26679.942106763632</v>
      </c>
      <c r="P103" s="234">
        <f t="shared" si="34"/>
        <v>26423.404201890906</v>
      </c>
      <c r="Q103" s="234">
        <f t="shared" si="34"/>
        <v>27463.298923428563</v>
      </c>
      <c r="R103" s="234">
        <f t="shared" si="34"/>
        <v>86673.380560286154</v>
      </c>
      <c r="S103" s="234">
        <f t="shared" si="34"/>
        <v>98389.497105891205</v>
      </c>
      <c r="T103" s="234">
        <f t="shared" si="34"/>
        <v>97003.325573477909</v>
      </c>
      <c r="U103" s="234">
        <f t="shared" si="34"/>
        <v>107207.65831782686</v>
      </c>
    </row>
    <row r="104" spans="1:21" ht="17" x14ac:dyDescent="0.45">
      <c r="A104" s="235" t="s">
        <v>1432</v>
      </c>
      <c r="B104" s="748">
        <f t="shared" ref="B104:U104" si="35">B103*25</f>
        <v>4852565.3500793921</v>
      </c>
      <c r="C104" s="748">
        <f t="shared" si="35"/>
        <v>4900301.1186807035</v>
      </c>
      <c r="D104" s="748">
        <f t="shared" si="35"/>
        <v>6506282.2761439998</v>
      </c>
      <c r="E104" s="748">
        <f t="shared" si="35"/>
        <v>5132229.1820027996</v>
      </c>
      <c r="F104" s="748">
        <f t="shared" si="35"/>
        <v>5547959.2787014404</v>
      </c>
      <c r="G104" s="748">
        <f t="shared" si="35"/>
        <v>5206161.6424890244</v>
      </c>
      <c r="H104" s="748">
        <f t="shared" si="35"/>
        <v>5624433.2281440003</v>
      </c>
      <c r="I104" s="748">
        <f t="shared" si="35"/>
        <v>5551239.7571599996</v>
      </c>
      <c r="J104" s="748">
        <f t="shared" si="35"/>
        <v>1943418.9319823999</v>
      </c>
      <c r="K104" s="748">
        <f t="shared" si="35"/>
        <v>887140.14228800009</v>
      </c>
      <c r="L104" s="748">
        <f t="shared" si="35"/>
        <v>698424.446016</v>
      </c>
      <c r="M104" s="748">
        <f t="shared" si="35"/>
        <v>1157233.4875508773</v>
      </c>
      <c r="N104" s="748">
        <f t="shared" si="35"/>
        <v>680283.55131428561</v>
      </c>
      <c r="O104" s="748">
        <f t="shared" si="35"/>
        <v>666998.5526690908</v>
      </c>
      <c r="P104" s="748">
        <f t="shared" si="35"/>
        <v>660585.10504727263</v>
      </c>
      <c r="Q104" s="748">
        <f t="shared" si="35"/>
        <v>686582.47308571404</v>
      </c>
      <c r="R104" s="748">
        <f t="shared" si="35"/>
        <v>2166834.5140071539</v>
      </c>
      <c r="S104" s="748">
        <f t="shared" si="35"/>
        <v>2459737.42764728</v>
      </c>
      <c r="T104" s="748">
        <f t="shared" si="35"/>
        <v>2425083.1393369478</v>
      </c>
      <c r="U104" s="748">
        <f t="shared" si="35"/>
        <v>2680191.4579456714</v>
      </c>
    </row>
    <row r="105" spans="1:21" ht="17" x14ac:dyDescent="0.45">
      <c r="A105" s="235" t="s">
        <v>1260</v>
      </c>
      <c r="B105" s="234">
        <f>B91*1000*$E$117+16915.752640624</f>
        <v>25880.348533756762</v>
      </c>
      <c r="C105" s="748">
        <f t="shared" ref="C105:L105" si="36">C87*1000*$E$114</f>
        <v>25726.58087307369</v>
      </c>
      <c r="D105" s="748">
        <f t="shared" si="36"/>
        <v>34157.981949755995</v>
      </c>
      <c r="E105" s="748">
        <f t="shared" si="36"/>
        <v>26944.203205514696</v>
      </c>
      <c r="F105" s="748">
        <f t="shared" si="36"/>
        <v>29126.786213182553</v>
      </c>
      <c r="G105" s="748">
        <f t="shared" si="36"/>
        <v>27332.34862306737</v>
      </c>
      <c r="H105" s="748">
        <f t="shared" si="36"/>
        <v>29528.274447755994</v>
      </c>
      <c r="I105" s="748">
        <f t="shared" si="36"/>
        <v>29144.008725089996</v>
      </c>
      <c r="J105" s="748">
        <f t="shared" si="36"/>
        <v>10202.949392907598</v>
      </c>
      <c r="K105" s="748">
        <f t="shared" si="36"/>
        <v>4657.4857470119987</v>
      </c>
      <c r="L105" s="748">
        <f t="shared" si="36"/>
        <v>3666.7283415839993</v>
      </c>
      <c r="M105" s="748">
        <f t="shared" ref="M105:U105" si="37">M92*1000*$E$114</f>
        <v>6075.4758096421047</v>
      </c>
      <c r="N105" s="748">
        <f t="shared" si="37"/>
        <v>3571.488644399999</v>
      </c>
      <c r="O105" s="748">
        <f t="shared" si="37"/>
        <v>3501.7424015127262</v>
      </c>
      <c r="P105" s="748">
        <f t="shared" si="37"/>
        <v>3468.0718014981812</v>
      </c>
      <c r="Q105" s="748">
        <f t="shared" si="37"/>
        <v>3604.5579836999987</v>
      </c>
      <c r="R105" s="748">
        <f t="shared" si="37"/>
        <v>11375.881198537556</v>
      </c>
      <c r="S105" s="748">
        <f t="shared" si="37"/>
        <v>12913.62149514822</v>
      </c>
      <c r="T105" s="748">
        <f t="shared" si="37"/>
        <v>12731.686481518973</v>
      </c>
      <c r="U105" s="748">
        <f t="shared" si="37"/>
        <v>14071.005154214772</v>
      </c>
    </row>
    <row r="106" spans="1:21" ht="17" x14ac:dyDescent="0.45">
      <c r="A106" s="235" t="s">
        <v>1261</v>
      </c>
      <c r="B106" s="748">
        <f>B105*298</f>
        <v>7712343.8630595151</v>
      </c>
      <c r="C106" s="748">
        <f t="shared" ref="C106:U106" si="38">C105*298</f>
        <v>7666521.10017596</v>
      </c>
      <c r="D106" s="748">
        <f t="shared" si="38"/>
        <v>10179078.621027287</v>
      </c>
      <c r="E106" s="748">
        <f t="shared" si="38"/>
        <v>8029372.5552433794</v>
      </c>
      <c r="F106" s="748">
        <f t="shared" si="38"/>
        <v>8679782.2915284</v>
      </c>
      <c r="G106" s="748">
        <f t="shared" si="38"/>
        <v>8145039.8896740759</v>
      </c>
      <c r="H106" s="748">
        <f t="shared" si="38"/>
        <v>8799425.7854312863</v>
      </c>
      <c r="I106" s="748">
        <f t="shared" si="38"/>
        <v>8684914.6000768188</v>
      </c>
      <c r="J106" s="748">
        <f t="shared" si="38"/>
        <v>3040478.9190864642</v>
      </c>
      <c r="K106" s="748">
        <f t="shared" si="38"/>
        <v>1387930.7526095756</v>
      </c>
      <c r="L106" s="748">
        <f t="shared" si="38"/>
        <v>1092685.0457920318</v>
      </c>
      <c r="M106" s="748">
        <f t="shared" si="38"/>
        <v>1810491.7912733471</v>
      </c>
      <c r="N106" s="748">
        <f t="shared" si="38"/>
        <v>1064303.6160311997</v>
      </c>
      <c r="O106" s="748">
        <f t="shared" si="38"/>
        <v>1043519.2356507924</v>
      </c>
      <c r="P106" s="748">
        <f t="shared" si="38"/>
        <v>1033485.396846458</v>
      </c>
      <c r="Q106" s="748">
        <f t="shared" si="38"/>
        <v>1074158.2791425996</v>
      </c>
      <c r="R106" s="748">
        <f t="shared" si="38"/>
        <v>3390012.5971641918</v>
      </c>
      <c r="S106" s="748">
        <f t="shared" si="38"/>
        <v>3848259.2055541696</v>
      </c>
      <c r="T106" s="748">
        <f t="shared" si="38"/>
        <v>3794042.5714926538</v>
      </c>
      <c r="U106" s="748">
        <f t="shared" si="38"/>
        <v>4193159.5359560023</v>
      </c>
    </row>
    <row r="107" spans="1:21" x14ac:dyDescent="0.4">
      <c r="A107" s="754" t="s">
        <v>1063</v>
      </c>
      <c r="B107" s="237"/>
      <c r="C107" s="237"/>
      <c r="D107" s="237"/>
      <c r="E107" s="237"/>
      <c r="F107" s="237"/>
      <c r="G107" s="237"/>
      <c r="H107" s="237"/>
      <c r="I107" s="237"/>
      <c r="J107" s="237"/>
      <c r="K107" s="237"/>
      <c r="L107" s="237"/>
      <c r="M107" s="237"/>
      <c r="N107" s="237"/>
      <c r="O107" s="237"/>
      <c r="P107" s="237"/>
      <c r="Q107" s="237"/>
      <c r="R107" s="237"/>
      <c r="S107" s="237"/>
      <c r="T107" s="237"/>
      <c r="U107" s="237"/>
    </row>
    <row r="108" spans="1:21" x14ac:dyDescent="0.4">
      <c r="A108" s="754"/>
      <c r="B108" s="237"/>
      <c r="C108" s="237"/>
      <c r="D108" s="237"/>
      <c r="E108" s="237"/>
      <c r="F108" s="237"/>
      <c r="G108" s="237"/>
      <c r="H108" s="237"/>
      <c r="I108" s="237"/>
      <c r="J108" s="237"/>
      <c r="K108" s="237"/>
      <c r="L108" s="237"/>
      <c r="M108" s="237"/>
      <c r="N108" s="237"/>
      <c r="O108" s="237"/>
      <c r="P108" s="237"/>
      <c r="Q108" s="237"/>
      <c r="R108" s="237"/>
      <c r="S108" s="237"/>
      <c r="T108" s="237"/>
      <c r="U108" s="237"/>
    </row>
    <row r="109" spans="1:21" ht="17" x14ac:dyDescent="0.45">
      <c r="A109" s="1393" t="s">
        <v>1406</v>
      </c>
      <c r="B109" s="237"/>
      <c r="C109" s="237"/>
      <c r="D109" s="237"/>
      <c r="E109" s="237"/>
      <c r="F109" s="237"/>
      <c r="G109" s="237"/>
      <c r="H109" s="237"/>
      <c r="I109" s="237"/>
      <c r="J109" s="237"/>
      <c r="K109" s="237"/>
      <c r="L109" s="237"/>
      <c r="M109" s="237"/>
      <c r="N109" s="237"/>
      <c r="O109" s="237"/>
      <c r="P109" s="237"/>
      <c r="Q109" s="237"/>
      <c r="R109" s="237"/>
      <c r="S109" s="237"/>
      <c r="T109" s="237"/>
      <c r="U109" s="237"/>
    </row>
    <row r="110" spans="1:21" x14ac:dyDescent="0.4">
      <c r="A110" s="91"/>
      <c r="B110" s="237"/>
      <c r="C110" s="237"/>
      <c r="D110" s="237"/>
      <c r="E110" s="237"/>
      <c r="F110" s="237"/>
      <c r="G110" s="237"/>
      <c r="H110" s="237"/>
      <c r="I110" s="237"/>
      <c r="J110" s="237"/>
      <c r="K110" s="237"/>
      <c r="L110" s="237"/>
      <c r="M110" s="237"/>
      <c r="N110" s="237"/>
      <c r="O110" s="237"/>
      <c r="P110" s="237"/>
      <c r="Q110" s="237"/>
      <c r="R110" s="237"/>
      <c r="S110" s="237"/>
      <c r="T110" s="237"/>
      <c r="U110" s="237"/>
    </row>
    <row r="111" spans="1:21" s="28" customFormat="1" x14ac:dyDescent="0.4">
      <c r="A111" s="238" t="s">
        <v>580</v>
      </c>
      <c r="B111" s="237"/>
      <c r="C111" s="237"/>
      <c r="D111" s="237"/>
      <c r="E111" s="237"/>
    </row>
    <row r="112" spans="1:21" ht="17" x14ac:dyDescent="0.45">
      <c r="A112" s="54" t="s">
        <v>835</v>
      </c>
      <c r="B112" s="86" t="s">
        <v>136</v>
      </c>
      <c r="C112" s="1385" t="s">
        <v>1262</v>
      </c>
      <c r="D112" s="1385" t="s">
        <v>1042</v>
      </c>
      <c r="E112" s="1385" t="s">
        <v>1041</v>
      </c>
    </row>
    <row r="113" spans="1:8" x14ac:dyDescent="0.4">
      <c r="A113" s="741" t="s">
        <v>581</v>
      </c>
      <c r="B113" s="24" t="s">
        <v>575</v>
      </c>
      <c r="C113" s="24">
        <v>90.7</v>
      </c>
      <c r="D113" s="24">
        <v>3.2000000000000001E-2</v>
      </c>
      <c r="E113" s="24">
        <v>4.1999999999999997E-3</v>
      </c>
      <c r="F113" s="28"/>
      <c r="G113" s="28"/>
      <c r="H113" s="28"/>
    </row>
    <row r="114" spans="1:8" x14ac:dyDescent="0.4">
      <c r="A114" s="741" t="s">
        <v>581</v>
      </c>
      <c r="B114" s="24" t="s">
        <v>576</v>
      </c>
      <c r="C114" s="740">
        <f>C113*$B$126</f>
        <v>199.959271634</v>
      </c>
      <c r="D114" s="239">
        <f t="shared" ref="D114:E114" si="39">D113*$B$126</f>
        <v>7.0547923839999999E-2</v>
      </c>
      <c r="E114" s="239">
        <f t="shared" si="39"/>
        <v>9.2594150039999983E-3</v>
      </c>
      <c r="F114" s="28"/>
      <c r="G114" s="28"/>
      <c r="H114" s="28"/>
    </row>
    <row r="115" spans="1:8" x14ac:dyDescent="0.4">
      <c r="A115" s="741" t="s">
        <v>577</v>
      </c>
      <c r="B115" s="24" t="s">
        <v>575</v>
      </c>
      <c r="C115" s="239">
        <v>105.51</v>
      </c>
      <c r="D115" s="24" t="s">
        <v>32</v>
      </c>
      <c r="E115" s="24" t="s">
        <v>32</v>
      </c>
      <c r="F115" s="758"/>
      <c r="G115" s="758"/>
      <c r="H115" s="758"/>
    </row>
    <row r="116" spans="1:8" x14ac:dyDescent="0.4">
      <c r="A116" s="1340" t="s">
        <v>577</v>
      </c>
      <c r="B116" s="24" t="s">
        <v>576</v>
      </c>
      <c r="C116" s="740">
        <f>C115*$B$127</f>
        <v>232.60945619999998</v>
      </c>
      <c r="D116" s="24" t="s">
        <v>32</v>
      </c>
      <c r="E116" s="24" t="s">
        <v>32</v>
      </c>
      <c r="F116" s="28"/>
      <c r="G116" s="28"/>
      <c r="H116" s="28"/>
    </row>
    <row r="117" spans="1:8" x14ac:dyDescent="0.4">
      <c r="A117" s="756" t="s">
        <v>578</v>
      </c>
      <c r="B117" s="24" t="s">
        <v>576</v>
      </c>
      <c r="C117" s="24" t="s">
        <v>32</v>
      </c>
      <c r="D117" s="239">
        <v>6.6290999779789792E-2</v>
      </c>
      <c r="E117" s="240">
        <v>8.838799970638642E-3</v>
      </c>
      <c r="F117" s="28"/>
      <c r="G117" s="28"/>
      <c r="H117" s="28"/>
    </row>
    <row r="118" spans="1:8" x14ac:dyDescent="0.4">
      <c r="A118" s="756" t="s">
        <v>1063</v>
      </c>
      <c r="B118" s="24"/>
      <c r="C118" s="24"/>
      <c r="D118" s="239"/>
      <c r="E118" s="240"/>
      <c r="F118" s="28"/>
      <c r="G118" s="28"/>
      <c r="H118" s="28"/>
    </row>
    <row r="119" spans="1:8" x14ac:dyDescent="0.4">
      <c r="A119" s="756"/>
      <c r="B119" s="24"/>
      <c r="C119" s="24"/>
      <c r="D119" s="239"/>
      <c r="E119" s="240"/>
      <c r="F119" s="28"/>
      <c r="G119" s="28"/>
      <c r="H119" s="28"/>
    </row>
    <row r="120" spans="1:8" ht="17" x14ac:dyDescent="0.45">
      <c r="A120" s="1366" t="s">
        <v>1263</v>
      </c>
      <c r="B120" s="1269"/>
      <c r="C120" s="1269"/>
      <c r="D120" s="1269"/>
      <c r="E120" s="1269"/>
      <c r="F120" s="758"/>
      <c r="G120" s="758"/>
      <c r="H120" s="28"/>
    </row>
    <row r="121" spans="1:8" x14ac:dyDescent="0.4">
      <c r="A121" s="5" t="s">
        <v>881</v>
      </c>
      <c r="B121" s="1263"/>
      <c r="C121" s="1263"/>
      <c r="D121" s="1263"/>
      <c r="E121" s="1263"/>
      <c r="F121" s="758"/>
      <c r="G121" s="758"/>
      <c r="H121" s="28"/>
    </row>
    <row r="122" spans="1:8" x14ac:dyDescent="0.4">
      <c r="F122" s="758"/>
      <c r="G122" s="758"/>
      <c r="H122" s="28"/>
    </row>
    <row r="123" spans="1:8" x14ac:dyDescent="0.4">
      <c r="A123" s="3" t="s">
        <v>572</v>
      </c>
      <c r="B123" s="24" t="s">
        <v>573</v>
      </c>
      <c r="F123" s="28"/>
      <c r="G123" s="28"/>
      <c r="H123" s="28"/>
    </row>
    <row r="124" spans="1:8" x14ac:dyDescent="0.4">
      <c r="A124" s="1436" t="s">
        <v>1398</v>
      </c>
      <c r="B124" s="526">
        <v>2204.6226200000001</v>
      </c>
      <c r="F124" s="28"/>
      <c r="G124" s="28"/>
      <c r="H124" s="28"/>
    </row>
    <row r="125" spans="1:8" x14ac:dyDescent="0.4">
      <c r="A125" s="1436" t="s">
        <v>1399</v>
      </c>
      <c r="B125" s="526">
        <v>2205</v>
      </c>
      <c r="F125" s="28"/>
      <c r="G125" s="28"/>
      <c r="H125" s="28"/>
    </row>
    <row r="126" spans="1:8" x14ac:dyDescent="0.4">
      <c r="A126" s="526" t="s">
        <v>571</v>
      </c>
      <c r="B126" s="526">
        <v>2.2046226199999999</v>
      </c>
      <c r="F126" s="28"/>
      <c r="G126" s="28"/>
      <c r="H126" s="28"/>
    </row>
    <row r="127" spans="1:8" x14ac:dyDescent="0.4">
      <c r="A127" s="526" t="s">
        <v>697</v>
      </c>
      <c r="B127" s="526">
        <v>2.2046199999999998</v>
      </c>
      <c r="F127" s="28"/>
      <c r="G127" s="28"/>
      <c r="H127" s="28"/>
    </row>
    <row r="128" spans="1:8" x14ac:dyDescent="0.4">
      <c r="A128" s="3" t="s">
        <v>1063</v>
      </c>
      <c r="F128" s="28"/>
      <c r="G128" s="28"/>
      <c r="H128" s="28"/>
    </row>
    <row r="129" spans="1:8" x14ac:dyDescent="0.4">
      <c r="F129" s="28"/>
      <c r="G129" s="28"/>
      <c r="H129" s="28"/>
    </row>
    <row r="130" spans="1:8" x14ac:dyDescent="0.4">
      <c r="A130" s="395" t="s">
        <v>1064</v>
      </c>
    </row>
    <row r="132" spans="1:8" x14ac:dyDescent="0.4">
      <c r="B132" s="2"/>
      <c r="H132" s="12"/>
    </row>
    <row r="133" spans="1:8" x14ac:dyDescent="0.4">
      <c r="H133" s="12"/>
    </row>
  </sheetData>
  <phoneticPr fontId="34" type="noConversion"/>
  <hyperlinks>
    <hyperlink ref="A2" location="Contents!A1" display="Return to Contents tab" xr:uid="{B6B9C04A-7F57-4A3F-9C99-6C21A5A38DAA}"/>
    <hyperlink ref="A121" r:id="rId1" display="http://www.ipcc-nggip.iges.or.jp/public/2006gl/pdf/2_Volume2/V2_2_Ch2_Stationary_Combustion.pdf" xr:uid="{00000000-0004-0000-1200-000000000000}"/>
    <hyperlink ref="A3" location="'Solid Waste'!A5" display="Go to Data on Solid Waste Worksheet" xr:uid="{BE90522E-F55E-4B97-A265-3B5EE3C6DDE6}"/>
  </hyperlinks>
  <pageMargins left="0.7" right="0.7" top="0.75" bottom="0.75" header="0.3" footer="0.3"/>
  <pageSetup scale="20" orientation="landscape" r:id="rId2"/>
  <headerFooter>
    <oddFooter>&amp;L&amp;F &amp;A&amp;R Page &amp;P of &amp;N</oddFooter>
  </headerFooter>
  <tableParts count="10">
    <tablePart r:id="rId3"/>
    <tablePart r:id="rId4"/>
    <tablePart r:id="rId5"/>
    <tablePart r:id="rId6"/>
    <tablePart r:id="rId7"/>
    <tablePart r:id="rId8"/>
    <tablePart r:id="rId9"/>
    <tablePart r:id="rId10"/>
    <tablePart r:id="rId11"/>
    <tablePart r:id="rId1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EA174"/>
  <sheetViews>
    <sheetView zoomScaleNormal="100" zoomScaleSheetLayoutView="30" workbookViewId="0">
      <pane xSplit="1" topLeftCell="B1" activePane="topRight" state="frozen"/>
      <selection pane="topRight"/>
    </sheetView>
  </sheetViews>
  <sheetFormatPr defaultColWidth="8.81640625" defaultRowHeight="16" x14ac:dyDescent="0.4"/>
  <cols>
    <col min="1" max="1" width="75.1796875" style="3" customWidth="1"/>
    <col min="2" max="35" width="21.81640625" style="3" customWidth="1"/>
    <col min="36" max="113" width="22.54296875" style="3" customWidth="1"/>
    <col min="114" max="114" width="38.54296875" style="3" customWidth="1"/>
    <col min="115" max="118" width="22.54296875" style="3" customWidth="1"/>
    <col min="119" max="119" width="9.453125" style="3" customWidth="1"/>
    <col min="120" max="120" width="12.453125" style="3" customWidth="1"/>
    <col min="121" max="121" width="8.1796875" style="3" customWidth="1"/>
    <col min="122" max="122" width="12.453125" style="3" customWidth="1"/>
    <col min="123" max="124" width="8.81640625" style="3"/>
    <col min="125" max="125" width="11.453125" style="3" customWidth="1"/>
    <col min="126" max="126" width="11" style="3" customWidth="1"/>
    <col min="127" max="127" width="8.81640625" style="3"/>
    <col min="128" max="128" width="10" style="3" customWidth="1"/>
    <col min="129" max="129" width="14.1796875" style="3" customWidth="1"/>
    <col min="130" max="132" width="8.81640625" style="3"/>
    <col min="133" max="133" width="14.453125" style="3" customWidth="1"/>
    <col min="134" max="136" width="8.81640625" style="3"/>
    <col min="137" max="137" width="13" style="3" customWidth="1"/>
    <col min="138" max="138" width="11.81640625" style="3" customWidth="1"/>
    <col min="139" max="16384" width="8.81640625" style="3"/>
  </cols>
  <sheetData>
    <row r="1" spans="1:36" ht="18.75" customHeight="1" x14ac:dyDescent="0.5">
      <c r="A1" s="401" t="s">
        <v>766</v>
      </c>
      <c r="E1" s="28"/>
      <c r="Z1" s="4"/>
      <c r="AF1" s="12"/>
      <c r="AH1" s="12"/>
    </row>
    <row r="2" spans="1:36" x14ac:dyDescent="0.4">
      <c r="A2" s="1011" t="s">
        <v>730</v>
      </c>
      <c r="E2" s="28"/>
      <c r="Z2" s="4"/>
      <c r="AF2" s="12"/>
      <c r="AH2" s="12"/>
    </row>
    <row r="3" spans="1:36" x14ac:dyDescent="0.4">
      <c r="A3" s="1011" t="s">
        <v>907</v>
      </c>
      <c r="E3" s="28"/>
      <c r="Z3" s="4"/>
      <c r="AF3" s="12"/>
      <c r="AH3" s="12"/>
    </row>
    <row r="4" spans="1:36" x14ac:dyDescent="0.4">
      <c r="A4" s="1011" t="s">
        <v>1090</v>
      </c>
      <c r="E4" s="28"/>
      <c r="Z4" s="4"/>
      <c r="AF4" s="12"/>
      <c r="AH4" s="12"/>
    </row>
    <row r="5" spans="1:36" x14ac:dyDescent="0.4">
      <c r="A5" s="42"/>
      <c r="E5" s="28"/>
      <c r="Z5" s="4"/>
      <c r="AF5" s="12"/>
      <c r="AH5" s="12"/>
    </row>
    <row r="6" spans="1:36" ht="17" x14ac:dyDescent="0.45">
      <c r="A6" s="58" t="s">
        <v>1592</v>
      </c>
      <c r="B6" s="108"/>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88"/>
      <c r="AD6" s="108"/>
      <c r="AE6" s="108"/>
      <c r="AF6" s="108"/>
      <c r="AG6" s="108"/>
      <c r="AH6" s="108"/>
      <c r="AI6" s="108"/>
    </row>
    <row r="7" spans="1:36" x14ac:dyDescent="0.4">
      <c r="A7" s="1184" t="s">
        <v>770</v>
      </c>
      <c r="B7" s="952" t="s">
        <v>391</v>
      </c>
      <c r="C7" s="1259" t="s">
        <v>392</v>
      </c>
      <c r="D7" s="1259" t="s">
        <v>393</v>
      </c>
      <c r="E7" s="1259" t="s">
        <v>394</v>
      </c>
      <c r="F7" s="1259" t="s">
        <v>395</v>
      </c>
      <c r="G7" s="1259" t="s">
        <v>396</v>
      </c>
      <c r="H7" s="1259" t="s">
        <v>397</v>
      </c>
      <c r="I7" s="1259" t="s">
        <v>398</v>
      </c>
      <c r="J7" s="1259" t="s">
        <v>399</v>
      </c>
      <c r="K7" s="1259" t="s">
        <v>400</v>
      </c>
      <c r="L7" s="1259" t="s">
        <v>401</v>
      </c>
      <c r="M7" s="1259" t="s">
        <v>402</v>
      </c>
      <c r="N7" s="1259" t="s">
        <v>403</v>
      </c>
      <c r="O7" s="1259" t="s">
        <v>404</v>
      </c>
      <c r="P7" s="1259" t="s">
        <v>405</v>
      </c>
      <c r="Q7" s="1259" t="s">
        <v>406</v>
      </c>
      <c r="R7" s="1259" t="s">
        <v>407</v>
      </c>
      <c r="S7" s="1259" t="s">
        <v>408</v>
      </c>
      <c r="T7" s="1259" t="s">
        <v>409</v>
      </c>
      <c r="U7" s="1259" t="s">
        <v>410</v>
      </c>
      <c r="V7" s="1259" t="s">
        <v>411</v>
      </c>
      <c r="W7" s="1259" t="s">
        <v>412</v>
      </c>
      <c r="X7" s="1259" t="s">
        <v>413</v>
      </c>
      <c r="Y7" s="1259" t="s">
        <v>414</v>
      </c>
      <c r="Z7" s="1259" t="s">
        <v>415</v>
      </c>
      <c r="AA7" s="1259" t="s">
        <v>416</v>
      </c>
      <c r="AB7" s="1259" t="s">
        <v>417</v>
      </c>
      <c r="AC7" s="1259" t="s">
        <v>418</v>
      </c>
      <c r="AD7" s="1259" t="s">
        <v>419</v>
      </c>
      <c r="AE7" s="1259" t="s">
        <v>420</v>
      </c>
      <c r="AF7" s="1259" t="s">
        <v>421</v>
      </c>
      <c r="AG7" s="1259" t="s">
        <v>422</v>
      </c>
      <c r="AH7" s="1259" t="s">
        <v>423</v>
      </c>
      <c r="AI7" s="1259" t="s">
        <v>424</v>
      </c>
    </row>
    <row r="8" spans="1:36" ht="17" x14ac:dyDescent="0.45">
      <c r="A8" s="956" t="s">
        <v>1593</v>
      </c>
      <c r="B8" s="965" t="s">
        <v>32</v>
      </c>
      <c r="C8" s="965" t="s">
        <v>32</v>
      </c>
      <c r="D8" s="965" t="s">
        <v>32</v>
      </c>
      <c r="E8" s="965" t="s">
        <v>32</v>
      </c>
      <c r="F8" s="965" t="s">
        <v>32</v>
      </c>
      <c r="G8" s="965" t="s">
        <v>32</v>
      </c>
      <c r="H8" s="965" t="s">
        <v>32</v>
      </c>
      <c r="I8" s="965" t="s">
        <v>32</v>
      </c>
      <c r="J8" s="965" t="s">
        <v>32</v>
      </c>
      <c r="K8" s="965" t="s">
        <v>32</v>
      </c>
      <c r="L8" s="965" t="s">
        <v>32</v>
      </c>
      <c r="M8" s="966">
        <v>6019636255.4044304</v>
      </c>
      <c r="N8" s="966">
        <v>7425264122.5016584</v>
      </c>
      <c r="O8" s="967">
        <v>6035479002.3852959</v>
      </c>
      <c r="P8" s="967">
        <v>6308990710.8806849</v>
      </c>
      <c r="Q8" s="967">
        <v>7527617006.912323</v>
      </c>
      <c r="R8" s="967">
        <v>5629502740.4044991</v>
      </c>
      <c r="S8" s="967">
        <v>4909024187.6228027</v>
      </c>
      <c r="T8" s="967">
        <v>5982328148.7266302</v>
      </c>
      <c r="U8" s="967">
        <v>6048602369.5155001</v>
      </c>
      <c r="V8" s="967">
        <v>5384783426.2467756</v>
      </c>
      <c r="W8" s="967">
        <v>6090508004.0887423</v>
      </c>
      <c r="X8" s="967">
        <v>5686035994.3762074</v>
      </c>
      <c r="Y8" s="967">
        <v>5682422236.5851412</v>
      </c>
      <c r="Z8" s="967">
        <v>6299092816.3058968</v>
      </c>
      <c r="AA8" s="967">
        <v>6896092399.9059629</v>
      </c>
      <c r="AB8" s="967">
        <v>6103686633.3549852</v>
      </c>
      <c r="AC8" s="967">
        <v>4730443994.4230566</v>
      </c>
      <c r="AD8" s="966">
        <v>7285522648.0193958</v>
      </c>
      <c r="AE8" s="967">
        <v>7494960134.8201475</v>
      </c>
      <c r="AF8" s="967">
        <v>12972697668.271439</v>
      </c>
      <c r="AG8" s="967">
        <v>11269741284.308149</v>
      </c>
      <c r="AH8" s="967">
        <v>9110240943.5058784</v>
      </c>
      <c r="AI8" s="967">
        <v>8921718324.7120342</v>
      </c>
    </row>
    <row r="9" spans="1:36" s="42" customFormat="1" ht="17" x14ac:dyDescent="0.45">
      <c r="A9" s="949" t="s">
        <v>1594</v>
      </c>
      <c r="B9" s="968">
        <f>'Electricity Imports'!S32</f>
        <v>1.8858940212182027</v>
      </c>
      <c r="C9" s="968">
        <f>'Electricity Imports'!S33</f>
        <v>1.1724041159564047</v>
      </c>
      <c r="D9" s="968">
        <f>'Electricity Imports'!S34</f>
        <v>1.4752219821672543</v>
      </c>
      <c r="E9" s="968">
        <f>'Electricity Imports'!S35</f>
        <v>2.1606319969895238</v>
      </c>
      <c r="F9" s="968">
        <f>'Electricity Imports'!S36</f>
        <v>1.8606896976971012</v>
      </c>
      <c r="G9" s="968">
        <f>'Electricity Imports'!S37</f>
        <v>1.9424413128723124</v>
      </c>
      <c r="H9" s="968">
        <f>'Electricity Imports'!S38</f>
        <v>2.1100141227923412</v>
      </c>
      <c r="I9" s="968">
        <f>'Electricity Imports'!S39</f>
        <v>0.92218599359594056</v>
      </c>
      <c r="J9" s="968">
        <f>'Electricity Imports'!S40</f>
        <v>0.9110947061645297</v>
      </c>
      <c r="K9" s="968">
        <f>'Electricity Imports'!S41</f>
        <v>2.2206927454267458</v>
      </c>
      <c r="L9" s="968">
        <f>'Electricity Imports'!S42</f>
        <v>3.1177751602306079</v>
      </c>
      <c r="M9" s="969">
        <f t="shared" ref="M9:AI9" si="0">M8*0.90718474/2000/1000000</f>
        <v>2.7304610756268213</v>
      </c>
      <c r="N9" s="969">
        <f t="shared" si="0"/>
        <v>3.3680431512014977</v>
      </c>
      <c r="O9" s="970">
        <f t="shared" si="0"/>
        <v>2.7376472247771821</v>
      </c>
      <c r="P9" s="970">
        <f t="shared" si="0"/>
        <v>2.8617100488563549</v>
      </c>
      <c r="Q9" s="970">
        <f t="shared" si="0"/>
        <v>3.4144696386176672</v>
      </c>
      <c r="R9" s="970">
        <f t="shared" si="0"/>
        <v>2.5534994899415717</v>
      </c>
      <c r="S9" s="970">
        <f t="shared" si="0"/>
        <v>2.2266959156511517</v>
      </c>
      <c r="T9" s="970">
        <f t="shared" si="0"/>
        <v>2.7135384030986245</v>
      </c>
      <c r="U9" s="970">
        <f t="shared" si="0"/>
        <v>2.7435998839761511</v>
      </c>
      <c r="V9" s="970">
        <f t="shared" si="0"/>
        <v>2.4424966762479952</v>
      </c>
      <c r="W9" s="970">
        <f t="shared" si="0"/>
        <v>2.762607960078582</v>
      </c>
      <c r="X9" s="970">
        <f t="shared" si="0"/>
        <v>2.5791425425944108</v>
      </c>
      <c r="Y9" s="970">
        <f t="shared" si="0"/>
        <v>2.5775033696333551</v>
      </c>
      <c r="Z9" s="970">
        <f t="shared" si="0"/>
        <v>2.8572204393981666</v>
      </c>
      <c r="AA9" s="970">
        <f t="shared" si="0"/>
        <v>3.1280148954123335</v>
      </c>
      <c r="AB9" s="970">
        <f t="shared" si="0"/>
        <v>2.7685856857608093</v>
      </c>
      <c r="AC9" s="970">
        <f t="shared" si="0"/>
        <v>2.1456933025826213</v>
      </c>
      <c r="AD9" s="969">
        <f t="shared" si="0"/>
        <v>3.3046574846037937</v>
      </c>
      <c r="AE9" s="970">
        <f t="shared" si="0"/>
        <v>3.3996567306085903</v>
      </c>
      <c r="AF9" s="970">
        <f t="shared" si="0"/>
        <v>5.8843166806447158</v>
      </c>
      <c r="AG9" s="970">
        <f t="shared" si="0"/>
        <v>5.111868658436177</v>
      </c>
      <c r="AH9" s="970">
        <f t="shared" si="0"/>
        <v>4.1323357808358683</v>
      </c>
      <c r="AI9" s="970">
        <f t="shared" si="0"/>
        <v>4.0468233593785614</v>
      </c>
      <c r="AJ9" s="3"/>
    </row>
    <row r="10" spans="1:36" ht="17" x14ac:dyDescent="0.45">
      <c r="A10" s="953" t="s">
        <v>1595</v>
      </c>
      <c r="B10" s="965" t="s">
        <v>32</v>
      </c>
      <c r="C10" s="965" t="s">
        <v>32</v>
      </c>
      <c r="D10" s="965" t="s">
        <v>32</v>
      </c>
      <c r="E10" s="965" t="s">
        <v>32</v>
      </c>
      <c r="F10" s="965" t="s">
        <v>32</v>
      </c>
      <c r="G10" s="965" t="s">
        <v>32</v>
      </c>
      <c r="H10" s="965" t="s">
        <v>32</v>
      </c>
      <c r="I10" s="965" t="s">
        <v>32</v>
      </c>
      <c r="J10" s="965" t="s">
        <v>32</v>
      </c>
      <c r="K10" s="965" t="s">
        <v>32</v>
      </c>
      <c r="L10" s="965" t="s">
        <v>32</v>
      </c>
      <c r="M10" s="966">
        <v>1231492738.9993851</v>
      </c>
      <c r="N10" s="966">
        <v>1855631195.6046519</v>
      </c>
      <c r="O10" s="966">
        <v>885478527.69678962</v>
      </c>
      <c r="P10" s="967">
        <v>725375119.66801453</v>
      </c>
      <c r="Q10" s="967">
        <v>2092396769.877317</v>
      </c>
      <c r="R10" s="967">
        <v>1285780982.4348664</v>
      </c>
      <c r="S10" s="967">
        <v>2925005187.5809364</v>
      </c>
      <c r="T10" s="967">
        <v>3019651009.8810883</v>
      </c>
      <c r="U10" s="967">
        <v>2810866188.4575157</v>
      </c>
      <c r="V10" s="967">
        <v>2972490032.6250858</v>
      </c>
      <c r="W10" s="967">
        <v>2378686797.389287</v>
      </c>
      <c r="X10" s="967">
        <v>2446168555.6323271</v>
      </c>
      <c r="Y10" s="967">
        <v>2457407565.2214727</v>
      </c>
      <c r="Z10" s="967">
        <v>2105716660.3418074</v>
      </c>
      <c r="AA10" s="967">
        <v>2796727583.8665714</v>
      </c>
      <c r="AB10" s="967">
        <v>2095754633.2981851</v>
      </c>
      <c r="AC10" s="967">
        <v>-8225598.925214231</v>
      </c>
      <c r="AD10" s="966">
        <v>327900117.50129497</v>
      </c>
      <c r="AE10" s="967">
        <v>53523639.717792928</v>
      </c>
      <c r="AF10" s="967">
        <v>377144865.87450123</v>
      </c>
      <c r="AG10" s="967">
        <v>47410402.322061971</v>
      </c>
      <c r="AH10" s="967">
        <v>116367265.52136461</v>
      </c>
      <c r="AI10" s="967">
        <v>415403362.99327922</v>
      </c>
    </row>
    <row r="11" spans="1:36" s="42" customFormat="1" ht="17" x14ac:dyDescent="0.45">
      <c r="A11" s="950" t="s">
        <v>1596</v>
      </c>
      <c r="B11" s="1260" t="s">
        <v>32</v>
      </c>
      <c r="C11" s="1260" t="s">
        <v>32</v>
      </c>
      <c r="D11" s="1260" t="s">
        <v>32</v>
      </c>
      <c r="E11" s="1260" t="s">
        <v>32</v>
      </c>
      <c r="F11" s="1260" t="s">
        <v>32</v>
      </c>
      <c r="G11" s="1260" t="s">
        <v>32</v>
      </c>
      <c r="H11" s="1260" t="s">
        <v>32</v>
      </c>
      <c r="I11" s="1260" t="s">
        <v>32</v>
      </c>
      <c r="J11" s="1260" t="s">
        <v>32</v>
      </c>
      <c r="K11" s="1260" t="s">
        <v>32</v>
      </c>
      <c r="L11" s="1260" t="s">
        <v>32</v>
      </c>
      <c r="M11" s="969">
        <f t="shared" ref="M11:AI11" si="1">M10*0.90718474/2000/1000000</f>
        <v>0.55859571012052256</v>
      </c>
      <c r="N11" s="969">
        <f t="shared" si="1"/>
        <v>0.84170015186024771</v>
      </c>
      <c r="O11" s="970">
        <f t="shared" si="1"/>
        <v>0.40164630396209744</v>
      </c>
      <c r="P11" s="970">
        <f t="shared" si="1"/>
        <v>0.32902461966924834</v>
      </c>
      <c r="Q11" s="970">
        <f t="shared" si="1"/>
        <v>0.94909520982899687</v>
      </c>
      <c r="R11" s="970">
        <f t="shared" si="1"/>
        <v>0.58322044312355947</v>
      </c>
      <c r="S11" s="970">
        <f t="shared" si="1"/>
        <v>1.3267600352971316</v>
      </c>
      <c r="T11" s="970">
        <f t="shared" si="1"/>
        <v>1.369690658144856</v>
      </c>
      <c r="U11" s="970">
        <f t="shared" si="1"/>
        <v>1.2749874561753112</v>
      </c>
      <c r="V11" s="970">
        <f t="shared" si="1"/>
        <v>1.3482987986997899</v>
      </c>
      <c r="W11" s="970">
        <f t="shared" si="1"/>
        <v>1.0789541819155164</v>
      </c>
      <c r="X11" s="970">
        <f t="shared" si="1"/>
        <v>1.1095633925687443</v>
      </c>
      <c r="Y11" s="970">
        <f t="shared" si="1"/>
        <v>1.1146613215647374</v>
      </c>
      <c r="Z11" s="970">
        <f t="shared" si="1"/>
        <v>0.95513701051292543</v>
      </c>
      <c r="AA11" s="970">
        <f t="shared" si="1"/>
        <v>1.268574293010412</v>
      </c>
      <c r="AB11" s="970">
        <f t="shared" si="1"/>
        <v>0.95061831105620487</v>
      </c>
      <c r="AC11" s="971">
        <f t="shared" si="1"/>
        <v>-3.7310689111573763E-3</v>
      </c>
      <c r="AD11" s="969">
        <f t="shared" si="1"/>
        <v>0.14873299142069088</v>
      </c>
      <c r="AE11" s="970">
        <f t="shared" si="1"/>
        <v>2.4277914590619825E-2</v>
      </c>
      <c r="AF11" s="970">
        <f t="shared" si="1"/>
        <v>0.17107003354534717</v>
      </c>
      <c r="AG11" s="970">
        <f t="shared" si="1"/>
        <v>2.1504996751917593E-2</v>
      </c>
      <c r="AH11" s="970">
        <f t="shared" si="1"/>
        <v>5.2783303758255067E-2</v>
      </c>
      <c r="AI11" s="970">
        <f t="shared" si="1"/>
        <v>0.18842379592609182</v>
      </c>
      <c r="AJ11" s="3"/>
    </row>
    <row r="12" spans="1:36" x14ac:dyDescent="0.4">
      <c r="A12" s="954" t="s">
        <v>1108</v>
      </c>
      <c r="B12" s="972" t="s">
        <v>842</v>
      </c>
      <c r="C12" s="972" t="s">
        <v>842</v>
      </c>
      <c r="D12" s="972" t="s">
        <v>842</v>
      </c>
      <c r="E12" s="972" t="s">
        <v>842</v>
      </c>
      <c r="F12" s="972" t="s">
        <v>842</v>
      </c>
      <c r="G12" s="972" t="s">
        <v>842</v>
      </c>
      <c r="H12" s="972" t="s">
        <v>842</v>
      </c>
      <c r="I12" s="972" t="s">
        <v>842</v>
      </c>
      <c r="J12" s="972" t="s">
        <v>842</v>
      </c>
      <c r="K12" s="972" t="s">
        <v>842</v>
      </c>
      <c r="L12" s="972" t="s">
        <v>842</v>
      </c>
      <c r="M12" s="972" t="s">
        <v>643</v>
      </c>
      <c r="N12" s="972" t="s">
        <v>644</v>
      </c>
      <c r="O12" s="972" t="s">
        <v>645</v>
      </c>
      <c r="P12" s="972" t="s">
        <v>646</v>
      </c>
      <c r="Q12" s="972" t="s">
        <v>647</v>
      </c>
      <c r="R12" s="972" t="s">
        <v>648</v>
      </c>
      <c r="S12" s="972" t="s">
        <v>649</v>
      </c>
      <c r="T12" s="972" t="s">
        <v>650</v>
      </c>
      <c r="U12" s="972" t="s">
        <v>651</v>
      </c>
      <c r="V12" s="972" t="s">
        <v>652</v>
      </c>
      <c r="W12" s="972" t="s">
        <v>653</v>
      </c>
      <c r="X12" s="972" t="s">
        <v>654</v>
      </c>
      <c r="Y12" s="972" t="s">
        <v>655</v>
      </c>
      <c r="Z12" s="972" t="s">
        <v>656</v>
      </c>
      <c r="AA12" s="972" t="s">
        <v>657</v>
      </c>
      <c r="AB12" s="972" t="s">
        <v>658</v>
      </c>
      <c r="AC12" s="972" t="s">
        <v>659</v>
      </c>
      <c r="AD12" s="972" t="s">
        <v>660</v>
      </c>
      <c r="AE12" s="972" t="s">
        <v>661</v>
      </c>
      <c r="AF12" s="972" t="s">
        <v>662</v>
      </c>
      <c r="AG12" s="972" t="s">
        <v>663</v>
      </c>
      <c r="AH12" s="972" t="s">
        <v>664</v>
      </c>
      <c r="AI12" s="972" t="s">
        <v>665</v>
      </c>
    </row>
    <row r="13" spans="1:36" x14ac:dyDescent="0.4">
      <c r="A13" s="955" t="s">
        <v>642</v>
      </c>
      <c r="B13" s="965" t="s">
        <v>204</v>
      </c>
      <c r="C13" s="965" t="s">
        <v>204</v>
      </c>
      <c r="D13" s="965" t="s">
        <v>204</v>
      </c>
      <c r="E13" s="965" t="s">
        <v>204</v>
      </c>
      <c r="F13" s="965" t="s">
        <v>204</v>
      </c>
      <c r="G13" s="965" t="s">
        <v>204</v>
      </c>
      <c r="H13" s="965" t="s">
        <v>204</v>
      </c>
      <c r="I13" s="965" t="s">
        <v>204</v>
      </c>
      <c r="J13" s="965" t="s">
        <v>204</v>
      </c>
      <c r="K13" s="965" t="s">
        <v>204</v>
      </c>
      <c r="L13" s="965" t="s">
        <v>204</v>
      </c>
      <c r="M13" s="965" t="s">
        <v>641</v>
      </c>
      <c r="N13" s="965" t="s">
        <v>641</v>
      </c>
      <c r="O13" s="965" t="s">
        <v>204</v>
      </c>
      <c r="P13" s="965" t="s">
        <v>204</v>
      </c>
      <c r="Q13" s="965" t="s">
        <v>204</v>
      </c>
      <c r="R13" s="965" t="s">
        <v>204</v>
      </c>
      <c r="S13" s="965" t="s">
        <v>204</v>
      </c>
      <c r="T13" s="965" t="s">
        <v>204</v>
      </c>
      <c r="U13" s="965" t="s">
        <v>204</v>
      </c>
      <c r="V13" s="965" t="s">
        <v>204</v>
      </c>
      <c r="W13" s="965" t="s">
        <v>204</v>
      </c>
      <c r="X13" s="965" t="s">
        <v>204</v>
      </c>
      <c r="Y13" s="965" t="s">
        <v>204</v>
      </c>
      <c r="Z13" s="965" t="s">
        <v>204</v>
      </c>
      <c r="AA13" s="965" t="s">
        <v>204</v>
      </c>
      <c r="AB13" s="965" t="s">
        <v>204</v>
      </c>
      <c r="AC13" s="965" t="s">
        <v>204</v>
      </c>
      <c r="AD13" s="965" t="s">
        <v>204</v>
      </c>
      <c r="AE13" s="965" t="s">
        <v>204</v>
      </c>
      <c r="AF13" s="965" t="s">
        <v>204</v>
      </c>
      <c r="AG13" s="965" t="s">
        <v>204</v>
      </c>
      <c r="AH13" s="965" t="s">
        <v>204</v>
      </c>
      <c r="AI13" s="965" t="s">
        <v>204</v>
      </c>
    </row>
    <row r="14" spans="1:36" x14ac:dyDescent="0.4">
      <c r="A14" s="665" t="s">
        <v>1063</v>
      </c>
      <c r="B14" s="665"/>
      <c r="C14" s="665"/>
      <c r="D14" s="665"/>
      <c r="E14" s="665"/>
      <c r="F14" s="665"/>
      <c r="G14" s="665"/>
      <c r="H14" s="665"/>
      <c r="I14" s="665"/>
      <c r="J14" s="665"/>
      <c r="K14" s="665"/>
      <c r="L14" s="665"/>
      <c r="M14" s="665"/>
      <c r="N14" s="665"/>
      <c r="O14" s="665"/>
      <c r="P14" s="665"/>
      <c r="Q14" s="665"/>
      <c r="R14" s="665"/>
      <c r="S14" s="665"/>
      <c r="T14" s="665"/>
      <c r="U14" s="665"/>
      <c r="V14" s="665"/>
      <c r="W14" s="665"/>
      <c r="X14" s="665"/>
      <c r="Y14" s="665"/>
      <c r="Z14" s="665"/>
      <c r="AA14" s="665"/>
      <c r="AB14" s="665"/>
      <c r="AC14" s="665"/>
      <c r="AD14" s="665"/>
      <c r="AE14" s="665"/>
      <c r="AF14" s="665"/>
      <c r="AG14" s="665"/>
      <c r="AH14" s="665"/>
      <c r="AI14" s="665"/>
    </row>
    <row r="16" spans="1:36" x14ac:dyDescent="0.4">
      <c r="A16" s="400" t="s">
        <v>1423</v>
      </c>
      <c r="B16" s="1263"/>
      <c r="C16" s="1263"/>
      <c r="D16" s="1263"/>
      <c r="E16" s="1263"/>
      <c r="F16" s="1263"/>
      <c r="G16" s="1263"/>
      <c r="H16" s="1263"/>
      <c r="I16" s="1263"/>
      <c r="J16" s="1263"/>
      <c r="K16" s="1263"/>
      <c r="L16" s="1263"/>
      <c r="M16" s="1263"/>
      <c r="N16" s="1263"/>
      <c r="O16" s="1263"/>
      <c r="P16" s="1263"/>
      <c r="Q16" s="1263"/>
      <c r="R16" s="1263"/>
      <c r="S16" s="1263"/>
      <c r="T16" s="1263"/>
      <c r="U16" s="1263"/>
      <c r="V16" s="1263"/>
      <c r="W16" s="1263"/>
      <c r="X16" s="1263"/>
      <c r="Y16" s="1263"/>
      <c r="Z16" s="1263"/>
      <c r="AA16" s="1263"/>
      <c r="AB16" s="1263"/>
      <c r="AC16" s="1263"/>
      <c r="AD16" s="1263"/>
      <c r="AE16" s="1263"/>
      <c r="AF16" s="1263"/>
      <c r="AG16" s="1263"/>
      <c r="AH16" s="1263"/>
      <c r="AI16" s="1263"/>
    </row>
    <row r="18" spans="1:118" x14ac:dyDescent="0.4">
      <c r="A18" s="42" t="s">
        <v>1089</v>
      </c>
    </row>
    <row r="19" spans="1:118" x14ac:dyDescent="0.4">
      <c r="A19" s="265" t="s">
        <v>854</v>
      </c>
      <c r="B19" s="11"/>
    </row>
    <row r="20" spans="1:118" x14ac:dyDescent="0.4">
      <c r="A20" s="1279" t="s">
        <v>853</v>
      </c>
      <c r="B20" s="11"/>
    </row>
    <row r="21" spans="1:118" x14ac:dyDescent="0.4">
      <c r="A21" s="833" t="s">
        <v>848</v>
      </c>
      <c r="B21" s="11"/>
    </row>
    <row r="22" spans="1:118" x14ac:dyDescent="0.4">
      <c r="A22" s="1255" t="s">
        <v>849</v>
      </c>
      <c r="B22" s="11"/>
    </row>
    <row r="23" spans="1:118" x14ac:dyDescent="0.4">
      <c r="A23" s="400" t="s">
        <v>850</v>
      </c>
      <c r="B23" s="11"/>
    </row>
    <row r="24" spans="1:118" x14ac:dyDescent="0.4">
      <c r="A24" s="400" t="s">
        <v>851</v>
      </c>
      <c r="B24" s="11"/>
    </row>
    <row r="25" spans="1:118" x14ac:dyDescent="0.4">
      <c r="A25" s="265" t="s">
        <v>855</v>
      </c>
      <c r="B25" s="11"/>
    </row>
    <row r="26" spans="1:118" x14ac:dyDescent="0.4">
      <c r="A26" s="1279" t="s">
        <v>856</v>
      </c>
      <c r="B26" s="11"/>
    </row>
    <row r="27" spans="1:118" ht="15.75" customHeight="1" x14ac:dyDescent="0.4">
      <c r="B27" s="11"/>
    </row>
    <row r="28" spans="1:118" ht="15.75" customHeight="1" x14ac:dyDescent="0.4">
      <c r="A28" s="265" t="s">
        <v>852</v>
      </c>
      <c r="B28" s="11"/>
    </row>
    <row r="29" spans="1:118" ht="16.5" thickBot="1" x14ac:dyDescent="0.45">
      <c r="A29" s="42" t="s">
        <v>844</v>
      </c>
      <c r="U29" s="875"/>
      <c r="V29" s="11" t="s">
        <v>845</v>
      </c>
      <c r="CD29" s="11" t="s">
        <v>846</v>
      </c>
      <c r="DB29" s="11" t="s">
        <v>847</v>
      </c>
    </row>
    <row r="30" spans="1:118" ht="48.5" thickBot="1" x14ac:dyDescent="0.45">
      <c r="A30" s="841" t="s">
        <v>639</v>
      </c>
      <c r="B30" s="841" t="s">
        <v>623</v>
      </c>
      <c r="C30" s="920"/>
      <c r="D30" s="920"/>
      <c r="E30" s="920"/>
      <c r="F30" s="920"/>
      <c r="G30" s="921"/>
      <c r="H30" s="842" t="s">
        <v>245</v>
      </c>
      <c r="I30" s="841" t="s">
        <v>624</v>
      </c>
      <c r="J30" s="922"/>
      <c r="K30" s="841" t="s">
        <v>640</v>
      </c>
      <c r="L30" s="920"/>
      <c r="M30" s="921"/>
      <c r="N30" s="842" t="s">
        <v>246</v>
      </c>
      <c r="O30" s="841" t="s">
        <v>625</v>
      </c>
      <c r="P30" s="920"/>
      <c r="Q30" s="920"/>
      <c r="R30" s="921"/>
      <c r="S30" s="842" t="s">
        <v>236</v>
      </c>
      <c r="T30" s="842" t="s">
        <v>247</v>
      </c>
      <c r="U30" s="875"/>
      <c r="V30" s="928" t="s">
        <v>630</v>
      </c>
      <c r="W30" s="919"/>
      <c r="X30" s="919"/>
      <c r="Y30" s="919"/>
      <c r="Z30" s="919"/>
      <c r="AA30" s="919"/>
      <c r="AB30" s="919"/>
      <c r="AC30" s="919"/>
      <c r="AD30" s="919"/>
      <c r="AE30" s="919"/>
      <c r="AF30" s="929"/>
      <c r="AH30" s="928" t="s">
        <v>631</v>
      </c>
      <c r="AI30" s="919"/>
      <c r="AJ30" s="919"/>
      <c r="AK30" s="919"/>
      <c r="AL30" s="919"/>
      <c r="AM30" s="919"/>
      <c r="AN30" s="919"/>
      <c r="AO30" s="919"/>
      <c r="AP30" s="919"/>
      <c r="AQ30" s="919"/>
      <c r="AR30" s="929"/>
      <c r="AT30" s="928" t="s">
        <v>632</v>
      </c>
      <c r="AU30" s="919"/>
      <c r="AV30" s="919"/>
      <c r="AW30" s="919"/>
      <c r="AX30" s="919"/>
      <c r="AY30" s="919"/>
      <c r="AZ30" s="919"/>
      <c r="BA30" s="919"/>
      <c r="BB30" s="919"/>
      <c r="BC30" s="919"/>
      <c r="BD30" s="929"/>
      <c r="BF30" s="928" t="s">
        <v>633</v>
      </c>
      <c r="BG30" s="919"/>
      <c r="BH30" s="919"/>
      <c r="BI30" s="919"/>
      <c r="BJ30" s="919"/>
      <c r="BK30" s="919"/>
      <c r="BL30" s="919"/>
      <c r="BM30" s="930"/>
      <c r="BN30" s="919"/>
      <c r="BO30" s="919"/>
      <c r="BP30" s="929"/>
      <c r="BR30" s="928" t="s">
        <v>634</v>
      </c>
      <c r="BS30" s="919"/>
      <c r="BT30" s="919"/>
      <c r="BU30" s="919"/>
      <c r="BV30" s="919"/>
      <c r="BW30" s="919"/>
      <c r="BX30" s="919"/>
      <c r="BY30" s="919"/>
      <c r="BZ30" s="919"/>
      <c r="CA30" s="919"/>
      <c r="CB30" s="929"/>
      <c r="CD30" s="928" t="s">
        <v>635</v>
      </c>
      <c r="CE30" s="919"/>
      <c r="CF30" s="919"/>
      <c r="CG30" s="919"/>
      <c r="CH30" s="919"/>
      <c r="CI30" s="931"/>
      <c r="CJ30" s="931"/>
      <c r="CK30" s="919"/>
      <c r="CL30" s="919"/>
      <c r="CM30" s="919"/>
      <c r="CN30" s="929"/>
      <c r="CP30" s="928" t="s">
        <v>636</v>
      </c>
      <c r="CQ30" s="919"/>
      <c r="CR30" s="931"/>
      <c r="CS30" s="919"/>
      <c r="CT30" s="929"/>
      <c r="CV30" s="928" t="s">
        <v>637</v>
      </c>
      <c r="CW30" s="919"/>
      <c r="CX30" s="931"/>
      <c r="CY30" s="919"/>
      <c r="CZ30" s="929"/>
      <c r="DB30" s="928" t="s">
        <v>638</v>
      </c>
      <c r="DC30" s="919"/>
      <c r="DD30" s="931"/>
      <c r="DE30" s="919"/>
      <c r="DF30" s="919"/>
      <c r="DG30" s="919"/>
      <c r="DH30" s="919"/>
      <c r="DI30" s="919"/>
      <c r="DJ30" s="929"/>
    </row>
    <row r="31" spans="1:118" ht="66" x14ac:dyDescent="0.45">
      <c r="A31" s="742" t="s">
        <v>250</v>
      </c>
      <c r="B31" s="787" t="s">
        <v>251</v>
      </c>
      <c r="C31" s="787" t="s">
        <v>252</v>
      </c>
      <c r="D31" s="787" t="s">
        <v>253</v>
      </c>
      <c r="E31" s="1425" t="s">
        <v>1597</v>
      </c>
      <c r="F31" s="1425" t="s">
        <v>1335</v>
      </c>
      <c r="G31" s="1425" t="s">
        <v>1598</v>
      </c>
      <c r="H31" s="787" t="s">
        <v>254</v>
      </c>
      <c r="I31" s="787" t="s">
        <v>255</v>
      </c>
      <c r="J31" s="787" t="s">
        <v>256</v>
      </c>
      <c r="K31" s="787" t="s">
        <v>257</v>
      </c>
      <c r="L31" s="787" t="s">
        <v>258</v>
      </c>
      <c r="M31" s="787" t="s">
        <v>259</v>
      </c>
      <c r="N31" s="1425" t="s">
        <v>1599</v>
      </c>
      <c r="O31" s="1425" t="s">
        <v>1613</v>
      </c>
      <c r="P31" s="1425" t="s">
        <v>1336</v>
      </c>
      <c r="Q31" s="1425" t="s">
        <v>1600</v>
      </c>
      <c r="R31" s="1425" t="s">
        <v>1601</v>
      </c>
      <c r="S31" s="1425" t="s">
        <v>1602</v>
      </c>
      <c r="T31" s="1425" t="s">
        <v>1603</v>
      </c>
      <c r="U31" s="756"/>
      <c r="V31" s="907" t="s">
        <v>250</v>
      </c>
      <c r="W31" s="908" t="s">
        <v>260</v>
      </c>
      <c r="X31" s="908" t="s">
        <v>261</v>
      </c>
      <c r="Y31" s="908" t="s">
        <v>262</v>
      </c>
      <c r="Z31" s="908" t="s">
        <v>263</v>
      </c>
      <c r="AA31" s="908" t="s">
        <v>264</v>
      </c>
      <c r="AB31" s="1426" t="s">
        <v>1597</v>
      </c>
      <c r="AC31" s="1426" t="s">
        <v>1335</v>
      </c>
      <c r="AD31" s="1426" t="s">
        <v>1598</v>
      </c>
      <c r="AE31" s="1426" t="s">
        <v>1604</v>
      </c>
      <c r="AF31" s="1484" t="s">
        <v>1605</v>
      </c>
      <c r="AH31" s="909" t="s">
        <v>250</v>
      </c>
      <c r="AI31" s="909" t="s">
        <v>260</v>
      </c>
      <c r="AJ31" s="909" t="s">
        <v>261</v>
      </c>
      <c r="AK31" s="909" t="s">
        <v>262</v>
      </c>
      <c r="AL31" s="909" t="s">
        <v>263</v>
      </c>
      <c r="AM31" s="909" t="s">
        <v>264</v>
      </c>
      <c r="AN31" s="1426" t="s">
        <v>1597</v>
      </c>
      <c r="AO31" s="1426" t="s">
        <v>1335</v>
      </c>
      <c r="AP31" s="1426" t="s">
        <v>1598</v>
      </c>
      <c r="AQ31" s="1426" t="s">
        <v>1604</v>
      </c>
      <c r="AR31" s="1484" t="s">
        <v>1605</v>
      </c>
      <c r="AT31" s="909" t="s">
        <v>250</v>
      </c>
      <c r="AU31" s="909" t="s">
        <v>260</v>
      </c>
      <c r="AV31" s="909" t="s">
        <v>261</v>
      </c>
      <c r="AW31" s="909" t="s">
        <v>262</v>
      </c>
      <c r="AX31" s="909" t="s">
        <v>263</v>
      </c>
      <c r="AY31" s="909" t="s">
        <v>264</v>
      </c>
      <c r="AZ31" s="1426" t="s">
        <v>1597</v>
      </c>
      <c r="BA31" s="1426" t="s">
        <v>1335</v>
      </c>
      <c r="BB31" s="1426" t="s">
        <v>1598</v>
      </c>
      <c r="BC31" s="1426" t="s">
        <v>1604</v>
      </c>
      <c r="BD31" s="1484" t="s">
        <v>1605</v>
      </c>
      <c r="BF31" s="910" t="s">
        <v>250</v>
      </c>
      <c r="BG31" s="909" t="s">
        <v>260</v>
      </c>
      <c r="BH31" s="909" t="s">
        <v>261</v>
      </c>
      <c r="BI31" s="909" t="s">
        <v>262</v>
      </c>
      <c r="BJ31" s="909" t="s">
        <v>263</v>
      </c>
      <c r="BK31" s="909" t="s">
        <v>264</v>
      </c>
      <c r="BL31" s="1426" t="s">
        <v>1597</v>
      </c>
      <c r="BM31" s="1426" t="s">
        <v>1335</v>
      </c>
      <c r="BN31" s="1426" t="s">
        <v>1598</v>
      </c>
      <c r="BO31" s="1426" t="s">
        <v>1604</v>
      </c>
      <c r="BP31" s="1484" t="s">
        <v>1605</v>
      </c>
      <c r="BR31" s="792" t="s">
        <v>250</v>
      </c>
      <c r="BS31" s="787" t="s">
        <v>260</v>
      </c>
      <c r="BT31" s="787" t="s">
        <v>261</v>
      </c>
      <c r="BU31" s="787" t="s">
        <v>262</v>
      </c>
      <c r="BV31" s="787" t="s">
        <v>263</v>
      </c>
      <c r="BW31" s="787" t="s">
        <v>264</v>
      </c>
      <c r="BX31" s="1426" t="s">
        <v>1597</v>
      </c>
      <c r="BY31" s="1426" t="s">
        <v>1335</v>
      </c>
      <c r="BZ31" s="1426" t="s">
        <v>1598</v>
      </c>
      <c r="CA31" s="1426" t="s">
        <v>1604</v>
      </c>
      <c r="CB31" s="1484" t="s">
        <v>1605</v>
      </c>
      <c r="CD31" s="913" t="s">
        <v>250</v>
      </c>
      <c r="CE31" s="787" t="s">
        <v>265</v>
      </c>
      <c r="CF31" s="787" t="s">
        <v>266</v>
      </c>
      <c r="CG31" s="787" t="s">
        <v>267</v>
      </c>
      <c r="CH31" s="787" t="s">
        <v>268</v>
      </c>
      <c r="CI31" s="1425" t="s">
        <v>1606</v>
      </c>
      <c r="CJ31" s="1425" t="s">
        <v>1607</v>
      </c>
      <c r="CK31" s="1425" t="s">
        <v>1608</v>
      </c>
      <c r="CL31" s="1425" t="s">
        <v>1337</v>
      </c>
      <c r="CM31" s="1425" t="s">
        <v>1338</v>
      </c>
      <c r="CN31" s="1427" t="s">
        <v>1339</v>
      </c>
      <c r="CP31" s="549" t="s">
        <v>250</v>
      </c>
      <c r="CQ31" s="787" t="s">
        <v>269</v>
      </c>
      <c r="CR31" s="787" t="s">
        <v>267</v>
      </c>
      <c r="CS31" s="787" t="s">
        <v>270</v>
      </c>
      <c r="CT31" s="1425" t="s">
        <v>1609</v>
      </c>
      <c r="CV31" s="549" t="s">
        <v>250</v>
      </c>
      <c r="CW31" s="787" t="s">
        <v>269</v>
      </c>
      <c r="CX31" s="787" t="s">
        <v>267</v>
      </c>
      <c r="CY31" s="787" t="s">
        <v>271</v>
      </c>
      <c r="CZ31" s="1425" t="s">
        <v>1609</v>
      </c>
      <c r="DB31" s="549" t="s">
        <v>250</v>
      </c>
      <c r="DC31" s="787" t="s">
        <v>272</v>
      </c>
      <c r="DD31" s="787" t="s">
        <v>273</v>
      </c>
      <c r="DE31" s="787" t="s">
        <v>274</v>
      </c>
      <c r="DF31" s="787" t="s">
        <v>275</v>
      </c>
      <c r="DG31" s="787" t="s">
        <v>276</v>
      </c>
      <c r="DH31" s="1425" t="s">
        <v>1610</v>
      </c>
      <c r="DI31" s="1425" t="s">
        <v>1611</v>
      </c>
      <c r="DJ31" s="1425" t="s">
        <v>1612</v>
      </c>
    </row>
    <row r="32" spans="1:118" s="400" customFormat="1" x14ac:dyDescent="0.4">
      <c r="A32" s="1266">
        <v>1990</v>
      </c>
      <c r="B32" s="847">
        <f>'Electricity Imports'!O81</f>
        <v>41627939.70137015</v>
      </c>
      <c r="C32" s="893">
        <v>48929000</v>
      </c>
      <c r="D32" s="893">
        <f t="shared" ref="D32:D50" si="2">C32+((C32/DD32)*DE32)</f>
        <v>49989039.922378212</v>
      </c>
      <c r="E32" s="843">
        <v>25.091951938324932</v>
      </c>
      <c r="F32" s="843">
        <v>9.3884288699999999E-2</v>
      </c>
      <c r="G32" s="843">
        <f t="shared" ref="G32:G50" si="3">E32+F32</f>
        <v>25.185836227024932</v>
      </c>
      <c r="H32" s="845">
        <v>8421255.7037343383</v>
      </c>
      <c r="I32" s="845">
        <f t="shared" ref="I32:I50" si="4">SUM(H32,(IF(W32&lt;Y32,Y32-W32,0)),(IF(AI32&lt;AK32,AK32-AI32,0)),(IF(AU32&lt;AW32,AW32-AU32,0)),(IF(BG32&lt;BI32,BI32-BG32,0)),(IF(BS32&lt;BU32,BU32-BS32,0)),(IF(CF32&lt;0,(CF32*-1),0)),(IF(CQ32&lt;0,(CQ32*-1),0)),(IF(CW32&lt;0,(CW32*-1),0)))</f>
        <v>15248741.510691782</v>
      </c>
      <c r="J32" s="844">
        <f t="shared" ref="J32:J50" si="5">H32/I32</f>
        <v>0.55225906333514174</v>
      </c>
      <c r="K32" s="845">
        <f t="shared" ref="K32:K50" si="6">SUM(AA32,AM32,AY32,BK32,BW32)</f>
        <v>4285967.384044243</v>
      </c>
      <c r="L32" s="845">
        <f t="shared" ref="L32:L41" si="7">DG32*J32</f>
        <v>4102631.1328236954</v>
      </c>
      <c r="M32" s="845">
        <f t="shared" ref="M32:M50" si="8">K32+L32</f>
        <v>8388598.5168679385</v>
      </c>
      <c r="N32" s="923">
        <f t="shared" ref="N32:N50" si="9">SUM(AF32,AR32,BD32,BP32,CB32)</f>
        <v>1.3821754574196228</v>
      </c>
      <c r="O32" s="888" t="s">
        <v>32</v>
      </c>
      <c r="P32" s="888" t="s">
        <v>32</v>
      </c>
      <c r="Q32" s="888" t="s">
        <v>32</v>
      </c>
      <c r="R32" s="924">
        <f t="shared" ref="R32:R41" si="10">L32*$B$138</f>
        <v>0.50371856379857993</v>
      </c>
      <c r="S32" s="925">
        <f t="shared" ref="S32:S50" si="11">N32+R32</f>
        <v>1.8858940212182027</v>
      </c>
      <c r="T32" s="925">
        <f t="shared" ref="T32:T50" si="12">G32+S32</f>
        <v>27.071730248243135</v>
      </c>
      <c r="V32" s="897">
        <v>1990</v>
      </c>
      <c r="W32" s="847">
        <f>'Electricity Imports'!V81</f>
        <v>11909218.574255219</v>
      </c>
      <c r="X32" s="893">
        <v>10094000</v>
      </c>
      <c r="Y32" s="893">
        <f t="shared" ref="Y32:Y50" si="13">X32+((X32/DD32)*DE32)</f>
        <v>10312685.094248516</v>
      </c>
      <c r="Z32" s="845">
        <f t="shared" ref="Z32:Z41" si="14">IF((W32)&gt;Y32,(W32)-Y32,0)</f>
        <v>1596533.4800067022</v>
      </c>
      <c r="AA32" s="845">
        <f t="shared" ref="AA32:AA50" si="15">Z32*J32</f>
        <v>881700.08425169566</v>
      </c>
      <c r="AB32" s="843">
        <f>2.05839174305688*'Electricity Imports'!E119</f>
        <v>1.9593409422820145</v>
      </c>
      <c r="AC32" s="848">
        <f>0.04264631087*'Electricity Imports'!E119</f>
        <v>4.0594149877800266E-2</v>
      </c>
      <c r="AD32" s="843">
        <f t="shared" ref="AD32:AD50" si="16">AB32+AC32</f>
        <v>1.9999350921598147</v>
      </c>
      <c r="AE32" s="849">
        <f t="shared" ref="AE32:AE40" si="17">AD32*(Z32/W32)</f>
        <v>0.26810855074705153</v>
      </c>
      <c r="AF32" s="898">
        <f t="shared" ref="AF32:AF50" si="18">AE32*J32</f>
        <v>0.14806537710770901</v>
      </c>
      <c r="AH32" s="851">
        <v>1990</v>
      </c>
      <c r="AI32" s="847">
        <f>'Electricity Imports'!AC81</f>
        <v>12584911.587698199</v>
      </c>
      <c r="AJ32" s="893">
        <v>9098000</v>
      </c>
      <c r="AK32" s="893">
        <f t="shared" ref="AK32:AK50" si="19">AJ32+((AJ32/DD32)*DE32)</f>
        <v>9295106.8939442262</v>
      </c>
      <c r="AL32" s="845">
        <f t="shared" ref="AL32:AL41" si="20">IF((AI32)&gt;AK32,(AI32)-AK32,0)</f>
        <v>3289804.6937539726</v>
      </c>
      <c r="AM32" s="845">
        <f t="shared" ref="AM32:AM50" si="21">AL32*J32</f>
        <v>1816824.4587281218</v>
      </c>
      <c r="AN32" s="843">
        <v>4.7592729552595667</v>
      </c>
      <c r="AO32" s="848">
        <v>4.4398071900000002E-2</v>
      </c>
      <c r="AP32" s="843">
        <f t="shared" ref="AP32:AP50" si="22">AN32+AO32</f>
        <v>4.8036710271595666</v>
      </c>
      <c r="AQ32" s="849">
        <f t="shared" ref="AQ32:AQ40" si="23">AP32*(AL32/AI32)</f>
        <v>1.2557211373536497</v>
      </c>
      <c r="AR32" s="849">
        <f t="shared" ref="AR32:AR50" si="24">AQ32*J32</f>
        <v>0.69348337912506541</v>
      </c>
      <c r="AT32" s="851">
        <v>1990</v>
      </c>
      <c r="AU32" s="847">
        <f>'Electricity Imports'!AJ81</f>
        <v>4840653.0305385673</v>
      </c>
      <c r="AV32" s="893">
        <v>5725000</v>
      </c>
      <c r="AW32" s="893">
        <f t="shared" ref="AW32:AW50" si="25">AV32+((AV32/DD32)*DE32)</f>
        <v>5849031.3220301922</v>
      </c>
      <c r="AX32" s="845">
        <f t="shared" ref="AX32:AX41" si="26">IF((AU32)&gt;AW32,(AU32)-AW32,0)</f>
        <v>0</v>
      </c>
      <c r="AY32" s="845">
        <f t="shared" ref="AY32:AY50" si="27">AX32*J32</f>
        <v>0</v>
      </c>
      <c r="AZ32" s="843">
        <v>4.0640776475566666E-2</v>
      </c>
      <c r="BA32" s="848">
        <v>1.8547905299999999E-3</v>
      </c>
      <c r="BB32" s="843">
        <f t="shared" ref="BB32:BB50" si="28">AZ32+BA32</f>
        <v>4.2495567005566663E-2</v>
      </c>
      <c r="BC32" s="849">
        <f t="shared" ref="BC32:BC40" si="29">BB32*(AX32/AU32)</f>
        <v>0</v>
      </c>
      <c r="BD32" s="849">
        <f t="shared" ref="BD32:BD50" si="30">BC32*J32</f>
        <v>0</v>
      </c>
      <c r="BF32" s="897">
        <v>1990</v>
      </c>
      <c r="BG32" s="847">
        <f>'Electricity Imports'!AQ81</f>
        <v>32241187.945176702</v>
      </c>
      <c r="BH32" s="893">
        <v>28744000</v>
      </c>
      <c r="BI32" s="893">
        <f t="shared" ref="BI32:BI50" si="31">BH32+((BH32/DD32)*DE32)</f>
        <v>29366734.728460409</v>
      </c>
      <c r="BJ32" s="845">
        <f t="shared" ref="BJ32:BJ41" si="32">IF((BG32)&gt;BI32,(BG32)-BI32,0)</f>
        <v>2874453.2167162932</v>
      </c>
      <c r="BK32" s="845">
        <f t="shared" ref="BK32:BK50" si="33">BJ32*J32</f>
        <v>1587442.8410644254</v>
      </c>
      <c r="BL32" s="843">
        <v>10.9388330707115</v>
      </c>
      <c r="BM32" s="848">
        <v>4.1371463429999984E-2</v>
      </c>
      <c r="BN32" s="843">
        <f t="shared" ref="BN32:BN50" si="34">BL32+BM32</f>
        <v>10.9802045341415</v>
      </c>
      <c r="BO32" s="849">
        <f t="shared" ref="BO32:BO40" si="35">BN32*(BJ32/BG32)</f>
        <v>0.9789367655135538</v>
      </c>
      <c r="BP32" s="898">
        <f t="shared" ref="BP32:BP50" si="36">BO32*J32</f>
        <v>0.54062670118684852</v>
      </c>
      <c r="BR32" s="897">
        <v>1990</v>
      </c>
      <c r="BS32" s="847">
        <f>'Electricity Imports'!AX81</f>
        <v>1508272.8586128762</v>
      </c>
      <c r="BT32" s="893">
        <v>7172000</v>
      </c>
      <c r="BU32" s="893">
        <f t="shared" ref="BU32:BU50" si="37">BT32+((BT32/DD32)*DE32)</f>
        <v>7327380.3740786966</v>
      </c>
      <c r="BV32" s="845">
        <f t="shared" ref="BV32:BV41" si="38">IF((BS32)&gt;BU32,(BS32)-BU32,0)</f>
        <v>0</v>
      </c>
      <c r="BW32" s="845">
        <f t="shared" ref="BW32:BW50" si="39">BV32*J32</f>
        <v>0</v>
      </c>
      <c r="BX32" s="843">
        <v>0.6632484650539</v>
      </c>
      <c r="BY32" s="848">
        <v>1.0423614300000001E-3</v>
      </c>
      <c r="BZ32" s="843">
        <f t="shared" ref="BZ32:BZ50" si="40">BX32+BY32</f>
        <v>0.66429082648390003</v>
      </c>
      <c r="CA32" s="849">
        <f t="shared" ref="CA32:CA40" si="41">BZ32*(BV32/BS32)</f>
        <v>0</v>
      </c>
      <c r="CB32" s="898">
        <f t="shared" ref="CB32:CB50" si="42">CA32*J32</f>
        <v>0</v>
      </c>
      <c r="CD32" s="897">
        <v>1990</v>
      </c>
      <c r="CE32" s="850">
        <v>135345692</v>
      </c>
      <c r="CF32" s="851" t="s">
        <v>32</v>
      </c>
      <c r="CG32" s="851" t="s">
        <v>32</v>
      </c>
      <c r="CH32" s="851" t="s">
        <v>32</v>
      </c>
      <c r="CI32" s="843">
        <v>62.764140484314602</v>
      </c>
      <c r="CJ32" s="851" t="s">
        <v>32</v>
      </c>
      <c r="CK32" s="846" t="s">
        <v>277</v>
      </c>
      <c r="CL32" s="852">
        <v>0.22361321116999999</v>
      </c>
      <c r="CM32" s="851" t="s">
        <v>32</v>
      </c>
      <c r="CN32" s="911" t="s">
        <v>277</v>
      </c>
      <c r="CP32" s="851">
        <v>1990</v>
      </c>
      <c r="CQ32" s="851" t="s">
        <v>32</v>
      </c>
      <c r="CR32" s="851" t="s">
        <v>32</v>
      </c>
      <c r="CS32" s="851" t="s">
        <v>32</v>
      </c>
      <c r="CT32" s="846" t="s">
        <v>277</v>
      </c>
      <c r="CV32" s="851">
        <v>1990</v>
      </c>
      <c r="CW32" s="851" t="s">
        <v>32</v>
      </c>
      <c r="CX32" s="851" t="s">
        <v>32</v>
      </c>
      <c r="CY32" s="851" t="s">
        <v>32</v>
      </c>
      <c r="CZ32" s="846" t="s">
        <v>277</v>
      </c>
      <c r="DB32" s="851">
        <v>1990</v>
      </c>
      <c r="DC32" s="847">
        <f>'Electricity Imports'!H81</f>
        <v>104712183.69765171</v>
      </c>
      <c r="DD32" s="893">
        <v>109763000</v>
      </c>
      <c r="DE32" s="893">
        <v>2378000</v>
      </c>
      <c r="DF32" s="893">
        <f t="shared" ref="DF32:DF50" si="43">DD32+DE32</f>
        <v>112141000</v>
      </c>
      <c r="DG32" s="845">
        <f t="shared" ref="DG32:DG50" si="44">DF32-DC32</f>
        <v>7428816.3023482859</v>
      </c>
      <c r="DH32" s="853">
        <f t="shared" ref="DH32:DH41" si="45">G32+AD32+AP32+BB32+BN32+BZ32+R32</f>
        <v>44.180151837773856</v>
      </c>
      <c r="DI32" s="918">
        <f t="shared" ref="DI32:DI50" si="46">DH32/DF32</f>
        <v>3.9396966174524798E-7</v>
      </c>
      <c r="DJ32" s="853">
        <f t="shared" ref="DJ32:DJ50" si="47">DI32*D32</f>
        <v>19.69416514918904</v>
      </c>
      <c r="DK32" s="3"/>
      <c r="DL32" s="3"/>
      <c r="DN32" s="3"/>
    </row>
    <row r="33" spans="1:118" s="400" customFormat="1" x14ac:dyDescent="0.4">
      <c r="A33" s="1266">
        <v>1991</v>
      </c>
      <c r="B33" s="847">
        <f>'Electricity Imports'!O82</f>
        <v>42891887.028711885</v>
      </c>
      <c r="C33" s="893">
        <v>48155000</v>
      </c>
      <c r="D33" s="893">
        <f t="shared" si="2"/>
        <v>49162567.674499914</v>
      </c>
      <c r="E33" s="843">
        <v>25.73527004886623</v>
      </c>
      <c r="F33" s="843">
        <v>9.6822959449999982E-2</v>
      </c>
      <c r="G33" s="843">
        <f t="shared" si="3"/>
        <v>25.832093008316232</v>
      </c>
      <c r="H33" s="845">
        <f t="shared" ref="H33:H50" si="48">D33-(B33)</f>
        <v>6270680.6457880288</v>
      </c>
      <c r="I33" s="845">
        <f t="shared" si="4"/>
        <v>14803237.531631621</v>
      </c>
      <c r="J33" s="844">
        <f t="shared" si="5"/>
        <v>0.42360197439167019</v>
      </c>
      <c r="K33" s="845">
        <f t="shared" si="6"/>
        <v>3370237.0372256218</v>
      </c>
      <c r="L33" s="845">
        <f t="shared" si="7"/>
        <v>2900011.1433826084</v>
      </c>
      <c r="M33" s="845">
        <f t="shared" si="8"/>
        <v>6270248.1806082297</v>
      </c>
      <c r="N33" s="923">
        <f t="shared" si="9"/>
        <v>0.81634250552857279</v>
      </c>
      <c r="O33" s="888" t="s">
        <v>32</v>
      </c>
      <c r="P33" s="888" t="s">
        <v>32</v>
      </c>
      <c r="Q33" s="888" t="s">
        <v>32</v>
      </c>
      <c r="R33" s="924">
        <f t="shared" si="10"/>
        <v>0.35606161042783191</v>
      </c>
      <c r="S33" s="925">
        <f t="shared" si="11"/>
        <v>1.1724041159564047</v>
      </c>
      <c r="T33" s="925">
        <f t="shared" si="12"/>
        <v>27.004497124272635</v>
      </c>
      <c r="V33" s="897">
        <v>1991</v>
      </c>
      <c r="W33" s="847">
        <f>'Electricity Imports'!V82</f>
        <v>12953883.764934996</v>
      </c>
      <c r="X33" s="893">
        <v>9953000</v>
      </c>
      <c r="Y33" s="893">
        <f t="shared" si="13"/>
        <v>10161250.878710367</v>
      </c>
      <c r="Z33" s="845">
        <f t="shared" si="14"/>
        <v>2792632.8862246294</v>
      </c>
      <c r="AA33" s="845">
        <f t="shared" si="15"/>
        <v>1182964.8043558614</v>
      </c>
      <c r="AB33" s="843">
        <f>1.67476270514562*'Electricity Imports'!E119</f>
        <v>1.5941723182029488</v>
      </c>
      <c r="AC33" s="848">
        <f>0.04205187323*'Electricity Imports'!E119</f>
        <v>4.0028316862965194E-2</v>
      </c>
      <c r="AD33" s="843">
        <f t="shared" si="16"/>
        <v>1.634200635065914</v>
      </c>
      <c r="AE33" s="849">
        <f t="shared" si="17"/>
        <v>0.35230534093009491</v>
      </c>
      <c r="AF33" s="898">
        <f t="shared" si="18"/>
        <v>0.1492372380067187</v>
      </c>
      <c r="AH33" s="851">
        <v>1991</v>
      </c>
      <c r="AI33" s="847">
        <f>'Electricity Imports'!AC82</f>
        <v>14427367.301855408</v>
      </c>
      <c r="AJ33" s="893">
        <v>9074000</v>
      </c>
      <c r="AK33" s="893">
        <f t="shared" si="19"/>
        <v>9263859.1855137013</v>
      </c>
      <c r="AL33" s="845">
        <f t="shared" si="20"/>
        <v>5163508.1163417064</v>
      </c>
      <c r="AM33" s="845">
        <f t="shared" si="21"/>
        <v>2187272.2328697606</v>
      </c>
      <c r="AN33" s="843">
        <v>4.3565874770490991</v>
      </c>
      <c r="AO33" s="848">
        <v>4.3675361249999996E-2</v>
      </c>
      <c r="AP33" s="843">
        <f t="shared" si="22"/>
        <v>4.4002628382990991</v>
      </c>
      <c r="AQ33" s="849">
        <f t="shared" si="23"/>
        <v>1.5748398445967493</v>
      </c>
      <c r="AR33" s="849">
        <f t="shared" si="24"/>
        <v>0.66710526752185406</v>
      </c>
      <c r="AT33" s="851">
        <v>1991</v>
      </c>
      <c r="AU33" s="847">
        <f>'Electricity Imports'!AJ82</f>
        <v>5050507.4484782927</v>
      </c>
      <c r="AV33" s="893">
        <v>5672000</v>
      </c>
      <c r="AW33" s="893">
        <f t="shared" si="25"/>
        <v>5790677.68351705</v>
      </c>
      <c r="AX33" s="845">
        <f t="shared" si="26"/>
        <v>0</v>
      </c>
      <c r="AY33" s="845">
        <f t="shared" si="27"/>
        <v>0</v>
      </c>
      <c r="AZ33" s="843">
        <v>6.3716003511233327E-2</v>
      </c>
      <c r="BA33" s="848">
        <v>2.1818705599999997E-3</v>
      </c>
      <c r="BB33" s="843">
        <f t="shared" si="28"/>
        <v>6.589787407123332E-2</v>
      </c>
      <c r="BC33" s="849">
        <f t="shared" si="29"/>
        <v>0</v>
      </c>
      <c r="BD33" s="849">
        <f t="shared" si="30"/>
        <v>0</v>
      </c>
      <c r="BF33" s="897">
        <v>1991</v>
      </c>
      <c r="BG33" s="847">
        <f>'Electricity Imports'!AQ82</f>
        <v>24801026.775171544</v>
      </c>
      <c r="BH33" s="893">
        <v>28690000</v>
      </c>
      <c r="BI33" s="893">
        <f t="shared" si="31"/>
        <v>29290293.148819491</v>
      </c>
      <c r="BJ33" s="845">
        <f t="shared" si="32"/>
        <v>0</v>
      </c>
      <c r="BK33" s="845">
        <f t="shared" si="33"/>
        <v>0</v>
      </c>
      <c r="BL33" s="843">
        <v>10.5291701324405</v>
      </c>
      <c r="BM33" s="848">
        <v>3.9654534089999992E-2</v>
      </c>
      <c r="BN33" s="843">
        <f t="shared" si="34"/>
        <v>10.568824666530499</v>
      </c>
      <c r="BO33" s="849">
        <f t="shared" si="35"/>
        <v>0</v>
      </c>
      <c r="BP33" s="898">
        <f t="shared" si="36"/>
        <v>0</v>
      </c>
      <c r="BR33" s="897">
        <v>1991</v>
      </c>
      <c r="BS33" s="847">
        <f>'Electricity Imports'!AX82</f>
        <v>3985252.0752105694</v>
      </c>
      <c r="BT33" s="893">
        <v>7139000</v>
      </c>
      <c r="BU33" s="893">
        <f t="shared" si="37"/>
        <v>7288372.352367457</v>
      </c>
      <c r="BV33" s="845">
        <f t="shared" si="38"/>
        <v>0</v>
      </c>
      <c r="BW33" s="845">
        <f t="shared" si="39"/>
        <v>0</v>
      </c>
      <c r="BX33" s="843">
        <v>1.3545074612820667</v>
      </c>
      <c r="BY33" s="848">
        <v>1.49445702E-3</v>
      </c>
      <c r="BZ33" s="843">
        <f t="shared" si="40"/>
        <v>1.3560019183020666</v>
      </c>
      <c r="CA33" s="849">
        <f t="shared" si="41"/>
        <v>0</v>
      </c>
      <c r="CB33" s="898">
        <f t="shared" si="42"/>
        <v>0</v>
      </c>
      <c r="CD33" s="897">
        <v>1991</v>
      </c>
      <c r="CE33" s="850">
        <v>134600499</v>
      </c>
      <c r="CF33" s="851" t="s">
        <v>32</v>
      </c>
      <c r="CG33" s="851" t="s">
        <v>32</v>
      </c>
      <c r="CH33" s="851" t="s">
        <v>32</v>
      </c>
      <c r="CI33" s="843">
        <v>58.479441973808797</v>
      </c>
      <c r="CJ33" s="851" t="s">
        <v>32</v>
      </c>
      <c r="CK33" s="846" t="s">
        <v>278</v>
      </c>
      <c r="CL33" s="852">
        <v>0.21018678199999999</v>
      </c>
      <c r="CM33" s="851" t="s">
        <v>32</v>
      </c>
      <c r="CN33" s="911" t="s">
        <v>278</v>
      </c>
      <c r="CP33" s="851">
        <v>1991</v>
      </c>
      <c r="CQ33" s="851" t="s">
        <v>32</v>
      </c>
      <c r="CR33" s="851" t="s">
        <v>32</v>
      </c>
      <c r="CS33" s="851" t="s">
        <v>32</v>
      </c>
      <c r="CT33" s="846" t="s">
        <v>278</v>
      </c>
      <c r="CV33" s="851">
        <v>1991</v>
      </c>
      <c r="CW33" s="851" t="s">
        <v>32</v>
      </c>
      <c r="CX33" s="851" t="s">
        <v>32</v>
      </c>
      <c r="CY33" s="851" t="s">
        <v>32</v>
      </c>
      <c r="CZ33" s="846" t="s">
        <v>278</v>
      </c>
      <c r="DB33" s="851">
        <v>1991</v>
      </c>
      <c r="DC33" s="847">
        <f>'Electricity Imports'!H82</f>
        <v>104109924.3943627</v>
      </c>
      <c r="DD33" s="893">
        <v>108682000</v>
      </c>
      <c r="DE33" s="893">
        <v>2274000</v>
      </c>
      <c r="DF33" s="893">
        <f t="shared" si="43"/>
        <v>110956000</v>
      </c>
      <c r="DG33" s="845">
        <f t="shared" si="44"/>
        <v>6846075.605637297</v>
      </c>
      <c r="DH33" s="853">
        <f t="shared" si="45"/>
        <v>44.213342551012872</v>
      </c>
      <c r="DI33" s="918">
        <f t="shared" si="46"/>
        <v>3.9847635595202487E-7</v>
      </c>
      <c r="DJ33" s="853">
        <f t="shared" si="47"/>
        <v>19.590120816179539</v>
      </c>
      <c r="DK33" s="3"/>
      <c r="DL33" s="3"/>
      <c r="DN33" s="3"/>
    </row>
    <row r="34" spans="1:118" s="400" customFormat="1" x14ac:dyDescent="0.4">
      <c r="A34" s="1266">
        <v>1992</v>
      </c>
      <c r="B34" s="847">
        <f>'Electricity Imports'!O83</f>
        <v>41917209.414986461</v>
      </c>
      <c r="C34" s="893">
        <v>48161000</v>
      </c>
      <c r="D34" s="893">
        <f t="shared" si="2"/>
        <v>49221793.532795474</v>
      </c>
      <c r="E34" s="843">
        <v>24.260556225414664</v>
      </c>
      <c r="F34" s="843">
        <v>9.0914300150000002E-2</v>
      </c>
      <c r="G34" s="843">
        <f t="shared" si="3"/>
        <v>24.351470525564665</v>
      </c>
      <c r="H34" s="845">
        <f t="shared" si="48"/>
        <v>7304584.1178090125</v>
      </c>
      <c r="I34" s="845">
        <f t="shared" si="4"/>
        <v>11848730.466003753</v>
      </c>
      <c r="J34" s="844">
        <f t="shared" si="5"/>
        <v>0.61648664713635315</v>
      </c>
      <c r="K34" s="845">
        <f t="shared" si="6"/>
        <v>4605463.8310006922</v>
      </c>
      <c r="L34" s="845">
        <f t="shared" si="7"/>
        <v>2698490.2214346537</v>
      </c>
      <c r="M34" s="845">
        <f t="shared" si="8"/>
        <v>7303954.0524353459</v>
      </c>
      <c r="N34" s="923">
        <f t="shared" si="9"/>
        <v>1.143902988390197</v>
      </c>
      <c r="O34" s="888" t="s">
        <v>32</v>
      </c>
      <c r="P34" s="888" t="s">
        <v>32</v>
      </c>
      <c r="Q34" s="888" t="s">
        <v>32</v>
      </c>
      <c r="R34" s="924">
        <f t="shared" si="10"/>
        <v>0.33131899377705737</v>
      </c>
      <c r="S34" s="925">
        <f t="shared" si="11"/>
        <v>1.4752219821672543</v>
      </c>
      <c r="T34" s="925">
        <f t="shared" si="12"/>
        <v>25.82669250773192</v>
      </c>
      <c r="V34" s="897">
        <v>1992</v>
      </c>
      <c r="W34" s="847">
        <f>'Electricity Imports'!V83</f>
        <v>11713193.874967687</v>
      </c>
      <c r="X34" s="893">
        <v>9889000</v>
      </c>
      <c r="Y34" s="893">
        <f t="shared" si="13"/>
        <v>10106814.979876133</v>
      </c>
      <c r="Z34" s="845">
        <f t="shared" si="14"/>
        <v>1606378.8950915541</v>
      </c>
      <c r="AA34" s="845">
        <f t="shared" si="15"/>
        <v>990311.13906559185</v>
      </c>
      <c r="AB34" s="843">
        <f>1.64443438753407*'Electricity Imports'!E119</f>
        <v>1.565303413822972</v>
      </c>
      <c r="AC34" s="848">
        <f>0.04917662826*'Electricity Imports'!E119</f>
        <v>4.6810225253871018E-2</v>
      </c>
      <c r="AD34" s="843">
        <f t="shared" si="16"/>
        <v>1.6121136390768429</v>
      </c>
      <c r="AE34" s="849">
        <f t="shared" si="17"/>
        <v>0.22108959810156198</v>
      </c>
      <c r="AF34" s="898">
        <f t="shared" si="18"/>
        <v>0.13629878505035578</v>
      </c>
      <c r="AH34" s="851">
        <v>1992</v>
      </c>
      <c r="AI34" s="847">
        <f>'Electricity Imports'!AC83</f>
        <v>15336258.488287115</v>
      </c>
      <c r="AJ34" s="893">
        <v>9268000</v>
      </c>
      <c r="AK34" s="893">
        <f t="shared" si="19"/>
        <v>9472136.8422987163</v>
      </c>
      <c r="AL34" s="845">
        <f t="shared" si="20"/>
        <v>5864121.6459883992</v>
      </c>
      <c r="AM34" s="845">
        <f t="shared" si="21"/>
        <v>3615152.6919351006</v>
      </c>
      <c r="AN34" s="843">
        <v>4.2311897788415669</v>
      </c>
      <c r="AO34" s="848">
        <v>4.3284865280000001E-2</v>
      </c>
      <c r="AP34" s="843">
        <f t="shared" si="22"/>
        <v>4.2744746441215673</v>
      </c>
      <c r="AQ34" s="849">
        <f t="shared" si="23"/>
        <v>1.6344298907693642</v>
      </c>
      <c r="AR34" s="849">
        <f t="shared" si="24"/>
        <v>1.0076042033398411</v>
      </c>
      <c r="AT34" s="851">
        <v>1992</v>
      </c>
      <c r="AU34" s="847">
        <f>'Electricity Imports'!AJ83</f>
        <v>4565099.6515667681</v>
      </c>
      <c r="AV34" s="893">
        <v>5849000</v>
      </c>
      <c r="AW34" s="893">
        <f t="shared" si="25"/>
        <v>5977829.9946703911</v>
      </c>
      <c r="AX34" s="845">
        <f t="shared" si="26"/>
        <v>0</v>
      </c>
      <c r="AY34" s="845">
        <f t="shared" si="27"/>
        <v>0</v>
      </c>
      <c r="AZ34" s="843">
        <v>4.5473895858966669E-2</v>
      </c>
      <c r="BA34" s="848">
        <v>2.6199480699999997E-3</v>
      </c>
      <c r="BB34" s="843">
        <f t="shared" si="28"/>
        <v>4.8093843928966672E-2</v>
      </c>
      <c r="BC34" s="849">
        <f t="shared" si="29"/>
        <v>0</v>
      </c>
      <c r="BD34" s="849">
        <f t="shared" si="30"/>
        <v>0</v>
      </c>
      <c r="BF34" s="897">
        <v>1992</v>
      </c>
      <c r="BG34" s="847">
        <f>'Electricity Imports'!AQ83</f>
        <v>26796112.728771497</v>
      </c>
      <c r="BH34" s="893">
        <v>28575000</v>
      </c>
      <c r="BI34" s="893">
        <f t="shared" si="31"/>
        <v>29204392.562439121</v>
      </c>
      <c r="BJ34" s="845">
        <f t="shared" si="32"/>
        <v>0</v>
      </c>
      <c r="BK34" s="845">
        <f t="shared" si="33"/>
        <v>0</v>
      </c>
      <c r="BL34" s="843">
        <v>8.4776825170448671</v>
      </c>
      <c r="BM34" s="848">
        <v>3.2951609279999995E-2</v>
      </c>
      <c r="BN34" s="843">
        <f t="shared" si="34"/>
        <v>8.5106341263248666</v>
      </c>
      <c r="BO34" s="849">
        <f t="shared" si="35"/>
        <v>0</v>
      </c>
      <c r="BP34" s="898">
        <f t="shared" si="36"/>
        <v>0</v>
      </c>
      <c r="BR34" s="897">
        <v>1992</v>
      </c>
      <c r="BS34" s="847">
        <f>'Electricity Imports'!AX83</f>
        <v>6517917.9424831104</v>
      </c>
      <c r="BT34" s="893">
        <v>7085000</v>
      </c>
      <c r="BU34" s="893">
        <f t="shared" si="37"/>
        <v>7241054.1139066033</v>
      </c>
      <c r="BV34" s="845">
        <f t="shared" si="38"/>
        <v>0</v>
      </c>
      <c r="BW34" s="845">
        <f t="shared" si="39"/>
        <v>0</v>
      </c>
      <c r="BX34" s="843">
        <v>2.1647622847355996</v>
      </c>
      <c r="BY34" s="848">
        <v>2.26869332E-3</v>
      </c>
      <c r="BZ34" s="843">
        <f t="shared" si="40"/>
        <v>2.1670309780555996</v>
      </c>
      <c r="CA34" s="849">
        <f t="shared" si="41"/>
        <v>0</v>
      </c>
      <c r="CB34" s="898">
        <f t="shared" si="42"/>
        <v>0</v>
      </c>
      <c r="CD34" s="897">
        <v>1992</v>
      </c>
      <c r="CE34" s="850">
        <v>125948924</v>
      </c>
      <c r="CF34" s="851" t="s">
        <v>32</v>
      </c>
      <c r="CG34" s="851" t="s">
        <v>32</v>
      </c>
      <c r="CH34" s="851" t="s">
        <v>32</v>
      </c>
      <c r="CI34" s="843">
        <v>53.639087653008694</v>
      </c>
      <c r="CJ34" s="851" t="s">
        <v>32</v>
      </c>
      <c r="CK34" s="846" t="s">
        <v>279</v>
      </c>
      <c r="CL34" s="852">
        <v>0.20095165794</v>
      </c>
      <c r="CM34" s="851" t="s">
        <v>32</v>
      </c>
      <c r="CN34" s="911" t="s">
        <v>279</v>
      </c>
      <c r="CP34" s="851">
        <v>1992</v>
      </c>
      <c r="CQ34" s="851" t="s">
        <v>32</v>
      </c>
      <c r="CR34" s="851" t="s">
        <v>32</v>
      </c>
      <c r="CS34" s="851" t="s">
        <v>32</v>
      </c>
      <c r="CT34" s="846" t="s">
        <v>279</v>
      </c>
      <c r="CV34" s="851">
        <v>1992</v>
      </c>
      <c r="CW34" s="851" t="s">
        <v>32</v>
      </c>
      <c r="CX34" s="851" t="s">
        <v>32</v>
      </c>
      <c r="CY34" s="851" t="s">
        <v>32</v>
      </c>
      <c r="CZ34" s="846" t="s">
        <v>279</v>
      </c>
      <c r="DB34" s="851">
        <v>1992</v>
      </c>
      <c r="DC34" s="847">
        <f>'Electricity Imports'!H83</f>
        <v>106845792.10106264</v>
      </c>
      <c r="DD34" s="893">
        <v>108826000</v>
      </c>
      <c r="DE34" s="893">
        <v>2397000</v>
      </c>
      <c r="DF34" s="893">
        <f t="shared" si="43"/>
        <v>111223000</v>
      </c>
      <c r="DG34" s="845">
        <f t="shared" si="44"/>
        <v>4377207.8989373595</v>
      </c>
      <c r="DH34" s="853">
        <f t="shared" si="45"/>
        <v>41.295136750849572</v>
      </c>
      <c r="DI34" s="918">
        <f t="shared" si="46"/>
        <v>3.7128234943176835E-7</v>
      </c>
      <c r="DJ34" s="853">
        <f t="shared" si="47"/>
        <v>18.275183146101725</v>
      </c>
      <c r="DK34" s="3"/>
      <c r="DL34" s="3"/>
      <c r="DN34" s="3"/>
    </row>
    <row r="35" spans="1:118" s="400" customFormat="1" x14ac:dyDescent="0.4">
      <c r="A35" s="1266">
        <v>1993</v>
      </c>
      <c r="B35" s="847">
        <f>'Electricity Imports'!O84</f>
        <v>38771460.358004011</v>
      </c>
      <c r="C35" s="893">
        <v>48644000</v>
      </c>
      <c r="D35" s="893">
        <f t="shared" si="2"/>
        <v>49737182.933449134</v>
      </c>
      <c r="E35" s="843">
        <v>21.852336649197632</v>
      </c>
      <c r="F35" s="843">
        <v>8.0968274290000003E-2</v>
      </c>
      <c r="G35" s="843">
        <f t="shared" si="3"/>
        <v>21.933304923487633</v>
      </c>
      <c r="H35" s="845">
        <f t="shared" si="48"/>
        <v>10965722.575445123</v>
      </c>
      <c r="I35" s="845">
        <f t="shared" si="4"/>
        <v>13666350.073193474</v>
      </c>
      <c r="J35" s="844">
        <f t="shared" si="5"/>
        <v>0.80238853217688111</v>
      </c>
      <c r="K35" s="845">
        <f t="shared" si="6"/>
        <v>6766867.1085003205</v>
      </c>
      <c r="L35" s="845">
        <f t="shared" si="7"/>
        <v>4198035.0462308759</v>
      </c>
      <c r="M35" s="845">
        <f t="shared" si="8"/>
        <v>10964902.154731195</v>
      </c>
      <c r="N35" s="923">
        <f t="shared" si="9"/>
        <v>1.6451997985290938</v>
      </c>
      <c r="O35" s="888" t="s">
        <v>32</v>
      </c>
      <c r="P35" s="888" t="s">
        <v>32</v>
      </c>
      <c r="Q35" s="888" t="s">
        <v>32</v>
      </c>
      <c r="R35" s="924">
        <f t="shared" si="10"/>
        <v>0.51543219846043009</v>
      </c>
      <c r="S35" s="925">
        <f t="shared" si="11"/>
        <v>2.1606319969895238</v>
      </c>
      <c r="T35" s="925">
        <f t="shared" si="12"/>
        <v>24.093936920477155</v>
      </c>
      <c r="V35" s="897">
        <v>1993</v>
      </c>
      <c r="W35" s="847">
        <f>'Electricity Imports'!V84</f>
        <v>11661458.351025729</v>
      </c>
      <c r="X35" s="893">
        <v>9995000</v>
      </c>
      <c r="Y35" s="893">
        <f t="shared" si="13"/>
        <v>10219618.933883401</v>
      </c>
      <c r="Z35" s="845">
        <f t="shared" si="14"/>
        <v>1441839.4171423279</v>
      </c>
      <c r="AA35" s="845">
        <f t="shared" si="15"/>
        <v>1156915.4135556023</v>
      </c>
      <c r="AB35" s="843">
        <f>1.3073793499085*'Electricity Imports'!E119</f>
        <v>1.2444676267334709</v>
      </c>
      <c r="AC35" s="848">
        <f>0.05602633973*'Electricity Imports'!E119</f>
        <v>5.3330325313181673E-2</v>
      </c>
      <c r="AD35" s="843">
        <f t="shared" si="16"/>
        <v>1.2977979520466525</v>
      </c>
      <c r="AE35" s="849">
        <f t="shared" si="17"/>
        <v>0.16046159806272106</v>
      </c>
      <c r="AF35" s="898">
        <f t="shared" si="18"/>
        <v>0.12875254614030343</v>
      </c>
      <c r="AH35" s="851">
        <v>1993</v>
      </c>
      <c r="AI35" s="847">
        <f>'Electricity Imports'!AC84</f>
        <v>16478070.845490938</v>
      </c>
      <c r="AJ35" s="893">
        <v>9278000</v>
      </c>
      <c r="AK35" s="893">
        <f t="shared" si="19"/>
        <v>9486505.6997068729</v>
      </c>
      <c r="AL35" s="845">
        <f t="shared" si="20"/>
        <v>6991565.1457840651</v>
      </c>
      <c r="AM35" s="845">
        <f t="shared" si="21"/>
        <v>5609951.6949447179</v>
      </c>
      <c r="AN35" s="843">
        <v>4.4095468220173002</v>
      </c>
      <c r="AO35" s="848">
        <v>4.4702807409999996E-2</v>
      </c>
      <c r="AP35" s="843">
        <f t="shared" si="22"/>
        <v>4.4542496294273004</v>
      </c>
      <c r="AQ35" s="849">
        <f t="shared" si="23"/>
        <v>1.8899164077964412</v>
      </c>
      <c r="AR35" s="849">
        <f t="shared" si="24"/>
        <v>1.5164472523887904</v>
      </c>
      <c r="AT35" s="851">
        <v>1993</v>
      </c>
      <c r="AU35" s="847">
        <f>'Electricity Imports'!AJ84</f>
        <v>4352901.8216425618</v>
      </c>
      <c r="AV35" s="893">
        <v>5841000</v>
      </c>
      <c r="AW35" s="893">
        <f t="shared" si="25"/>
        <v>5972265.552057323</v>
      </c>
      <c r="AX35" s="845">
        <f t="shared" si="26"/>
        <v>0</v>
      </c>
      <c r="AY35" s="845">
        <f t="shared" si="27"/>
        <v>0</v>
      </c>
      <c r="AZ35" s="843">
        <v>2.1446990132333334E-2</v>
      </c>
      <c r="BA35" s="848">
        <v>5.2717217099999989E-3</v>
      </c>
      <c r="BB35" s="843">
        <f t="shared" si="28"/>
        <v>2.6718711842333334E-2</v>
      </c>
      <c r="BC35" s="849">
        <f t="shared" si="29"/>
        <v>0</v>
      </c>
      <c r="BD35" s="849">
        <f t="shared" si="30"/>
        <v>0</v>
      </c>
      <c r="BF35" s="897">
        <v>1993</v>
      </c>
      <c r="BG35" s="847">
        <f>'Electricity Imports'!AQ84</f>
        <v>30165595.447845668</v>
      </c>
      <c r="BH35" s="893">
        <v>29529000</v>
      </c>
      <c r="BI35" s="893">
        <f t="shared" si="31"/>
        <v>30192609.054391488</v>
      </c>
      <c r="BJ35" s="845">
        <f t="shared" si="32"/>
        <v>0</v>
      </c>
      <c r="BK35" s="845">
        <f t="shared" si="33"/>
        <v>0</v>
      </c>
      <c r="BL35" s="843">
        <v>7.3338824552515325</v>
      </c>
      <c r="BM35" s="848">
        <v>2.8995095819999993E-2</v>
      </c>
      <c r="BN35" s="843">
        <f t="shared" si="34"/>
        <v>7.3628775510715325</v>
      </c>
      <c r="BO35" s="849">
        <f t="shared" si="35"/>
        <v>0</v>
      </c>
      <c r="BP35" s="898">
        <f t="shared" si="36"/>
        <v>0</v>
      </c>
      <c r="BR35" s="897">
        <v>1993</v>
      </c>
      <c r="BS35" s="847">
        <f>'Electricity Imports'!AX84</f>
        <v>6354590.1388539644</v>
      </c>
      <c r="BT35" s="893">
        <v>7246000</v>
      </c>
      <c r="BU35" s="893">
        <f t="shared" si="37"/>
        <v>7408840.2996417331</v>
      </c>
      <c r="BV35" s="845">
        <f t="shared" si="38"/>
        <v>0</v>
      </c>
      <c r="BW35" s="845">
        <f t="shared" si="39"/>
        <v>0</v>
      </c>
      <c r="BX35" s="843">
        <v>1.9933420856598334</v>
      </c>
      <c r="BY35" s="848">
        <v>1.9900539700000003E-3</v>
      </c>
      <c r="BZ35" s="843">
        <f t="shared" si="40"/>
        <v>1.9953321396298334</v>
      </c>
      <c r="CA35" s="849">
        <f t="shared" si="41"/>
        <v>0</v>
      </c>
      <c r="CB35" s="898">
        <f t="shared" si="42"/>
        <v>0</v>
      </c>
      <c r="CD35" s="897">
        <v>1993</v>
      </c>
      <c r="CE35" s="850">
        <v>124221031</v>
      </c>
      <c r="CF35" s="851" t="s">
        <v>32</v>
      </c>
      <c r="CG35" s="851" t="s">
        <v>32</v>
      </c>
      <c r="CH35" s="851" t="s">
        <v>32</v>
      </c>
      <c r="CI35" s="843">
        <v>47.404647825581634</v>
      </c>
      <c r="CJ35" s="851" t="s">
        <v>32</v>
      </c>
      <c r="CK35" s="846" t="s">
        <v>280</v>
      </c>
      <c r="CL35" s="852">
        <v>0.17573590782000001</v>
      </c>
      <c r="CM35" s="851" t="s">
        <v>32</v>
      </c>
      <c r="CN35" s="911" t="s">
        <v>280</v>
      </c>
      <c r="CP35" s="851">
        <v>1993</v>
      </c>
      <c r="CQ35" s="851" t="s">
        <v>32</v>
      </c>
      <c r="CR35" s="851" t="s">
        <v>32</v>
      </c>
      <c r="CS35" s="851" t="s">
        <v>32</v>
      </c>
      <c r="CT35" s="846" t="s">
        <v>280</v>
      </c>
      <c r="CV35" s="851">
        <v>1993</v>
      </c>
      <c r="CW35" s="851" t="s">
        <v>32</v>
      </c>
      <c r="CX35" s="851" t="s">
        <v>32</v>
      </c>
      <c r="CY35" s="851" t="s">
        <v>32</v>
      </c>
      <c r="CZ35" s="846" t="s">
        <v>280</v>
      </c>
      <c r="DB35" s="851">
        <v>1993</v>
      </c>
      <c r="DC35" s="847">
        <f>'Electricity Imports'!H84</f>
        <v>107784076.96286286</v>
      </c>
      <c r="DD35" s="893">
        <v>110532000</v>
      </c>
      <c r="DE35" s="893">
        <v>2484000</v>
      </c>
      <c r="DF35" s="893">
        <f t="shared" si="43"/>
        <v>113016000</v>
      </c>
      <c r="DG35" s="845">
        <f t="shared" si="44"/>
        <v>5231923.0371371359</v>
      </c>
      <c r="DH35" s="853">
        <f t="shared" si="45"/>
        <v>37.585713105965716</v>
      </c>
      <c r="DI35" s="918">
        <f t="shared" si="46"/>
        <v>3.3256984060633643E-7</v>
      </c>
      <c r="DJ35" s="853">
        <f t="shared" si="47"/>
        <v>16.541087000385374</v>
      </c>
      <c r="DK35" s="3"/>
      <c r="DL35" s="3"/>
      <c r="DN35" s="3"/>
    </row>
    <row r="36" spans="1:118" s="400" customFormat="1" x14ac:dyDescent="0.4">
      <c r="A36" s="1266">
        <v>1994</v>
      </c>
      <c r="B36" s="847">
        <f>'Electricity Imports'!O85</f>
        <v>39670559.195756748</v>
      </c>
      <c r="C36" s="893">
        <v>49354000</v>
      </c>
      <c r="D36" s="893">
        <f t="shared" si="2"/>
        <v>50383481.265085459</v>
      </c>
      <c r="E36" s="843">
        <v>22.185916674866498</v>
      </c>
      <c r="F36" s="843">
        <v>8.0142965639999994E-2</v>
      </c>
      <c r="G36" s="843">
        <f t="shared" si="3"/>
        <v>22.266059640506498</v>
      </c>
      <c r="H36" s="845">
        <f t="shared" si="48"/>
        <v>10712922.06932871</v>
      </c>
      <c r="I36" s="845">
        <f t="shared" si="4"/>
        <v>14867648.855642427</v>
      </c>
      <c r="J36" s="844">
        <f t="shared" si="5"/>
        <v>0.72055253479187775</v>
      </c>
      <c r="K36" s="845">
        <f t="shared" si="6"/>
        <v>4453625.9003427094</v>
      </c>
      <c r="L36" s="845">
        <f t="shared" si="7"/>
        <v>6260031.7516163355</v>
      </c>
      <c r="M36" s="845">
        <f t="shared" si="8"/>
        <v>10713657.651959045</v>
      </c>
      <c r="N36" s="923">
        <f t="shared" si="9"/>
        <v>1.0920867935682601</v>
      </c>
      <c r="O36" s="888" t="s">
        <v>32</v>
      </c>
      <c r="P36" s="888" t="s">
        <v>32</v>
      </c>
      <c r="Q36" s="888" t="s">
        <v>32</v>
      </c>
      <c r="R36" s="924">
        <f t="shared" si="10"/>
        <v>0.76860290412884102</v>
      </c>
      <c r="S36" s="925">
        <f t="shared" si="11"/>
        <v>1.8606896976971012</v>
      </c>
      <c r="T36" s="925">
        <f t="shared" si="12"/>
        <v>24.126749338203599</v>
      </c>
      <c r="V36" s="897">
        <v>1994</v>
      </c>
      <c r="W36" s="847">
        <f>'Electricity Imports'!V85</f>
        <v>12290211.662972955</v>
      </c>
      <c r="X36" s="893">
        <v>9977000</v>
      </c>
      <c r="Y36" s="893">
        <f t="shared" si="13"/>
        <v>10185111.492113255</v>
      </c>
      <c r="Z36" s="845">
        <f t="shared" si="14"/>
        <v>2105100.1708597001</v>
      </c>
      <c r="AA36" s="845">
        <f t="shared" si="15"/>
        <v>1516835.2641037719</v>
      </c>
      <c r="AB36" s="843">
        <f>1.21197127516141*'Electricity Imports'!E119</f>
        <v>1.1536506344350761</v>
      </c>
      <c r="AC36" s="848">
        <f>0.04196858431*'Electricity Imports'!E119</f>
        <v>3.9949035845858072E-2</v>
      </c>
      <c r="AD36" s="843">
        <f t="shared" si="16"/>
        <v>1.1935996702809342</v>
      </c>
      <c r="AE36" s="849">
        <f t="shared" si="17"/>
        <v>0.20444292895429894</v>
      </c>
      <c r="AF36" s="898">
        <f t="shared" si="18"/>
        <v>0.14731187067829588</v>
      </c>
      <c r="AH36" s="851">
        <v>1994</v>
      </c>
      <c r="AI36" s="847">
        <f>'Electricity Imports'!AC85</f>
        <v>13657531.865234166</v>
      </c>
      <c r="AJ36" s="893">
        <v>9386000</v>
      </c>
      <c r="AK36" s="893">
        <f t="shared" si="19"/>
        <v>9581783.7491204794</v>
      </c>
      <c r="AL36" s="845">
        <f t="shared" si="20"/>
        <v>4075748.1161136869</v>
      </c>
      <c r="AM36" s="845">
        <f t="shared" si="21"/>
        <v>2936790.6362389377</v>
      </c>
      <c r="AN36" s="843">
        <v>4.3518211442572996</v>
      </c>
      <c r="AO36" s="848">
        <v>4.1850456170000001E-2</v>
      </c>
      <c r="AP36" s="843">
        <f t="shared" si="22"/>
        <v>4.3936716004272993</v>
      </c>
      <c r="AQ36" s="849">
        <f t="shared" si="23"/>
        <v>1.3111811800965354</v>
      </c>
      <c r="AR36" s="849">
        <f t="shared" si="24"/>
        <v>0.94477492288996412</v>
      </c>
      <c r="AT36" s="851">
        <v>1994</v>
      </c>
      <c r="AU36" s="847">
        <f>'Electricity Imports'!AJ85</f>
        <v>5265206.1676723352</v>
      </c>
      <c r="AV36" s="893">
        <v>5867000</v>
      </c>
      <c r="AW36" s="893">
        <f t="shared" si="25"/>
        <v>5989380.4875441985</v>
      </c>
      <c r="AX36" s="845">
        <f t="shared" si="26"/>
        <v>0</v>
      </c>
      <c r="AY36" s="845">
        <f t="shared" si="27"/>
        <v>0</v>
      </c>
      <c r="AZ36" s="843">
        <v>1.8700675046533336E-2</v>
      </c>
      <c r="BA36" s="848">
        <v>5.4989120199999989E-3</v>
      </c>
      <c r="BB36" s="843">
        <f t="shared" si="28"/>
        <v>2.4199587066533336E-2</v>
      </c>
      <c r="BC36" s="849">
        <f t="shared" si="29"/>
        <v>0</v>
      </c>
      <c r="BD36" s="849">
        <f t="shared" si="30"/>
        <v>0</v>
      </c>
      <c r="BF36" s="897">
        <v>1994</v>
      </c>
      <c r="BG36" s="847">
        <f>'Electricity Imports'!AQ85</f>
        <v>28600969.02963879</v>
      </c>
      <c r="BH36" s="893">
        <v>30332000</v>
      </c>
      <c r="BI36" s="893">
        <f t="shared" si="31"/>
        <v>30964698.985544682</v>
      </c>
      <c r="BJ36" s="845">
        <f t="shared" si="32"/>
        <v>0</v>
      </c>
      <c r="BK36" s="845">
        <f t="shared" si="33"/>
        <v>0</v>
      </c>
      <c r="BL36" s="843">
        <v>7.2007815469356</v>
      </c>
      <c r="BM36" s="848">
        <v>2.7857297640000001E-2</v>
      </c>
      <c r="BN36" s="843">
        <f t="shared" si="34"/>
        <v>7.2286388445755998</v>
      </c>
      <c r="BO36" s="849">
        <f t="shared" si="35"/>
        <v>0</v>
      </c>
      <c r="BP36" s="898">
        <f t="shared" si="36"/>
        <v>0</v>
      </c>
      <c r="BR36" s="897">
        <v>1994</v>
      </c>
      <c r="BS36" s="847">
        <f>'Electricity Imports'!AX85</f>
        <v>6446700.6509307679</v>
      </c>
      <c r="BT36" s="893">
        <v>7360000</v>
      </c>
      <c r="BU36" s="893">
        <f t="shared" si="37"/>
        <v>7513523.1614667298</v>
      </c>
      <c r="BV36" s="845">
        <f t="shared" si="38"/>
        <v>0</v>
      </c>
      <c r="BW36" s="845">
        <f t="shared" si="39"/>
        <v>0</v>
      </c>
      <c r="BX36" s="843">
        <v>2.1175541752056999</v>
      </c>
      <c r="BY36" s="848">
        <v>2.1466660099999997E-3</v>
      </c>
      <c r="BZ36" s="843">
        <f t="shared" si="40"/>
        <v>2.1197008412156997</v>
      </c>
      <c r="CA36" s="849">
        <f t="shared" si="41"/>
        <v>0</v>
      </c>
      <c r="CB36" s="898">
        <f t="shared" si="42"/>
        <v>0</v>
      </c>
      <c r="CD36" s="897">
        <v>1994</v>
      </c>
      <c r="CE36" s="850">
        <v>126029572</v>
      </c>
      <c r="CF36" s="851" t="s">
        <v>32</v>
      </c>
      <c r="CG36" s="851" t="s">
        <v>32</v>
      </c>
      <c r="CH36" s="851" t="s">
        <v>32</v>
      </c>
      <c r="CI36" s="843">
        <v>47.273335839938497</v>
      </c>
      <c r="CJ36" s="851" t="s">
        <v>32</v>
      </c>
      <c r="CK36" s="846" t="s">
        <v>281</v>
      </c>
      <c r="CL36" s="852">
        <v>0.16945475794999998</v>
      </c>
      <c r="CM36" s="851" t="s">
        <v>32</v>
      </c>
      <c r="CN36" s="911" t="s">
        <v>281</v>
      </c>
      <c r="CP36" s="851">
        <v>1994</v>
      </c>
      <c r="CQ36" s="851" t="s">
        <v>32</v>
      </c>
      <c r="CR36" s="851" t="s">
        <v>32</v>
      </c>
      <c r="CS36" s="851" t="s">
        <v>32</v>
      </c>
      <c r="CT36" s="846" t="s">
        <v>281</v>
      </c>
      <c r="CV36" s="851">
        <v>1994</v>
      </c>
      <c r="CW36" s="851" t="s">
        <v>32</v>
      </c>
      <c r="CX36" s="851" t="s">
        <v>32</v>
      </c>
      <c r="CY36" s="851" t="s">
        <v>32</v>
      </c>
      <c r="CZ36" s="846" t="s">
        <v>281</v>
      </c>
      <c r="DB36" s="851">
        <v>1994</v>
      </c>
      <c r="DC36" s="847">
        <f>'Electricity Imports'!H85</f>
        <v>105931178.57220575</v>
      </c>
      <c r="DD36" s="893">
        <v>112277000</v>
      </c>
      <c r="DE36" s="893">
        <v>2342000</v>
      </c>
      <c r="DF36" s="893">
        <f t="shared" si="43"/>
        <v>114619000</v>
      </c>
      <c r="DG36" s="845">
        <f t="shared" si="44"/>
        <v>8687821.4277942479</v>
      </c>
      <c r="DH36" s="853">
        <f t="shared" si="45"/>
        <v>37.994473088201403</v>
      </c>
      <c r="DI36" s="918">
        <f t="shared" si="46"/>
        <v>3.3148494654639633E-7</v>
      </c>
      <c r="DJ36" s="853">
        <f t="shared" si="47"/>
        <v>16.701365593978213</v>
      </c>
      <c r="DK36" s="3"/>
      <c r="DL36" s="3"/>
      <c r="DN36" s="3"/>
    </row>
    <row r="37" spans="1:118" s="400" customFormat="1" x14ac:dyDescent="0.4">
      <c r="A37" s="1266">
        <v>1995</v>
      </c>
      <c r="B37" s="847">
        <f>'Electricity Imports'!O86</f>
        <v>39372988.155321851</v>
      </c>
      <c r="C37" s="893">
        <v>49681000</v>
      </c>
      <c r="D37" s="893">
        <f t="shared" si="2"/>
        <v>50726174.301032387</v>
      </c>
      <c r="E37" s="843">
        <v>21.290696356903265</v>
      </c>
      <c r="F37" s="843">
        <v>7.4411120040000001E-2</v>
      </c>
      <c r="G37" s="843">
        <f t="shared" si="3"/>
        <v>21.365107476943265</v>
      </c>
      <c r="H37" s="845">
        <f t="shared" si="48"/>
        <v>11353186.145710535</v>
      </c>
      <c r="I37" s="845">
        <f t="shared" si="4"/>
        <v>19093382.403259926</v>
      </c>
      <c r="J37" s="844">
        <f t="shared" si="5"/>
        <v>0.5946136680199805</v>
      </c>
      <c r="K37" s="845">
        <f t="shared" si="6"/>
        <v>3577993.0287560932</v>
      </c>
      <c r="L37" s="845">
        <f t="shared" si="7"/>
        <v>7775193.1169544514</v>
      </c>
      <c r="M37" s="845">
        <f t="shared" si="8"/>
        <v>11353186.145710545</v>
      </c>
      <c r="N37" s="923">
        <f t="shared" si="9"/>
        <v>0.98780781467787282</v>
      </c>
      <c r="O37" s="888" t="s">
        <v>32</v>
      </c>
      <c r="P37" s="888" t="s">
        <v>32</v>
      </c>
      <c r="Q37" s="888" t="s">
        <v>32</v>
      </c>
      <c r="R37" s="924">
        <f t="shared" si="10"/>
        <v>0.95463349819443954</v>
      </c>
      <c r="S37" s="925">
        <f t="shared" si="11"/>
        <v>1.9424413128723124</v>
      </c>
      <c r="T37" s="925">
        <f t="shared" si="12"/>
        <v>23.307548789815577</v>
      </c>
      <c r="V37" s="897">
        <v>1995</v>
      </c>
      <c r="W37" s="847">
        <f>'Electricity Imports'!V86</f>
        <v>7291496.6906840168</v>
      </c>
      <c r="X37" s="893">
        <v>9620000</v>
      </c>
      <c r="Y37" s="893">
        <f t="shared" si="13"/>
        <v>9822382.7373831365</v>
      </c>
      <c r="Z37" s="845">
        <f t="shared" si="14"/>
        <v>0</v>
      </c>
      <c r="AA37" s="845">
        <f t="shared" si="15"/>
        <v>0</v>
      </c>
      <c r="AB37" s="843">
        <f>1.23369258242413*'Electricity Imports'!E119</f>
        <v>1.1743267019442329</v>
      </c>
      <c r="AC37" s="848">
        <f>0.03045082813*'Electricity Imports'!E119</f>
        <v>2.8985519633350557E-2</v>
      </c>
      <c r="AD37" s="843">
        <f t="shared" si="16"/>
        <v>1.2033122215775836</v>
      </c>
      <c r="AE37" s="849">
        <f t="shared" si="17"/>
        <v>0</v>
      </c>
      <c r="AF37" s="898">
        <f t="shared" si="18"/>
        <v>0</v>
      </c>
      <c r="AH37" s="851">
        <v>1995</v>
      </c>
      <c r="AI37" s="847">
        <f>'Electricity Imports'!AC86</f>
        <v>15657978.73133369</v>
      </c>
      <c r="AJ37" s="893">
        <v>9442000</v>
      </c>
      <c r="AK37" s="893">
        <f t="shared" si="19"/>
        <v>9640638.0256103501</v>
      </c>
      <c r="AL37" s="845">
        <f t="shared" si="20"/>
        <v>6017340.7057233397</v>
      </c>
      <c r="AM37" s="845">
        <f t="shared" si="21"/>
        <v>3577993.0287560932</v>
      </c>
      <c r="AN37" s="843">
        <v>4.283086640641633</v>
      </c>
      <c r="AO37" s="848">
        <v>3.974843158E-2</v>
      </c>
      <c r="AP37" s="843">
        <f t="shared" si="22"/>
        <v>4.3228350722216327</v>
      </c>
      <c r="AQ37" s="849">
        <f t="shared" si="23"/>
        <v>1.6612598529179454</v>
      </c>
      <c r="AR37" s="849">
        <f t="shared" si="24"/>
        <v>0.98780781467787282</v>
      </c>
      <c r="AT37" s="851">
        <v>1995</v>
      </c>
      <c r="AU37" s="847">
        <f>'Electricity Imports'!AJ86</f>
        <v>4836860.4525828855</v>
      </c>
      <c r="AV37" s="893">
        <v>5903000</v>
      </c>
      <c r="AW37" s="893">
        <f t="shared" si="25"/>
        <v>6027185.5819929997</v>
      </c>
      <c r="AX37" s="845">
        <f t="shared" si="26"/>
        <v>0</v>
      </c>
      <c r="AY37" s="845">
        <f t="shared" si="27"/>
        <v>0</v>
      </c>
      <c r="AZ37" s="843">
        <v>2.3867025835399999E-2</v>
      </c>
      <c r="BA37" s="848">
        <v>6.4205497600000007E-3</v>
      </c>
      <c r="BB37" s="843">
        <f t="shared" si="28"/>
        <v>3.0287575595400001E-2</v>
      </c>
      <c r="BC37" s="849">
        <f t="shared" si="29"/>
        <v>0</v>
      </c>
      <c r="BD37" s="849">
        <f t="shared" si="30"/>
        <v>0</v>
      </c>
      <c r="BF37" s="897">
        <v>1995</v>
      </c>
      <c r="BG37" s="847">
        <f>'Electricity Imports'!AQ86</f>
        <v>28870248.525768165</v>
      </c>
      <c r="BH37" s="893">
        <v>30805000</v>
      </c>
      <c r="BI37" s="893">
        <f t="shared" si="31"/>
        <v>31453066.551464397</v>
      </c>
      <c r="BJ37" s="845">
        <f t="shared" si="32"/>
        <v>0</v>
      </c>
      <c r="BK37" s="845">
        <f t="shared" si="33"/>
        <v>0</v>
      </c>
      <c r="BL37" s="843">
        <v>8.0086625494591992</v>
      </c>
      <c r="BM37" s="848">
        <v>2.9641355839999994E-2</v>
      </c>
      <c r="BN37" s="843">
        <f t="shared" si="34"/>
        <v>8.0383039052992</v>
      </c>
      <c r="BO37" s="849">
        <f t="shared" si="35"/>
        <v>0</v>
      </c>
      <c r="BP37" s="898">
        <f t="shared" si="36"/>
        <v>0</v>
      </c>
      <c r="BR37" s="897">
        <v>1995</v>
      </c>
      <c r="BS37" s="847">
        <f>'Electricity Imports'!AX86</f>
        <v>6113385.7467728024</v>
      </c>
      <c r="BT37" s="893">
        <v>7394000</v>
      </c>
      <c r="BU37" s="893">
        <f t="shared" si="37"/>
        <v>7549552.8025167268</v>
      </c>
      <c r="BV37" s="845">
        <f t="shared" si="38"/>
        <v>0</v>
      </c>
      <c r="BW37" s="845">
        <f t="shared" si="39"/>
        <v>0</v>
      </c>
      <c r="BX37" s="843">
        <v>1.9790007113946664</v>
      </c>
      <c r="BY37" s="848">
        <v>1.9862248799999995E-3</v>
      </c>
      <c r="BZ37" s="843">
        <f t="shared" si="40"/>
        <v>1.9809869362746664</v>
      </c>
      <c r="CA37" s="849">
        <f t="shared" si="41"/>
        <v>0</v>
      </c>
      <c r="CB37" s="898">
        <f t="shared" si="42"/>
        <v>0</v>
      </c>
      <c r="CD37" s="897">
        <v>1995</v>
      </c>
      <c r="CE37" s="850">
        <v>133413281</v>
      </c>
      <c r="CF37" s="851" t="s">
        <v>32</v>
      </c>
      <c r="CG37" s="851" t="s">
        <v>32</v>
      </c>
      <c r="CH37" s="851" t="s">
        <v>32</v>
      </c>
      <c r="CI37" s="843">
        <v>51.102977298259432</v>
      </c>
      <c r="CJ37" s="851" t="s">
        <v>32</v>
      </c>
      <c r="CK37" s="846" t="s">
        <v>282</v>
      </c>
      <c r="CL37" s="852">
        <v>0.16100763147</v>
      </c>
      <c r="CM37" s="851" t="s">
        <v>32</v>
      </c>
      <c r="CN37" s="911" t="s">
        <v>282</v>
      </c>
      <c r="CP37" s="851">
        <v>1995</v>
      </c>
      <c r="CQ37" s="851" t="s">
        <v>32</v>
      </c>
      <c r="CR37" s="851" t="s">
        <v>32</v>
      </c>
      <c r="CS37" s="851" t="s">
        <v>32</v>
      </c>
      <c r="CT37" s="846" t="s">
        <v>282</v>
      </c>
      <c r="CV37" s="851">
        <v>1995</v>
      </c>
      <c r="CW37" s="851" t="s">
        <v>32</v>
      </c>
      <c r="CX37" s="851" t="s">
        <v>32</v>
      </c>
      <c r="CY37" s="851" t="s">
        <v>32</v>
      </c>
      <c r="CZ37" s="846" t="s">
        <v>282</v>
      </c>
      <c r="DB37" s="851">
        <v>1995</v>
      </c>
      <c r="DC37" s="847">
        <f>'Electricity Imports'!H86</f>
        <v>102142958.3024634</v>
      </c>
      <c r="DD37" s="893">
        <v>112845000</v>
      </c>
      <c r="DE37" s="893">
        <v>2374000</v>
      </c>
      <c r="DF37" s="893">
        <f t="shared" si="43"/>
        <v>115219000</v>
      </c>
      <c r="DG37" s="845">
        <f t="shared" si="44"/>
        <v>13076041.697536603</v>
      </c>
      <c r="DH37" s="853">
        <f t="shared" si="45"/>
        <v>37.89546668610619</v>
      </c>
      <c r="DI37" s="918">
        <f t="shared" si="46"/>
        <v>3.2889945830206988E-7</v>
      </c>
      <c r="DJ37" s="853">
        <f t="shared" si="47"/>
        <v>16.683811249345929</v>
      </c>
      <c r="DK37" s="3"/>
      <c r="DL37" s="3"/>
      <c r="DN37" s="3"/>
    </row>
    <row r="38" spans="1:118" s="400" customFormat="1" x14ac:dyDescent="0.4">
      <c r="A38" s="1266">
        <v>1996</v>
      </c>
      <c r="B38" s="847">
        <f>'Electricity Imports'!O87</f>
        <v>39686197.770375557</v>
      </c>
      <c r="C38" s="893">
        <v>50467000</v>
      </c>
      <c r="D38" s="893">
        <f t="shared" si="2"/>
        <v>51509766.634976842</v>
      </c>
      <c r="E38" s="843">
        <v>20.724773491599969</v>
      </c>
      <c r="F38" s="843">
        <v>7.7209398500000012E-2</v>
      </c>
      <c r="G38" s="843">
        <f t="shared" si="3"/>
        <v>20.801982890099968</v>
      </c>
      <c r="H38" s="845">
        <f t="shared" si="48"/>
        <v>11823568.864601284</v>
      </c>
      <c r="I38" s="845">
        <f t="shared" si="4"/>
        <v>26155271.046896677</v>
      </c>
      <c r="J38" s="844">
        <f t="shared" si="5"/>
        <v>0.45205300466592374</v>
      </c>
      <c r="K38" s="845">
        <f t="shared" si="6"/>
        <v>5132939.2564758714</v>
      </c>
      <c r="L38" s="845">
        <f t="shared" si="7"/>
        <v>6690629.6081254203</v>
      </c>
      <c r="M38" s="845">
        <f t="shared" si="8"/>
        <v>11823568.864601292</v>
      </c>
      <c r="N38" s="923">
        <f t="shared" si="9"/>
        <v>1.2885426748355742</v>
      </c>
      <c r="O38" s="888" t="s">
        <v>32</v>
      </c>
      <c r="P38" s="888" t="s">
        <v>32</v>
      </c>
      <c r="Q38" s="888" t="s">
        <v>32</v>
      </c>
      <c r="R38" s="924">
        <f t="shared" si="10"/>
        <v>0.82147144795676708</v>
      </c>
      <c r="S38" s="925">
        <f t="shared" si="11"/>
        <v>2.1100141227923412</v>
      </c>
      <c r="T38" s="925">
        <f t="shared" si="12"/>
        <v>22.911997012892307</v>
      </c>
      <c r="V38" s="897">
        <v>1996</v>
      </c>
      <c r="W38" s="847">
        <f>'Electricity Imports'!V87</f>
        <v>11153678.425621327</v>
      </c>
      <c r="X38" s="893">
        <v>10139000</v>
      </c>
      <c r="Y38" s="893">
        <f t="shared" si="13"/>
        <v>10348495.529990492</v>
      </c>
      <c r="Z38" s="845">
        <f t="shared" si="14"/>
        <v>805182.89563083462</v>
      </c>
      <c r="AA38" s="845">
        <f t="shared" si="15"/>
        <v>363985.34727552766</v>
      </c>
      <c r="AB38" s="843">
        <f>1.08962514098413*'Electricity Imports'!E119</f>
        <v>1.0371918550836428</v>
      </c>
      <c r="AC38" s="848">
        <f>0.03146815495*'Electricity Imports'!E119</f>
        <v>2.9953892197431761E-2</v>
      </c>
      <c r="AD38" s="843">
        <f t="shared" si="16"/>
        <v>1.0671457472810746</v>
      </c>
      <c r="AE38" s="849">
        <f t="shared" si="17"/>
        <v>7.7037141476314464E-2</v>
      </c>
      <c r="AF38" s="898">
        <f t="shared" si="18"/>
        <v>3.4824871275241809E-2</v>
      </c>
      <c r="AH38" s="851">
        <v>1996</v>
      </c>
      <c r="AI38" s="847">
        <f>'Electricity Imports'!AC87</f>
        <v>17310852.164569974</v>
      </c>
      <c r="AJ38" s="893">
        <v>9534000</v>
      </c>
      <c r="AK38" s="893">
        <f t="shared" si="19"/>
        <v>9730994.8104279879</v>
      </c>
      <c r="AL38" s="845">
        <f t="shared" si="20"/>
        <v>7579857.354141986</v>
      </c>
      <c r="AM38" s="845">
        <f t="shared" si="21"/>
        <v>3426497.2918789834</v>
      </c>
      <c r="AN38" s="843">
        <v>4.0731792544675329</v>
      </c>
      <c r="AO38" s="848">
        <v>3.974527361E-2</v>
      </c>
      <c r="AP38" s="843">
        <f t="shared" si="22"/>
        <v>4.1129245280775333</v>
      </c>
      <c r="AQ38" s="849">
        <f t="shared" si="23"/>
        <v>1.80091545666284</v>
      </c>
      <c r="AR38" s="849">
        <f t="shared" si="24"/>
        <v>0.81410924333374102</v>
      </c>
      <c r="AT38" s="851">
        <v>1996</v>
      </c>
      <c r="AU38" s="847">
        <f>'Electricity Imports'!AJ87</f>
        <v>5015013.1931965724</v>
      </c>
      <c r="AV38" s="893">
        <v>6025000</v>
      </c>
      <c r="AW38" s="893">
        <f t="shared" si="25"/>
        <v>6149490.6369654527</v>
      </c>
      <c r="AX38" s="845">
        <f t="shared" si="26"/>
        <v>0</v>
      </c>
      <c r="AY38" s="845">
        <f t="shared" si="27"/>
        <v>0</v>
      </c>
      <c r="AZ38" s="843">
        <v>8.1972996475333324E-3</v>
      </c>
      <c r="BA38" s="848">
        <v>6.6951453000000001E-3</v>
      </c>
      <c r="BB38" s="843">
        <f t="shared" si="28"/>
        <v>1.4892444947533333E-2</v>
      </c>
      <c r="BC38" s="849">
        <f t="shared" si="29"/>
        <v>0</v>
      </c>
      <c r="BD38" s="849">
        <f t="shared" si="30"/>
        <v>0</v>
      </c>
      <c r="BF38" s="897">
        <v>1996</v>
      </c>
      <c r="BG38" s="847">
        <f>'Electricity Imports'!AQ87</f>
        <v>18540270.922293529</v>
      </c>
      <c r="BH38" s="893">
        <v>31095000</v>
      </c>
      <c r="BI38" s="893">
        <f t="shared" si="31"/>
        <v>31737495.660820041</v>
      </c>
      <c r="BJ38" s="845">
        <f t="shared" si="32"/>
        <v>0</v>
      </c>
      <c r="BK38" s="845">
        <f t="shared" si="33"/>
        <v>0</v>
      </c>
      <c r="BL38" s="843">
        <v>9.0503036925389324</v>
      </c>
      <c r="BM38" s="848">
        <v>3.4737990360000005E-2</v>
      </c>
      <c r="BN38" s="843">
        <f t="shared" si="34"/>
        <v>9.0850416828989324</v>
      </c>
      <c r="BO38" s="849">
        <f t="shared" si="35"/>
        <v>0</v>
      </c>
      <c r="BP38" s="898">
        <f t="shared" si="36"/>
        <v>0</v>
      </c>
      <c r="BR38" s="897">
        <v>1996</v>
      </c>
      <c r="BS38" s="847">
        <f>'Electricity Imports'!AX87</f>
        <v>10515445.24445986</v>
      </c>
      <c r="BT38" s="893">
        <v>7393000</v>
      </c>
      <c r="BU38" s="893">
        <f t="shared" si="37"/>
        <v>7545756.7268191846</v>
      </c>
      <c r="BV38" s="845">
        <f t="shared" si="38"/>
        <v>2969688.5176406754</v>
      </c>
      <c r="BW38" s="845">
        <f t="shared" si="39"/>
        <v>1342456.6173213604</v>
      </c>
      <c r="BX38" s="843">
        <v>3.4400194976037004</v>
      </c>
      <c r="BY38" s="848">
        <v>3.4286439700000003E-3</v>
      </c>
      <c r="BZ38" s="843">
        <f t="shared" si="40"/>
        <v>3.4434481415737004</v>
      </c>
      <c r="CA38" s="849">
        <f t="shared" si="41"/>
        <v>0.97247127148611878</v>
      </c>
      <c r="CB38" s="898">
        <f t="shared" si="42"/>
        <v>0.43960856022659123</v>
      </c>
      <c r="CD38" s="897">
        <v>1996</v>
      </c>
      <c r="CE38" s="850">
        <v>135732249</v>
      </c>
      <c r="CF38" s="851" t="s">
        <v>32</v>
      </c>
      <c r="CG38" s="851" t="s">
        <v>32</v>
      </c>
      <c r="CH38" s="851" t="s">
        <v>32</v>
      </c>
      <c r="CI38" s="843">
        <v>46.664387306609761</v>
      </c>
      <c r="CJ38" s="851" t="s">
        <v>32</v>
      </c>
      <c r="CK38" s="846" t="s">
        <v>283</v>
      </c>
      <c r="CL38" s="852">
        <v>0.16227388553999997</v>
      </c>
      <c r="CM38" s="851" t="s">
        <v>32</v>
      </c>
      <c r="CN38" s="911" t="s">
        <v>283</v>
      </c>
      <c r="CP38" s="851">
        <v>1996</v>
      </c>
      <c r="CQ38" s="851" t="s">
        <v>32</v>
      </c>
      <c r="CR38" s="851" t="s">
        <v>32</v>
      </c>
      <c r="CS38" s="851" t="s">
        <v>32</v>
      </c>
      <c r="CT38" s="846" t="s">
        <v>283</v>
      </c>
      <c r="CV38" s="851">
        <v>1996</v>
      </c>
      <c r="CW38" s="851" t="s">
        <v>32</v>
      </c>
      <c r="CX38" s="851" t="s">
        <v>32</v>
      </c>
      <c r="CY38" s="851" t="s">
        <v>32</v>
      </c>
      <c r="CZ38" s="846" t="s">
        <v>283</v>
      </c>
      <c r="DB38" s="851">
        <v>1996</v>
      </c>
      <c r="DC38" s="847">
        <f>'Electricity Imports'!H87</f>
        <v>102221457.7205168</v>
      </c>
      <c r="DD38" s="893">
        <v>114653000</v>
      </c>
      <c r="DE38" s="893">
        <v>2369000</v>
      </c>
      <c r="DF38" s="893">
        <f t="shared" si="43"/>
        <v>117022000</v>
      </c>
      <c r="DG38" s="845">
        <f t="shared" si="44"/>
        <v>14800542.279483199</v>
      </c>
      <c r="DH38" s="853">
        <f t="shared" si="45"/>
        <v>39.346906882835512</v>
      </c>
      <c r="DI38" s="918">
        <f t="shared" si="46"/>
        <v>3.362351257270899E-7</v>
      </c>
      <c r="DJ38" s="853">
        <f t="shared" si="47"/>
        <v>17.319392860684498</v>
      </c>
      <c r="DK38" s="3"/>
      <c r="DL38" s="3"/>
      <c r="DN38" s="3"/>
    </row>
    <row r="39" spans="1:118" s="400" customFormat="1" x14ac:dyDescent="0.4">
      <c r="A39" s="1266">
        <v>1997</v>
      </c>
      <c r="B39" s="847">
        <f>'Electricity Imports'!O88</f>
        <v>47017493.794275433</v>
      </c>
      <c r="C39" s="893">
        <v>50855000</v>
      </c>
      <c r="D39" s="893">
        <f t="shared" si="2"/>
        <v>51677363.88098184</v>
      </c>
      <c r="E39" s="843">
        <v>25.983577610356026</v>
      </c>
      <c r="F39" s="843">
        <v>9.4645191179999991E-2</v>
      </c>
      <c r="G39" s="843">
        <f t="shared" si="3"/>
        <v>26.078222801536025</v>
      </c>
      <c r="H39" s="845">
        <f t="shared" si="48"/>
        <v>4659870.0867064074</v>
      </c>
      <c r="I39" s="845">
        <f t="shared" si="4"/>
        <v>23720596.202463727</v>
      </c>
      <c r="J39" s="844">
        <f t="shared" si="5"/>
        <v>0.19644826997318104</v>
      </c>
      <c r="K39" s="845">
        <f t="shared" si="6"/>
        <v>1798614.9080659882</v>
      </c>
      <c r="L39" s="845">
        <f t="shared" si="7"/>
        <v>2861055.5536530768</v>
      </c>
      <c r="M39" s="845">
        <f t="shared" si="8"/>
        <v>4659670.461719065</v>
      </c>
      <c r="N39" s="923">
        <f t="shared" si="9"/>
        <v>0.57090732686331258</v>
      </c>
      <c r="O39" s="888" t="s">
        <v>32</v>
      </c>
      <c r="P39" s="888" t="s">
        <v>32</v>
      </c>
      <c r="Q39" s="888" t="s">
        <v>32</v>
      </c>
      <c r="R39" s="924">
        <f t="shared" si="10"/>
        <v>0.35127866673262798</v>
      </c>
      <c r="S39" s="925">
        <f t="shared" si="11"/>
        <v>0.92218599359594056</v>
      </c>
      <c r="T39" s="925">
        <f t="shared" si="12"/>
        <v>27.000408795131968</v>
      </c>
      <c r="V39" s="897">
        <v>1997</v>
      </c>
      <c r="W39" s="847">
        <f>'Electricity Imports'!V88</f>
        <v>7717464.1054824311</v>
      </c>
      <c r="X39" s="893">
        <v>10291000</v>
      </c>
      <c r="Y39" s="893">
        <f t="shared" si="13"/>
        <v>10457413.267115999</v>
      </c>
      <c r="Z39" s="845">
        <f t="shared" si="14"/>
        <v>0</v>
      </c>
      <c r="AA39" s="845">
        <f t="shared" si="15"/>
        <v>0</v>
      </c>
      <c r="AB39" s="843">
        <f>1.73730629435173*'Electricity Imports'!E119</f>
        <v>1.6537062798126132</v>
      </c>
      <c r="AC39" s="848">
        <f>0.03258351931*'Electricity Imports'!E119</f>
        <v>3.1015584687931513E-2</v>
      </c>
      <c r="AD39" s="843">
        <f t="shared" si="16"/>
        <v>1.6847218645005446</v>
      </c>
      <c r="AE39" s="849">
        <f t="shared" si="17"/>
        <v>0</v>
      </c>
      <c r="AF39" s="898">
        <f t="shared" si="18"/>
        <v>0</v>
      </c>
      <c r="AH39" s="851">
        <v>1997</v>
      </c>
      <c r="AI39" s="847">
        <f>'Electricity Imports'!AC88</f>
        <v>16110281.72774791</v>
      </c>
      <c r="AJ39" s="893">
        <v>9705000</v>
      </c>
      <c r="AK39" s="893">
        <f t="shared" si="19"/>
        <v>9861937.203125136</v>
      </c>
      <c r="AL39" s="845">
        <f t="shared" si="20"/>
        <v>6248344.5246227738</v>
      </c>
      <c r="AM39" s="845">
        <f t="shared" si="21"/>
        <v>1227476.4720585423</v>
      </c>
      <c r="AN39" s="843">
        <v>5.0505026514269753</v>
      </c>
      <c r="AO39" s="848">
        <v>4.4290033630000003E-2</v>
      </c>
      <c r="AP39" s="843">
        <f t="shared" si="22"/>
        <v>5.0947926850569756</v>
      </c>
      <c r="AQ39" s="849">
        <f t="shared" si="23"/>
        <v>1.976006411044561</v>
      </c>
      <c r="AR39" s="849">
        <f t="shared" si="24"/>
        <v>0.38818304090561845</v>
      </c>
      <c r="AT39" s="851">
        <v>1997</v>
      </c>
      <c r="AU39" s="847">
        <f>'Electricity Imports'!AJ88</f>
        <v>5324736.3309964649</v>
      </c>
      <c r="AV39" s="893">
        <v>6076000</v>
      </c>
      <c r="AW39" s="893">
        <f t="shared" si="25"/>
        <v>6174253.5235639689</v>
      </c>
      <c r="AX39" s="845">
        <f t="shared" si="26"/>
        <v>0</v>
      </c>
      <c r="AY39" s="845">
        <f t="shared" si="27"/>
        <v>0</v>
      </c>
      <c r="AZ39" s="843">
        <v>1.5283057344500001E-2</v>
      </c>
      <c r="BA39" s="848">
        <v>7.2290260199999986E-3</v>
      </c>
      <c r="BB39" s="843">
        <f t="shared" si="28"/>
        <v>2.2512083364499998E-2</v>
      </c>
      <c r="BC39" s="849">
        <f t="shared" si="29"/>
        <v>0</v>
      </c>
      <c r="BD39" s="849">
        <f t="shared" si="30"/>
        <v>0</v>
      </c>
      <c r="BF39" s="897">
        <v>1997</v>
      </c>
      <c r="BG39" s="847">
        <f>'Electricity Imports'!AQ88</f>
        <v>16212944.46239447</v>
      </c>
      <c r="BH39" s="893">
        <v>31180000</v>
      </c>
      <c r="BI39" s="893">
        <f t="shared" si="31"/>
        <v>31684204.223950718</v>
      </c>
      <c r="BJ39" s="845">
        <f t="shared" si="32"/>
        <v>0</v>
      </c>
      <c r="BK39" s="845">
        <f t="shared" si="33"/>
        <v>0</v>
      </c>
      <c r="BL39" s="843">
        <v>12.121769929652615</v>
      </c>
      <c r="BM39" s="848">
        <v>4.485973196999999E-2</v>
      </c>
      <c r="BN39" s="843">
        <f t="shared" si="34"/>
        <v>12.166629661622615</v>
      </c>
      <c r="BO39" s="849">
        <f t="shared" si="35"/>
        <v>0</v>
      </c>
      <c r="BP39" s="898">
        <f t="shared" si="36"/>
        <v>0</v>
      </c>
      <c r="BR39" s="897">
        <v>1997</v>
      </c>
      <c r="BS39" s="847">
        <f>'Electricity Imports'!AX88</f>
        <v>10501166.371602573</v>
      </c>
      <c r="BT39" s="893">
        <v>7473000</v>
      </c>
      <c r="BU39" s="893">
        <f t="shared" si="37"/>
        <v>7593844.0720200036</v>
      </c>
      <c r="BV39" s="845">
        <f t="shared" si="38"/>
        <v>2907322.2995825689</v>
      </c>
      <c r="BW39" s="845">
        <f t="shared" si="39"/>
        <v>571138.43600744603</v>
      </c>
      <c r="BX39" s="843">
        <v>3.3563582739236</v>
      </c>
      <c r="BY39" s="848">
        <v>3.2792605200000001E-3</v>
      </c>
      <c r="BZ39" s="843">
        <f t="shared" si="40"/>
        <v>3.3596375344435998</v>
      </c>
      <c r="CA39" s="849">
        <f t="shared" si="41"/>
        <v>0.93013945087243322</v>
      </c>
      <c r="CB39" s="898">
        <f t="shared" si="42"/>
        <v>0.18272428595769413</v>
      </c>
      <c r="CD39" s="897">
        <v>1997</v>
      </c>
      <c r="CE39" s="850">
        <v>140831648</v>
      </c>
      <c r="CF39" s="851" t="s">
        <v>32</v>
      </c>
      <c r="CG39" s="851" t="s">
        <v>32</v>
      </c>
      <c r="CH39" s="851" t="s">
        <v>32</v>
      </c>
      <c r="CI39" s="843">
        <v>52.181119843138561</v>
      </c>
      <c r="CJ39" s="851" t="s">
        <v>32</v>
      </c>
      <c r="CK39" s="846" t="s">
        <v>284</v>
      </c>
      <c r="CL39" s="852">
        <v>0.16907119129000001</v>
      </c>
      <c r="CM39" s="851" t="s">
        <v>32</v>
      </c>
      <c r="CN39" s="911" t="s">
        <v>284</v>
      </c>
      <c r="CP39" s="851">
        <v>1997</v>
      </c>
      <c r="CQ39" s="851" t="s">
        <v>32</v>
      </c>
      <c r="CR39" s="851" t="s">
        <v>32</v>
      </c>
      <c r="CS39" s="851" t="s">
        <v>32</v>
      </c>
      <c r="CT39" s="846" t="s">
        <v>284</v>
      </c>
      <c r="CV39" s="851">
        <v>1997</v>
      </c>
      <c r="CW39" s="851" t="s">
        <v>32</v>
      </c>
      <c r="CX39" s="851" t="s">
        <v>32</v>
      </c>
      <c r="CY39" s="851" t="s">
        <v>32</v>
      </c>
      <c r="CZ39" s="846" t="s">
        <v>284</v>
      </c>
      <c r="DB39" s="851">
        <v>1997</v>
      </c>
      <c r="DC39" s="847">
        <f>'Electricity Imports'!H88</f>
        <v>102884086.79249929</v>
      </c>
      <c r="DD39" s="893">
        <v>115579000</v>
      </c>
      <c r="DE39" s="893">
        <v>1869000</v>
      </c>
      <c r="DF39" s="893">
        <f t="shared" si="43"/>
        <v>117448000</v>
      </c>
      <c r="DG39" s="845">
        <f t="shared" si="44"/>
        <v>14563913.207500711</v>
      </c>
      <c r="DH39" s="853">
        <f t="shared" si="45"/>
        <v>48.757795297256884</v>
      </c>
      <c r="DI39" s="918">
        <f t="shared" si="46"/>
        <v>4.1514368313855396E-7</v>
      </c>
      <c r="DJ39" s="853">
        <f t="shared" si="47"/>
        <v>21.453531176442077</v>
      </c>
      <c r="DK39" s="3"/>
      <c r="DL39" s="3"/>
      <c r="DN39" s="3"/>
    </row>
    <row r="40" spans="1:118" s="400" customFormat="1" x14ac:dyDescent="0.4">
      <c r="A40" s="1266">
        <v>1998</v>
      </c>
      <c r="B40" s="847">
        <f>'Electricity Imports'!O89</f>
        <v>47768563.631517641</v>
      </c>
      <c r="C40" s="893">
        <v>51778000</v>
      </c>
      <c r="D40" s="893">
        <f t="shared" si="2"/>
        <v>52457523.402944721</v>
      </c>
      <c r="E40" s="843">
        <v>26.417508615673867</v>
      </c>
      <c r="F40" s="843">
        <v>9.775223891999997E-2</v>
      </c>
      <c r="G40" s="843">
        <f t="shared" si="3"/>
        <v>26.515260854593866</v>
      </c>
      <c r="H40" s="845">
        <f t="shared" si="48"/>
        <v>4688959.77142708</v>
      </c>
      <c r="I40" s="845">
        <f t="shared" si="4"/>
        <v>22033516.373409681</v>
      </c>
      <c r="J40" s="844">
        <f t="shared" si="5"/>
        <v>0.21281032459647586</v>
      </c>
      <c r="K40" s="845">
        <f t="shared" si="6"/>
        <v>1931056.0200834172</v>
      </c>
      <c r="L40" s="845">
        <f t="shared" si="7"/>
        <v>2757903.7513436629</v>
      </c>
      <c r="M40" s="845">
        <f t="shared" si="8"/>
        <v>4688959.77142708</v>
      </c>
      <c r="N40" s="923">
        <f t="shared" si="9"/>
        <v>0.57248095519701248</v>
      </c>
      <c r="O40" s="888" t="s">
        <v>32</v>
      </c>
      <c r="P40" s="888" t="s">
        <v>32</v>
      </c>
      <c r="Q40" s="888" t="s">
        <v>32</v>
      </c>
      <c r="R40" s="924">
        <f t="shared" si="10"/>
        <v>0.33861375096751722</v>
      </c>
      <c r="S40" s="925">
        <f t="shared" si="11"/>
        <v>0.9110947061645297</v>
      </c>
      <c r="T40" s="925">
        <f t="shared" si="12"/>
        <v>27.426355560758395</v>
      </c>
      <c r="V40" s="897">
        <v>1998</v>
      </c>
      <c r="W40" s="847">
        <f>'Electricity Imports'!V89</f>
        <v>8217784.5319098691</v>
      </c>
      <c r="X40" s="893">
        <v>10167000</v>
      </c>
      <c r="Y40" s="893">
        <f t="shared" si="13"/>
        <v>10300429.534507686</v>
      </c>
      <c r="Z40" s="845">
        <f t="shared" si="14"/>
        <v>0</v>
      </c>
      <c r="AA40" s="845">
        <f t="shared" si="15"/>
        <v>0</v>
      </c>
      <c r="AB40" s="843">
        <f>1.92335562828517*'Electricity Imports'!E119</f>
        <v>1.8308028303063131</v>
      </c>
      <c r="AC40" s="848">
        <f>0.03849262985*'Electricity Imports'!E119</f>
        <v>3.6640345986428541E-2</v>
      </c>
      <c r="AD40" s="843">
        <f t="shared" si="16"/>
        <v>1.8674431762927417</v>
      </c>
      <c r="AE40" s="849">
        <f t="shared" si="17"/>
        <v>0</v>
      </c>
      <c r="AF40" s="898">
        <f t="shared" si="18"/>
        <v>0</v>
      </c>
      <c r="AH40" s="851">
        <v>1998</v>
      </c>
      <c r="AI40" s="847">
        <f>'Electricity Imports'!AC89</f>
        <v>16321934.176007614</v>
      </c>
      <c r="AJ40" s="893">
        <v>9822000</v>
      </c>
      <c r="AK40" s="893">
        <f t="shared" si="19"/>
        <v>9950901.8282614835</v>
      </c>
      <c r="AL40" s="845">
        <f t="shared" si="20"/>
        <v>6371032.3477461301</v>
      </c>
      <c r="AM40" s="845">
        <f t="shared" si="21"/>
        <v>1355821.4619385016</v>
      </c>
      <c r="AN40" s="843">
        <v>4.6732383536557665</v>
      </c>
      <c r="AO40" s="848">
        <v>4.2471503580000007E-2</v>
      </c>
      <c r="AP40" s="843">
        <f t="shared" si="22"/>
        <v>4.7157098572357663</v>
      </c>
      <c r="AQ40" s="849">
        <f t="shared" si="23"/>
        <v>1.8407095457594338</v>
      </c>
      <c r="AR40" s="849">
        <f t="shared" si="24"/>
        <v>0.39172199592089674</v>
      </c>
      <c r="AT40" s="851">
        <v>1998</v>
      </c>
      <c r="AU40" s="847">
        <f>'Electricity Imports'!AJ89</f>
        <v>4636484.6674379818</v>
      </c>
      <c r="AV40" s="893">
        <v>6118000</v>
      </c>
      <c r="AW40" s="893">
        <f t="shared" si="25"/>
        <v>6198291.3240993442</v>
      </c>
      <c r="AX40" s="845">
        <f t="shared" si="26"/>
        <v>0</v>
      </c>
      <c r="AY40" s="845">
        <f t="shared" si="27"/>
        <v>0</v>
      </c>
      <c r="AZ40" s="843">
        <v>5.6307924760266664E-2</v>
      </c>
      <c r="BA40" s="848">
        <v>6.9419949199999997E-3</v>
      </c>
      <c r="BB40" s="843">
        <f t="shared" si="28"/>
        <v>6.3249919680266664E-2</v>
      </c>
      <c r="BC40" s="849">
        <f t="shared" si="29"/>
        <v>0</v>
      </c>
      <c r="BD40" s="849">
        <f t="shared" si="30"/>
        <v>0</v>
      </c>
      <c r="BF40" s="897">
        <v>1998</v>
      </c>
      <c r="BG40" s="847">
        <f>'Electricity Imports'!AQ89</f>
        <v>18063352.002873611</v>
      </c>
      <c r="BH40" s="893">
        <v>31352000</v>
      </c>
      <c r="BI40" s="893">
        <f t="shared" si="31"/>
        <v>31763456.94559703</v>
      </c>
      <c r="BJ40" s="845">
        <f t="shared" si="32"/>
        <v>0</v>
      </c>
      <c r="BK40" s="845">
        <f t="shared" si="33"/>
        <v>0</v>
      </c>
      <c r="BL40" s="843">
        <v>10.982952672323696</v>
      </c>
      <c r="BM40" s="848">
        <v>3.9677377409999999E-2</v>
      </c>
      <c r="BN40" s="843">
        <f t="shared" si="34"/>
        <v>11.022630049733696</v>
      </c>
      <c r="BO40" s="849">
        <f t="shared" si="35"/>
        <v>0</v>
      </c>
      <c r="BP40" s="898">
        <f t="shared" si="36"/>
        <v>0</v>
      </c>
      <c r="BR40" s="897">
        <v>1998</v>
      </c>
      <c r="BS40" s="847">
        <f>'Electricity Imports'!AX89</f>
        <v>10453435.735080106</v>
      </c>
      <c r="BT40" s="893">
        <v>7650000</v>
      </c>
      <c r="BU40" s="893">
        <f t="shared" si="37"/>
        <v>7750396.9645897318</v>
      </c>
      <c r="BV40" s="845">
        <f t="shared" si="38"/>
        <v>2703038.7704903744</v>
      </c>
      <c r="BW40" s="845">
        <f t="shared" si="39"/>
        <v>575234.55814491562</v>
      </c>
      <c r="BX40" s="843">
        <v>3.2816568770161001</v>
      </c>
      <c r="BY40" s="848">
        <v>3.1808254100000005E-3</v>
      </c>
      <c r="BZ40" s="843">
        <f t="shared" si="40"/>
        <v>3.2848377024261</v>
      </c>
      <c r="CA40" s="849">
        <f t="shared" si="41"/>
        <v>0.84938998903772667</v>
      </c>
      <c r="CB40" s="898">
        <f t="shared" si="42"/>
        <v>0.18075895927611568</v>
      </c>
      <c r="CD40" s="897">
        <v>1998</v>
      </c>
      <c r="CE40" s="850">
        <v>144863248</v>
      </c>
      <c r="CF40" s="851" t="s">
        <v>32</v>
      </c>
      <c r="CG40" s="851" t="s">
        <v>32</v>
      </c>
      <c r="CH40" s="851" t="s">
        <v>32</v>
      </c>
      <c r="CI40" s="843">
        <v>55.912607909060924</v>
      </c>
      <c r="CJ40" s="851" t="s">
        <v>32</v>
      </c>
      <c r="CK40" s="846" t="s">
        <v>285</v>
      </c>
      <c r="CL40" s="852">
        <v>0.18979441383000004</v>
      </c>
      <c r="CM40" s="851" t="s">
        <v>32</v>
      </c>
      <c r="CN40" s="911" t="s">
        <v>285</v>
      </c>
      <c r="CP40" s="851">
        <v>1998</v>
      </c>
      <c r="CQ40" s="851" t="s">
        <v>32</v>
      </c>
      <c r="CR40" s="851" t="s">
        <v>32</v>
      </c>
      <c r="CS40" s="851" t="s">
        <v>32</v>
      </c>
      <c r="CT40" s="846" t="s">
        <v>285</v>
      </c>
      <c r="CV40" s="851">
        <v>1998</v>
      </c>
      <c r="CW40" s="851" t="s">
        <v>32</v>
      </c>
      <c r="CX40" s="851" t="s">
        <v>32</v>
      </c>
      <c r="CY40" s="851" t="s">
        <v>32</v>
      </c>
      <c r="CZ40" s="846" t="s">
        <v>285</v>
      </c>
      <c r="DB40" s="851">
        <v>1998</v>
      </c>
      <c r="DC40" s="847">
        <f>'Electricity Imports'!H89</f>
        <v>105461554.74482682</v>
      </c>
      <c r="DD40" s="893">
        <v>116887000</v>
      </c>
      <c r="DE40" s="893">
        <v>1534000</v>
      </c>
      <c r="DF40" s="893">
        <f t="shared" si="43"/>
        <v>118421000</v>
      </c>
      <c r="DG40" s="845">
        <f t="shared" si="44"/>
        <v>12959445.255173177</v>
      </c>
      <c r="DH40" s="853">
        <f t="shared" si="45"/>
        <v>47.807745310929953</v>
      </c>
      <c r="DI40" s="918">
        <f t="shared" si="46"/>
        <v>4.0371002871897681E-7</v>
      </c>
      <c r="DJ40" s="853">
        <f t="shared" si="47"/>
        <v>21.177628279529213</v>
      </c>
      <c r="DK40" s="3"/>
      <c r="DL40" s="3"/>
      <c r="DN40" s="3"/>
    </row>
    <row r="41" spans="1:118" s="400" customFormat="1" x14ac:dyDescent="0.4">
      <c r="A41" s="1266">
        <v>1999</v>
      </c>
      <c r="B41" s="847">
        <f>'Electricity Imports'!O90</f>
        <v>42427206.17005825</v>
      </c>
      <c r="C41" s="893">
        <v>54492000</v>
      </c>
      <c r="D41" s="893">
        <f t="shared" si="2"/>
        <v>55430007.085568078</v>
      </c>
      <c r="E41" s="843">
        <v>23.6484115895963</v>
      </c>
      <c r="F41" s="843">
        <v>8.8359800909999994E-2</v>
      </c>
      <c r="G41" s="843">
        <f t="shared" si="3"/>
        <v>23.736771390506298</v>
      </c>
      <c r="H41" s="845">
        <f t="shared" si="48"/>
        <v>13002800.915509827</v>
      </c>
      <c r="I41" s="845">
        <f t="shared" si="4"/>
        <v>21968834.121150032</v>
      </c>
      <c r="J41" s="844">
        <f t="shared" si="5"/>
        <v>0.59187487345956402</v>
      </c>
      <c r="K41" s="845">
        <f t="shared" si="6"/>
        <v>3854892.2499290323</v>
      </c>
      <c r="L41" s="845">
        <f t="shared" si="7"/>
        <v>9147908.6655807998</v>
      </c>
      <c r="M41" s="845">
        <f t="shared" si="8"/>
        <v>13002800.915509831</v>
      </c>
      <c r="N41" s="923">
        <f t="shared" si="9"/>
        <v>1.0975180642032254</v>
      </c>
      <c r="O41" s="888" t="s">
        <v>32</v>
      </c>
      <c r="P41" s="888" t="s">
        <v>32</v>
      </c>
      <c r="Q41" s="888" t="s">
        <v>32</v>
      </c>
      <c r="R41" s="924">
        <f t="shared" si="10"/>
        <v>1.1231746812235204</v>
      </c>
      <c r="S41" s="925">
        <f t="shared" si="11"/>
        <v>2.2206927454267458</v>
      </c>
      <c r="T41" s="925">
        <f t="shared" si="12"/>
        <v>25.957464135933044</v>
      </c>
      <c r="V41" s="897">
        <v>1999</v>
      </c>
      <c r="W41" s="847">
        <f>'Electricity Imports'!V90</f>
        <v>9465474.6104946285</v>
      </c>
      <c r="X41" s="893">
        <v>11215000</v>
      </c>
      <c r="Y41" s="893">
        <f t="shared" si="13"/>
        <v>11408051.26375699</v>
      </c>
      <c r="Z41" s="845">
        <f t="shared" si="14"/>
        <v>0</v>
      </c>
      <c r="AA41" s="845">
        <f t="shared" si="15"/>
        <v>0</v>
      </c>
      <c r="AB41" s="843">
        <f>3.24392036728829*'Electricity Imports'!E119</f>
        <v>3.0878213588689185</v>
      </c>
      <c r="AC41" s="848">
        <f>0.04808627946*'Electricity Imports'!E119</f>
        <v>4.5772344562591431E-2</v>
      </c>
      <c r="AD41" s="843">
        <f t="shared" si="16"/>
        <v>3.1335937034315098</v>
      </c>
      <c r="AE41" s="849">
        <f>AB41*(Z41/W41)</f>
        <v>0</v>
      </c>
      <c r="AF41" s="898">
        <f t="shared" si="18"/>
        <v>0</v>
      </c>
      <c r="AH41" s="851">
        <v>1999</v>
      </c>
      <c r="AI41" s="847">
        <f>'Electricity Imports'!AC90</f>
        <v>16423782.596132163</v>
      </c>
      <c r="AJ41" s="893">
        <v>10499000</v>
      </c>
      <c r="AK41" s="893">
        <f t="shared" si="19"/>
        <v>10679726.278928636</v>
      </c>
      <c r="AL41" s="845">
        <f t="shared" si="20"/>
        <v>5744056.3172035273</v>
      </c>
      <c r="AM41" s="845">
        <f t="shared" si="21"/>
        <v>3399762.605889447</v>
      </c>
      <c r="AN41" s="843">
        <v>4.5512966604719658</v>
      </c>
      <c r="AO41" s="848">
        <v>4.1212980329999996E-2</v>
      </c>
      <c r="AP41" s="843">
        <f t="shared" si="22"/>
        <v>4.5925096408019659</v>
      </c>
      <c r="AQ41" s="849">
        <f>AN41*(AL41/AI41)</f>
        <v>1.5917712123276657</v>
      </c>
      <c r="AR41" s="849">
        <f t="shared" si="24"/>
        <v>0.94212938487301401</v>
      </c>
      <c r="AT41" s="851">
        <v>1999</v>
      </c>
      <c r="AU41" s="847">
        <f>'Electricity Imports'!AJ90</f>
        <v>5346347.2763173347</v>
      </c>
      <c r="AV41" s="893">
        <v>6182000</v>
      </c>
      <c r="AW41" s="893">
        <f t="shared" si="25"/>
        <v>6288414.8829733143</v>
      </c>
      <c r="AX41" s="845">
        <f t="shared" si="26"/>
        <v>0</v>
      </c>
      <c r="AY41" s="845">
        <f t="shared" si="27"/>
        <v>0</v>
      </c>
      <c r="AZ41" s="843">
        <v>4.0972860298333337E-2</v>
      </c>
      <c r="BA41" s="848">
        <v>7.7886774599999998E-3</v>
      </c>
      <c r="BB41" s="843">
        <f t="shared" si="28"/>
        <v>4.8761537758333334E-2</v>
      </c>
      <c r="BC41" s="849">
        <f>AZ41*(AX41/AU41)</f>
        <v>0</v>
      </c>
      <c r="BD41" s="849">
        <f t="shared" si="30"/>
        <v>0</v>
      </c>
      <c r="BF41" s="897">
        <v>1999</v>
      </c>
      <c r="BG41" s="847">
        <f>'Electricity Imports'!AQ90</f>
        <v>26232437.580873623</v>
      </c>
      <c r="BH41" s="893">
        <v>31767000</v>
      </c>
      <c r="BI41" s="893">
        <f t="shared" si="31"/>
        <v>32313826.526595484</v>
      </c>
      <c r="BJ41" s="845">
        <f t="shared" si="32"/>
        <v>0</v>
      </c>
      <c r="BK41" s="845">
        <f t="shared" si="33"/>
        <v>0</v>
      </c>
      <c r="BL41" s="843">
        <v>9.8098406237973457</v>
      </c>
      <c r="BM41" s="848">
        <v>3.1482480149999992E-2</v>
      </c>
      <c r="BN41" s="843">
        <f t="shared" si="34"/>
        <v>9.8413231039473459</v>
      </c>
      <c r="BO41" s="849">
        <f>BL41*(BJ41/BG41)</f>
        <v>0</v>
      </c>
      <c r="BP41" s="898">
        <f t="shared" si="36"/>
        <v>0</v>
      </c>
      <c r="BR41" s="897">
        <v>1999</v>
      </c>
      <c r="BS41" s="847">
        <f>'Electricity Imports'!AX90</f>
        <v>8685936.5663497467</v>
      </c>
      <c r="BT41" s="893">
        <v>7783000</v>
      </c>
      <c r="BU41" s="893">
        <f t="shared" si="37"/>
        <v>7916973.9621775001</v>
      </c>
      <c r="BV41" s="845">
        <f t="shared" si="38"/>
        <v>768962.60417224653</v>
      </c>
      <c r="BW41" s="845">
        <f t="shared" si="39"/>
        <v>455129.64403958526</v>
      </c>
      <c r="BX41" s="843">
        <v>2.9655203291343666</v>
      </c>
      <c r="BY41" s="848">
        <v>2.8753574099999999E-3</v>
      </c>
      <c r="BZ41" s="843">
        <f t="shared" si="40"/>
        <v>2.9683956865443664</v>
      </c>
      <c r="CA41" s="849">
        <f>BX41*(BV41/BS41)</f>
        <v>0.26253636756355275</v>
      </c>
      <c r="CB41" s="898">
        <f t="shared" si="42"/>
        <v>0.15538867933021136</v>
      </c>
      <c r="CD41" s="897">
        <v>1999</v>
      </c>
      <c r="CE41" s="850">
        <v>146280866</v>
      </c>
      <c r="CF41" s="851" t="s">
        <v>32</v>
      </c>
      <c r="CG41" s="851" t="s">
        <v>32</v>
      </c>
      <c r="CH41" s="851" t="s">
        <v>32</v>
      </c>
      <c r="CI41" s="843">
        <v>56.64684533917346</v>
      </c>
      <c r="CJ41" s="851" t="s">
        <v>32</v>
      </c>
      <c r="CK41" s="846" t="s">
        <v>286</v>
      </c>
      <c r="CL41" s="852">
        <v>0.18149385562000001</v>
      </c>
      <c r="CM41" s="851" t="s">
        <v>32</v>
      </c>
      <c r="CN41" s="911" t="s">
        <v>286</v>
      </c>
      <c r="CP41" s="851">
        <v>1999</v>
      </c>
      <c r="CQ41" s="851" t="s">
        <v>32</v>
      </c>
      <c r="CR41" s="851" t="s">
        <v>32</v>
      </c>
      <c r="CS41" s="851" t="s">
        <v>32</v>
      </c>
      <c r="CT41" s="846" t="s">
        <v>286</v>
      </c>
      <c r="CV41" s="851">
        <v>1999</v>
      </c>
      <c r="CW41" s="851" t="s">
        <v>32</v>
      </c>
      <c r="CX41" s="851" t="s">
        <v>32</v>
      </c>
      <c r="CY41" s="851" t="s">
        <v>32</v>
      </c>
      <c r="CZ41" s="846" t="s">
        <v>286</v>
      </c>
      <c r="DB41" s="851">
        <v>1999</v>
      </c>
      <c r="DC41" s="847">
        <f>'Electricity Imports'!H90</f>
        <v>108581184.80022573</v>
      </c>
      <c r="DD41" s="893">
        <v>121938000</v>
      </c>
      <c r="DE41" s="893">
        <v>2099000</v>
      </c>
      <c r="DF41" s="893">
        <f t="shared" si="43"/>
        <v>124037000</v>
      </c>
      <c r="DG41" s="845">
        <f t="shared" si="44"/>
        <v>15455815.199774265</v>
      </c>
      <c r="DH41" s="853">
        <f t="shared" si="45"/>
        <v>45.444529744213341</v>
      </c>
      <c r="DI41" s="918">
        <f t="shared" si="46"/>
        <v>3.6637882038596018E-7</v>
      </c>
      <c r="DJ41" s="853">
        <f t="shared" si="47"/>
        <v>20.308380609995847</v>
      </c>
      <c r="DK41" s="3"/>
      <c r="DL41" s="3"/>
      <c r="DN41" s="3"/>
    </row>
    <row r="42" spans="1:118" s="400" customFormat="1" x14ac:dyDescent="0.4">
      <c r="A42" s="1266">
        <v>2000</v>
      </c>
      <c r="B42" s="893">
        <f>'Electricity Imports'!L91</f>
        <v>41235000</v>
      </c>
      <c r="C42" s="893">
        <v>56342000</v>
      </c>
      <c r="D42" s="893">
        <f t="shared" si="2"/>
        <v>57525058.886390097</v>
      </c>
      <c r="E42" s="843">
        <v>21.807215254759299</v>
      </c>
      <c r="F42" s="843">
        <v>8.3293137350000004E-2</v>
      </c>
      <c r="G42" s="843">
        <f t="shared" si="3"/>
        <v>21.8905083921093</v>
      </c>
      <c r="H42" s="893">
        <f t="shared" si="48"/>
        <v>16290058.886390097</v>
      </c>
      <c r="I42" s="893">
        <f t="shared" si="4"/>
        <v>21928567.459368072</v>
      </c>
      <c r="J42" s="895">
        <f t="shared" si="5"/>
        <v>0.74286926934804598</v>
      </c>
      <c r="K42" s="893">
        <f t="shared" si="6"/>
        <v>3045442.6831837851</v>
      </c>
      <c r="L42" s="893">
        <f t="shared" ref="L42:L50" si="49">SUM(CH42,CS42,CY42)</f>
        <v>13247587.680283703</v>
      </c>
      <c r="M42" s="893">
        <f t="shared" si="8"/>
        <v>16293030.363467488</v>
      </c>
      <c r="N42" s="856">
        <f t="shared" si="9"/>
        <v>0.91309819550265248</v>
      </c>
      <c r="O42" s="856">
        <f t="shared" ref="O42:O50" si="50">CK42</f>
        <v>0.73123188344823398</v>
      </c>
      <c r="P42" s="854">
        <f t="shared" ref="P42:P50" si="51">CN42</f>
        <v>2.4979611794722413E-3</v>
      </c>
      <c r="Q42" s="855">
        <f t="shared" ref="Q42:Q50" si="52">SUM(CT42+CZ42)</f>
        <v>1.4709471201002491</v>
      </c>
      <c r="R42" s="926">
        <f t="shared" ref="R42:R50" si="53">SUM(O42:Q42)</f>
        <v>2.2046769647279554</v>
      </c>
      <c r="S42" s="927">
        <f t="shared" si="11"/>
        <v>3.1177751602306079</v>
      </c>
      <c r="T42" s="927">
        <f t="shared" si="12"/>
        <v>25.008283552339908</v>
      </c>
      <c r="V42" s="897">
        <v>2000</v>
      </c>
      <c r="W42" s="894">
        <f>'Electricity Imports'!S91</f>
        <v>10355000</v>
      </c>
      <c r="X42" s="893">
        <v>12189000</v>
      </c>
      <c r="Y42" s="893">
        <f t="shared" si="13"/>
        <v>12444942.36566343</v>
      </c>
      <c r="Z42" s="893">
        <f t="shared" ref="Z42:Z50" si="54">IF(W42&gt;Y42,W42-Y42,0)</f>
        <v>0</v>
      </c>
      <c r="AA42" s="893">
        <f t="shared" si="15"/>
        <v>0</v>
      </c>
      <c r="AB42" s="843">
        <f>3.49175624869378*'Electricity Imports'!E119</f>
        <v>3.3237312584506076</v>
      </c>
      <c r="AC42" s="848">
        <f>0.04782242316*'Electricity Imports'!E119</f>
        <v>4.5521185154663919E-2</v>
      </c>
      <c r="AD42" s="843">
        <f t="shared" si="16"/>
        <v>3.3692524436052715</v>
      </c>
      <c r="AE42" s="856">
        <f t="shared" ref="AE42:AE50" si="55">AD42*(Z42/W42)</f>
        <v>0</v>
      </c>
      <c r="AF42" s="899">
        <f t="shared" si="18"/>
        <v>0</v>
      </c>
      <c r="AH42" s="851">
        <v>2000</v>
      </c>
      <c r="AI42" s="894">
        <f>'Electricity Imports'!Z91</f>
        <v>15061000</v>
      </c>
      <c r="AJ42" s="893">
        <v>10736000</v>
      </c>
      <c r="AK42" s="893">
        <f t="shared" si="19"/>
        <v>10961432.540631928</v>
      </c>
      <c r="AL42" s="893">
        <f t="shared" ref="AL42:AL50" si="56">IF(AI42&gt;AK42,AI42-AK42,0)</f>
        <v>4099567.4593680725</v>
      </c>
      <c r="AM42" s="893">
        <f t="shared" si="21"/>
        <v>3045442.6831837851</v>
      </c>
      <c r="AN42" s="843">
        <v>4.4735943254297732</v>
      </c>
      <c r="AO42" s="848">
        <v>4.2061805090000008E-2</v>
      </c>
      <c r="AP42" s="843">
        <f t="shared" si="22"/>
        <v>4.5156561305197735</v>
      </c>
      <c r="AQ42" s="856">
        <f t="shared" ref="AQ42:AQ50" si="57">AP42*(AL42/AI42)</f>
        <v>1.2291505829875049</v>
      </c>
      <c r="AR42" s="856">
        <f t="shared" si="24"/>
        <v>0.91309819550265248</v>
      </c>
      <c r="AT42" s="851">
        <v>2000</v>
      </c>
      <c r="AU42" s="894">
        <f>'Electricity Imports'!AG91</f>
        <v>5638000</v>
      </c>
      <c r="AV42" s="893">
        <v>6186000</v>
      </c>
      <c r="AW42" s="893">
        <f t="shared" si="25"/>
        <v>6315892.4828939186</v>
      </c>
      <c r="AX42" s="893">
        <f t="shared" ref="AX42:AX50" si="58">IF(AU42&gt;AW42,AU42-AW42,0)</f>
        <v>0</v>
      </c>
      <c r="AY42" s="893">
        <f t="shared" si="27"/>
        <v>0</v>
      </c>
      <c r="AZ42" s="843">
        <v>0.12341325556523333</v>
      </c>
      <c r="BA42" s="848">
        <v>7.5189228699999999E-3</v>
      </c>
      <c r="BB42" s="843">
        <f t="shared" si="28"/>
        <v>0.13093217843523333</v>
      </c>
      <c r="BC42" s="856">
        <f t="shared" ref="BC42:BC50" si="59">BB42*(AX42/AU42)</f>
        <v>0</v>
      </c>
      <c r="BD42" s="856">
        <f t="shared" si="30"/>
        <v>0</v>
      </c>
      <c r="BF42" s="897">
        <v>2000</v>
      </c>
      <c r="BG42" s="894">
        <f>'Electricity Imports'!AN91</f>
        <v>31874000</v>
      </c>
      <c r="BH42" s="893">
        <v>32009000</v>
      </c>
      <c r="BI42" s="893">
        <f t="shared" si="31"/>
        <v>32681119.056733176</v>
      </c>
      <c r="BJ42" s="893">
        <f t="shared" ref="BJ42:BJ50" si="60">IF(BG42&gt;BI42,BG42-BI42,0)</f>
        <v>0</v>
      </c>
      <c r="BK42" s="893">
        <f t="shared" si="33"/>
        <v>0</v>
      </c>
      <c r="BL42" s="843">
        <v>10.553678194558099</v>
      </c>
      <c r="BM42" s="848">
        <v>3.6945851379999999E-2</v>
      </c>
      <c r="BN42" s="843">
        <f t="shared" si="34"/>
        <v>10.5906240459381</v>
      </c>
      <c r="BO42" s="856">
        <f t="shared" ref="BO42:BO50" si="61">BN42*(BJ42/BG42)</f>
        <v>0</v>
      </c>
      <c r="BP42" s="899">
        <f t="shared" si="36"/>
        <v>0</v>
      </c>
      <c r="BR42" s="897">
        <v>2000</v>
      </c>
      <c r="BS42" s="894">
        <f>'Electricity Imports'!AU91</f>
        <v>6035000</v>
      </c>
      <c r="BT42" s="893">
        <v>7932000</v>
      </c>
      <c r="BU42" s="893">
        <f t="shared" si="37"/>
        <v>8098554.6676874496</v>
      </c>
      <c r="BV42" s="893">
        <f t="shared" ref="BV42:BV50" si="62">IF(BS42&gt;BU42,BS42-BU42,0)</f>
        <v>0</v>
      </c>
      <c r="BW42" s="893">
        <f t="shared" si="39"/>
        <v>0</v>
      </c>
      <c r="BX42" s="843">
        <v>2.6623491207023333</v>
      </c>
      <c r="BY42" s="848">
        <v>2.5820755799999999E-3</v>
      </c>
      <c r="BZ42" s="843">
        <f t="shared" si="40"/>
        <v>2.6649311962823332</v>
      </c>
      <c r="CA42" s="856">
        <f t="shared" ref="CA42:CA50" si="63">BZ42*(BV42/BS42)</f>
        <v>0</v>
      </c>
      <c r="CB42" s="899">
        <f t="shared" si="42"/>
        <v>0</v>
      </c>
      <c r="CD42" s="897">
        <v>2000</v>
      </c>
      <c r="CE42" s="850">
        <v>138079075</v>
      </c>
      <c r="CF42" s="893">
        <v>2443000</v>
      </c>
      <c r="CG42" s="893">
        <f t="shared" ref="CG42:CG50" si="64">IF(CF42&gt;0,CF42,0)</f>
        <v>2443000</v>
      </c>
      <c r="CH42" s="893">
        <f t="shared" ref="CH42:CH50" si="65">CG42*J42</f>
        <v>1814829.6250172763</v>
      </c>
      <c r="CI42" s="843">
        <v>55.63487651138535</v>
      </c>
      <c r="CJ42" s="856">
        <f t="shared" ref="CJ42:CJ47" si="66">CI42*(CG42/CE42)</f>
        <v>0.98433454393661324</v>
      </c>
      <c r="CK42" s="856">
        <f t="shared" ref="CK42:CK50" si="67">CJ42*J42</f>
        <v>0.73123188344823398</v>
      </c>
      <c r="CL42" s="852">
        <v>0.19005429727000001</v>
      </c>
      <c r="CM42" s="857">
        <f t="shared" ref="CM42:CM50" si="68">CG42/CE42*CL42</f>
        <v>3.3625851580379577E-3</v>
      </c>
      <c r="CN42" s="912">
        <f t="shared" ref="CN42:CN50" si="69">CM42*J42</f>
        <v>2.4979611794722413E-3</v>
      </c>
      <c r="CP42" s="851">
        <v>2000</v>
      </c>
      <c r="CQ42" s="893">
        <v>3957000</v>
      </c>
      <c r="CR42" s="893">
        <f t="shared" ref="CR42:CR50" si="70">IF(CQ42&gt;0,CQ42,0)</f>
        <v>3957000</v>
      </c>
      <c r="CS42" s="893">
        <f t="shared" ref="CS42:CS50" si="71">CR42*J42</f>
        <v>2939533.6988102179</v>
      </c>
      <c r="CT42" s="858">
        <f>CS42*'Electricity Imports'!G158</f>
        <v>1.4403715124170067</v>
      </c>
      <c r="CV42" s="851">
        <v>2000</v>
      </c>
      <c r="CW42" s="893">
        <v>11433000</v>
      </c>
      <c r="CX42" s="893">
        <f t="shared" ref="CX42:CX50" si="72">IF(CW42&gt;0,CW42,0)</f>
        <v>11433000</v>
      </c>
      <c r="CY42" s="893">
        <f t="shared" ref="CY42:CY50" si="73">CX42*J42</f>
        <v>8493224.356456209</v>
      </c>
      <c r="CZ42" s="858">
        <f>CY42*'Electricity Imports'!C158</f>
        <v>3.0575607683242353E-2</v>
      </c>
      <c r="DB42" s="851">
        <v>2000</v>
      </c>
      <c r="DC42" s="893">
        <v>110195000</v>
      </c>
      <c r="DD42" s="893">
        <v>125394000</v>
      </c>
      <c r="DE42" s="893">
        <v>2633000</v>
      </c>
      <c r="DF42" s="893">
        <f t="shared" si="43"/>
        <v>128027000</v>
      </c>
      <c r="DG42" s="893">
        <f t="shared" si="44"/>
        <v>17832000</v>
      </c>
      <c r="DH42" s="853">
        <f>G42+AD42+AP42+BB42+BN42+BZ42+CJ42+CM42+CR42*'Electricity Imports'!G158+CX42*'Electricity Imports'!C158</f>
        <v>46.129690315984654</v>
      </c>
      <c r="DI42" s="918">
        <f t="shared" si="46"/>
        <v>3.6031220223847045E-7</v>
      </c>
      <c r="DJ42" s="853">
        <f t="shared" si="47"/>
        <v>20.726980651252909</v>
      </c>
      <c r="DK42" s="3"/>
      <c r="DL42" s="3"/>
      <c r="DN42" s="3"/>
    </row>
    <row r="43" spans="1:118" s="400" customFormat="1" x14ac:dyDescent="0.4">
      <c r="A43" s="1266">
        <v>2001</v>
      </c>
      <c r="B43" s="893">
        <f>'Electricity Imports'!L92</f>
        <v>41481000</v>
      </c>
      <c r="C43" s="893">
        <v>56953000</v>
      </c>
      <c r="D43" s="893">
        <f t="shared" si="2"/>
        <v>58118320.230226748</v>
      </c>
      <c r="E43" s="843">
        <v>21.615522257352566</v>
      </c>
      <c r="F43" s="843">
        <v>8.060302239999996E-2</v>
      </c>
      <c r="G43" s="843">
        <f t="shared" si="3"/>
        <v>21.696125279752565</v>
      </c>
      <c r="H43" s="893">
        <f t="shared" si="48"/>
        <v>16637320.230226748</v>
      </c>
      <c r="I43" s="893">
        <f t="shared" si="4"/>
        <v>21794829.891527783</v>
      </c>
      <c r="J43" s="895">
        <f t="shared" si="5"/>
        <v>0.76336086645457635</v>
      </c>
      <c r="K43" s="893">
        <f t="shared" si="6"/>
        <v>5609793.5342316106</v>
      </c>
      <c r="L43" s="893">
        <f t="shared" si="49"/>
        <v>11026747.715936355</v>
      </c>
      <c r="M43" s="893">
        <f t="shared" si="8"/>
        <v>16636541.250167966</v>
      </c>
      <c r="N43" s="856">
        <f t="shared" si="9"/>
        <v>1.7425070050749487</v>
      </c>
      <c r="O43" s="856">
        <f t="shared" si="50"/>
        <v>0.98288403280762815</v>
      </c>
      <c r="P43" s="854">
        <f t="shared" si="51"/>
        <v>3.3386851934634151E-3</v>
      </c>
      <c r="Q43" s="855">
        <f t="shared" si="52"/>
        <v>1.4694979122771186</v>
      </c>
      <c r="R43" s="926">
        <f t="shared" si="53"/>
        <v>2.45572063027821</v>
      </c>
      <c r="S43" s="927">
        <f t="shared" si="11"/>
        <v>4.1982276353531587</v>
      </c>
      <c r="T43" s="927">
        <f t="shared" si="12"/>
        <v>25.894352915105724</v>
      </c>
      <c r="V43" s="897">
        <v>2001</v>
      </c>
      <c r="W43" s="894">
        <f>'Electricity Imports'!S92</f>
        <v>15669000</v>
      </c>
      <c r="X43" s="893">
        <v>12015000</v>
      </c>
      <c r="Y43" s="893">
        <f t="shared" si="13"/>
        <v>12260839.948135732</v>
      </c>
      <c r="Z43" s="893">
        <f t="shared" si="54"/>
        <v>3408160.0518642683</v>
      </c>
      <c r="AA43" s="893">
        <f t="shared" si="15"/>
        <v>2601656.0102069816</v>
      </c>
      <c r="AB43" s="843">
        <f>5.69373722455194*'Electricity Imports'!E119</f>
        <v>5.4197518505842091</v>
      </c>
      <c r="AC43" s="848">
        <f>0.06238035585*'Electricity Imports'!E119</f>
        <v>5.9378583121166804E-2</v>
      </c>
      <c r="AD43" s="843">
        <f t="shared" si="16"/>
        <v>5.4791304337053761</v>
      </c>
      <c r="AE43" s="856">
        <f t="shared" si="55"/>
        <v>1.1917642136134026</v>
      </c>
      <c r="AF43" s="899">
        <f t="shared" si="18"/>
        <v>0.90974616271348374</v>
      </c>
      <c r="AH43" s="851">
        <v>2001</v>
      </c>
      <c r="AI43" s="894">
        <f>'Electricity Imports'!Z92</f>
        <v>15030000</v>
      </c>
      <c r="AJ43" s="893">
        <v>10867000</v>
      </c>
      <c r="AK43" s="893">
        <f t="shared" si="19"/>
        <v>11089350.621422473</v>
      </c>
      <c r="AL43" s="893">
        <f t="shared" si="56"/>
        <v>3940649.3785775267</v>
      </c>
      <c r="AM43" s="893">
        <f t="shared" si="21"/>
        <v>3008137.5240246286</v>
      </c>
      <c r="AN43" s="843">
        <v>4.1207854418388736</v>
      </c>
      <c r="AO43" s="848">
        <v>4.0060051669999999E-2</v>
      </c>
      <c r="AP43" s="843">
        <f t="shared" si="22"/>
        <v>4.1608454935088739</v>
      </c>
      <c r="AQ43" s="856">
        <f t="shared" si="57"/>
        <v>1.0909137197839551</v>
      </c>
      <c r="AR43" s="856">
        <f t="shared" si="24"/>
        <v>0.83276084236146486</v>
      </c>
      <c r="AT43" s="851">
        <v>2001</v>
      </c>
      <c r="AU43" s="894">
        <f>'Electricity Imports'!AG92</f>
        <v>4923000</v>
      </c>
      <c r="AV43" s="893">
        <v>6094000</v>
      </c>
      <c r="AW43" s="893">
        <f t="shared" si="25"/>
        <v>6218689.8580057556</v>
      </c>
      <c r="AX43" s="893">
        <f t="shared" si="58"/>
        <v>0</v>
      </c>
      <c r="AY43" s="893">
        <f t="shared" si="27"/>
        <v>0</v>
      </c>
      <c r="AZ43" s="843">
        <v>4.3739915030899995E-2</v>
      </c>
      <c r="BA43" s="848">
        <v>7.4028950899999993E-3</v>
      </c>
      <c r="BB43" s="843">
        <f t="shared" si="28"/>
        <v>5.1142810120899995E-2</v>
      </c>
      <c r="BC43" s="856">
        <f t="shared" si="59"/>
        <v>0</v>
      </c>
      <c r="BD43" s="856">
        <f t="shared" si="30"/>
        <v>0</v>
      </c>
      <c r="BF43" s="897">
        <v>2001</v>
      </c>
      <c r="BG43" s="894">
        <f>'Electricity Imports'!AN92</f>
        <v>29904000</v>
      </c>
      <c r="BH43" s="893">
        <v>32580000</v>
      </c>
      <c r="BI43" s="893">
        <f t="shared" si="31"/>
        <v>33246622.181461688</v>
      </c>
      <c r="BJ43" s="893">
        <f t="shared" si="60"/>
        <v>0</v>
      </c>
      <c r="BK43" s="893">
        <f t="shared" si="33"/>
        <v>0</v>
      </c>
      <c r="BL43" s="843">
        <v>9.3717999020042164</v>
      </c>
      <c r="BM43" s="848">
        <v>3.3819926669999993E-2</v>
      </c>
      <c r="BN43" s="843">
        <f t="shared" si="34"/>
        <v>9.405619828674217</v>
      </c>
      <c r="BO43" s="856">
        <f t="shared" si="61"/>
        <v>0</v>
      </c>
      <c r="BP43" s="899">
        <f t="shared" si="36"/>
        <v>0</v>
      </c>
      <c r="BR43" s="897">
        <v>2001</v>
      </c>
      <c r="BS43" s="894">
        <f>'Electricity Imports'!AU92</f>
        <v>7620000</v>
      </c>
      <c r="BT43" s="893">
        <v>7976000</v>
      </c>
      <c r="BU43" s="893">
        <f t="shared" si="37"/>
        <v>8139197.6218335917</v>
      </c>
      <c r="BV43" s="893">
        <f t="shared" si="62"/>
        <v>0</v>
      </c>
      <c r="BW43" s="893">
        <f t="shared" si="39"/>
        <v>0</v>
      </c>
      <c r="BX43" s="843">
        <v>3.2139660628229003</v>
      </c>
      <c r="BY43" s="848">
        <v>3.1120226100000005E-3</v>
      </c>
      <c r="BZ43" s="843">
        <f t="shared" si="40"/>
        <v>3.2170780854329002</v>
      </c>
      <c r="CA43" s="856">
        <f t="shared" si="63"/>
        <v>0</v>
      </c>
      <c r="CB43" s="899">
        <f t="shared" si="42"/>
        <v>0</v>
      </c>
      <c r="CD43" s="897">
        <v>2001</v>
      </c>
      <c r="CE43" s="850">
        <v>143914559</v>
      </c>
      <c r="CF43" s="893">
        <v>3383000</v>
      </c>
      <c r="CG43" s="893">
        <f t="shared" si="64"/>
        <v>3383000</v>
      </c>
      <c r="CH43" s="893">
        <f t="shared" si="65"/>
        <v>2582449.8112158319</v>
      </c>
      <c r="CI43" s="843">
        <v>54.774083707382978</v>
      </c>
      <c r="CJ43" s="856">
        <f t="shared" si="66"/>
        <v>1.2875745613901135</v>
      </c>
      <c r="CK43" s="856">
        <f t="shared" si="67"/>
        <v>0.98288403280762815</v>
      </c>
      <c r="CL43" s="852">
        <v>0.18605798461999998</v>
      </c>
      <c r="CM43" s="857">
        <f t="shared" si="68"/>
        <v>4.3736656412188286E-3</v>
      </c>
      <c r="CN43" s="912">
        <f t="shared" si="69"/>
        <v>3.3386851934634151E-3</v>
      </c>
      <c r="CP43" s="851">
        <v>2001</v>
      </c>
      <c r="CQ43" s="893">
        <v>3523000</v>
      </c>
      <c r="CR43" s="893">
        <f t="shared" si="70"/>
        <v>3523000</v>
      </c>
      <c r="CS43" s="893">
        <f t="shared" si="71"/>
        <v>2689320.3325194726</v>
      </c>
      <c r="CT43" s="858">
        <f>CS43*'Electricity Imports'!G159</f>
        <v>1.4522329795605153</v>
      </c>
      <c r="CV43" s="851">
        <v>2001</v>
      </c>
      <c r="CW43" s="893">
        <v>7539000</v>
      </c>
      <c r="CX43" s="893">
        <f t="shared" si="72"/>
        <v>7539000</v>
      </c>
      <c r="CY43" s="893">
        <f t="shared" si="73"/>
        <v>5754977.5722010508</v>
      </c>
      <c r="CZ43" s="858">
        <f>CY43*'Electricity Imports'!C159</f>
        <v>1.7264932716603152E-2</v>
      </c>
      <c r="DB43" s="851">
        <v>2001</v>
      </c>
      <c r="DC43" s="893">
        <v>114626000</v>
      </c>
      <c r="DD43" s="893">
        <v>126484000</v>
      </c>
      <c r="DE43" s="893">
        <v>2588000</v>
      </c>
      <c r="DF43" s="893">
        <f t="shared" si="43"/>
        <v>129072000</v>
      </c>
      <c r="DG43" s="893">
        <f t="shared" si="44"/>
        <v>14446000</v>
      </c>
      <c r="DH43" s="853">
        <f>G43+AD43+AP43+BB43+BN43+BZ43+CJ43+CM43+CR43*'Electricity Imports'!G159+CX43*'Electricity Imports'!C159</f>
        <v>47.226927158226161</v>
      </c>
      <c r="DI43" s="918">
        <f t="shared" si="46"/>
        <v>3.658959895114832E-7</v>
      </c>
      <c r="DJ43" s="853">
        <f t="shared" si="47"/>
        <v>21.265260289384067</v>
      </c>
      <c r="DK43" s="3"/>
      <c r="DL43" s="3"/>
      <c r="DN43" s="3"/>
    </row>
    <row r="44" spans="1:118" s="400" customFormat="1" x14ac:dyDescent="0.4">
      <c r="A44" s="1266">
        <v>2002</v>
      </c>
      <c r="B44" s="893">
        <f>'Electricity Imports'!L93</f>
        <v>44507000</v>
      </c>
      <c r="C44" s="893">
        <v>57992000</v>
      </c>
      <c r="D44" s="893">
        <f t="shared" si="2"/>
        <v>59046054.097963713</v>
      </c>
      <c r="E44" s="843">
        <v>22.517318113813229</v>
      </c>
      <c r="F44" s="843">
        <v>8.0621282789999998E-2</v>
      </c>
      <c r="G44" s="843">
        <f t="shared" si="3"/>
        <v>22.597939396603227</v>
      </c>
      <c r="H44" s="893">
        <f t="shared" si="48"/>
        <v>14539054.097963713</v>
      </c>
      <c r="I44" s="893">
        <f t="shared" si="4"/>
        <v>22980691.979035676</v>
      </c>
      <c r="J44" s="895">
        <f t="shared" si="5"/>
        <v>0.63266389503097142</v>
      </c>
      <c r="K44" s="893">
        <f t="shared" si="6"/>
        <v>8070675.43675448</v>
      </c>
      <c r="L44" s="893">
        <f t="shared" si="49"/>
        <v>6467090.33500659</v>
      </c>
      <c r="M44" s="893">
        <f t="shared" si="8"/>
        <v>14537765.771761071</v>
      </c>
      <c r="N44" s="856">
        <f t="shared" si="9"/>
        <v>2.3337253116517016</v>
      </c>
      <c r="O44" s="856">
        <f t="shared" si="50"/>
        <v>0</v>
      </c>
      <c r="P44" s="854">
        <f t="shared" si="51"/>
        <v>0</v>
      </c>
      <c r="Q44" s="855">
        <f t="shared" si="52"/>
        <v>0.97599034561963871</v>
      </c>
      <c r="R44" s="926">
        <f t="shared" si="53"/>
        <v>0.97599034561963871</v>
      </c>
      <c r="S44" s="927">
        <f t="shared" si="11"/>
        <v>3.3097156572713402</v>
      </c>
      <c r="T44" s="927">
        <f t="shared" si="12"/>
        <v>25.907655053874567</v>
      </c>
      <c r="V44" s="897">
        <v>2002</v>
      </c>
      <c r="W44" s="894">
        <f>'Electricity Imports'!S93</f>
        <v>16065000</v>
      </c>
      <c r="X44" s="893">
        <v>11553000</v>
      </c>
      <c r="Y44" s="893">
        <f t="shared" si="13"/>
        <v>11762985.635842439</v>
      </c>
      <c r="Z44" s="893">
        <f t="shared" si="54"/>
        <v>4302014.3641575612</v>
      </c>
      <c r="AA44" s="893">
        <f t="shared" si="15"/>
        <v>2721729.1641071104</v>
      </c>
      <c r="AB44" s="843">
        <f>5.8771797363501*'Electricity Imports'!E119</f>
        <v>5.5943670204776756</v>
      </c>
      <c r="AC44" s="848">
        <f>0.06041349733*'Electricity Imports'!E119</f>
        <v>5.7506370779220141E-2</v>
      </c>
      <c r="AD44" s="843">
        <f t="shared" si="16"/>
        <v>5.6518733912568955</v>
      </c>
      <c r="AE44" s="856">
        <f t="shared" si="55"/>
        <v>1.5135039224143836</v>
      </c>
      <c r="AF44" s="899">
        <f t="shared" si="18"/>
        <v>0.95753928669933708</v>
      </c>
      <c r="AH44" s="851">
        <v>2002</v>
      </c>
      <c r="AI44" s="894">
        <f>'Electricity Imports'!Z93</f>
        <v>17199000</v>
      </c>
      <c r="AJ44" s="893">
        <v>10938000</v>
      </c>
      <c r="AK44" s="893">
        <f t="shared" si="19"/>
        <v>11136807.485920938</v>
      </c>
      <c r="AL44" s="893">
        <f t="shared" si="56"/>
        <v>6062192.5140790623</v>
      </c>
      <c r="AM44" s="893">
        <f t="shared" si="21"/>
        <v>3835330.3283848567</v>
      </c>
      <c r="AN44" s="843">
        <v>4.2764256454858067</v>
      </c>
      <c r="AO44" s="848">
        <v>3.8949816959999994E-2</v>
      </c>
      <c r="AP44" s="843">
        <f t="shared" si="22"/>
        <v>4.3153754624458065</v>
      </c>
      <c r="AQ44" s="856">
        <f t="shared" si="57"/>
        <v>1.5210556906726809</v>
      </c>
      <c r="AR44" s="856">
        <f t="shared" si="24"/>
        <v>0.96231701782000267</v>
      </c>
      <c r="AT44" s="851">
        <v>2002</v>
      </c>
      <c r="AU44" s="894">
        <f>'Electricity Imports'!AG93</f>
        <v>4943000</v>
      </c>
      <c r="AV44" s="893">
        <v>6181000</v>
      </c>
      <c r="AW44" s="893">
        <f t="shared" si="25"/>
        <v>6293344.9506744668</v>
      </c>
      <c r="AX44" s="893">
        <f t="shared" si="58"/>
        <v>0</v>
      </c>
      <c r="AY44" s="893">
        <f t="shared" si="27"/>
        <v>0</v>
      </c>
      <c r="AZ44" s="843">
        <v>1.5389067375366666E-2</v>
      </c>
      <c r="BA44" s="848">
        <v>1.5533741459999995E-2</v>
      </c>
      <c r="BB44" s="843">
        <f t="shared" si="28"/>
        <v>3.0922808835366661E-2</v>
      </c>
      <c r="BC44" s="856">
        <f t="shared" si="59"/>
        <v>0</v>
      </c>
      <c r="BD44" s="856">
        <f t="shared" si="30"/>
        <v>0</v>
      </c>
      <c r="BF44" s="897">
        <v>2002</v>
      </c>
      <c r="BG44" s="894">
        <f>'Electricity Imports'!AN93</f>
        <v>27111000</v>
      </c>
      <c r="BH44" s="893">
        <v>33192000</v>
      </c>
      <c r="BI44" s="893">
        <f t="shared" si="31"/>
        <v>33795292.930397496</v>
      </c>
      <c r="BJ44" s="893">
        <f t="shared" si="60"/>
        <v>0</v>
      </c>
      <c r="BK44" s="893">
        <f t="shared" si="33"/>
        <v>0</v>
      </c>
      <c r="BL44" s="843">
        <v>8.4977948158756202</v>
      </c>
      <c r="BM44" s="848">
        <v>2.5588067860000004E-2</v>
      </c>
      <c r="BN44" s="843">
        <f t="shared" si="34"/>
        <v>8.5233828837356196</v>
      </c>
      <c r="BO44" s="856">
        <f t="shared" si="61"/>
        <v>0</v>
      </c>
      <c r="BP44" s="899">
        <f t="shared" si="36"/>
        <v>0</v>
      </c>
      <c r="BR44" s="897">
        <v>2002</v>
      </c>
      <c r="BS44" s="894">
        <f>'Electricity Imports'!AU93</f>
        <v>10714000</v>
      </c>
      <c r="BT44" s="893">
        <v>8173000</v>
      </c>
      <c r="BU44" s="893">
        <f t="shared" si="37"/>
        <v>8321551.2509080116</v>
      </c>
      <c r="BV44" s="893">
        <f t="shared" si="62"/>
        <v>2392448.7490919884</v>
      </c>
      <c r="BW44" s="893">
        <f t="shared" si="39"/>
        <v>1513615.9442625127</v>
      </c>
      <c r="BX44" s="843">
        <v>2.9267104293826667</v>
      </c>
      <c r="BY44" s="848">
        <v>2.8256654399999998E-3</v>
      </c>
      <c r="BZ44" s="843">
        <f t="shared" si="40"/>
        <v>2.9295360948226667</v>
      </c>
      <c r="CA44" s="856">
        <f t="shared" si="63"/>
        <v>0.65416884128041053</v>
      </c>
      <c r="CB44" s="899">
        <f t="shared" si="42"/>
        <v>0.41386900713236185</v>
      </c>
      <c r="CD44" s="897">
        <v>2002</v>
      </c>
      <c r="CE44" s="850">
        <v>139591688</v>
      </c>
      <c r="CF44" s="893">
        <v>-407000</v>
      </c>
      <c r="CG44" s="893">
        <f t="shared" si="64"/>
        <v>0</v>
      </c>
      <c r="CH44" s="893">
        <f t="shared" si="65"/>
        <v>0</v>
      </c>
      <c r="CI44" s="843">
        <v>50.646073238178332</v>
      </c>
      <c r="CJ44" s="856">
        <f t="shared" si="66"/>
        <v>0</v>
      </c>
      <c r="CK44" s="856">
        <f t="shared" si="67"/>
        <v>0</v>
      </c>
      <c r="CL44" s="852">
        <v>0.16721167044999996</v>
      </c>
      <c r="CM44" s="857">
        <f t="shared" si="68"/>
        <v>0</v>
      </c>
      <c r="CN44" s="912">
        <f t="shared" si="69"/>
        <v>0</v>
      </c>
      <c r="CP44" s="851">
        <v>2002</v>
      </c>
      <c r="CQ44" s="893">
        <v>2883000</v>
      </c>
      <c r="CR44" s="893">
        <f t="shared" si="70"/>
        <v>2883000</v>
      </c>
      <c r="CS44" s="893">
        <f t="shared" si="71"/>
        <v>1823970.0093742907</v>
      </c>
      <c r="CT44" s="858">
        <f>CS44*'Electricity Imports'!G160</f>
        <v>0.96670410496837411</v>
      </c>
      <c r="CV44" s="851">
        <v>2002</v>
      </c>
      <c r="CW44" s="893">
        <v>7339000</v>
      </c>
      <c r="CX44" s="893">
        <f t="shared" si="72"/>
        <v>7339000</v>
      </c>
      <c r="CY44" s="893">
        <f t="shared" si="73"/>
        <v>4643120.3256322993</v>
      </c>
      <c r="CZ44" s="858">
        <f>CY44*'Electricity Imports'!C160</f>
        <v>9.286240651264599E-3</v>
      </c>
      <c r="DB44" s="851">
        <v>2002</v>
      </c>
      <c r="DC44" s="893">
        <v>120539000</v>
      </c>
      <c r="DD44" s="893">
        <v>128027000</v>
      </c>
      <c r="DE44" s="893">
        <v>2327000</v>
      </c>
      <c r="DF44" s="893">
        <f t="shared" si="43"/>
        <v>130354000</v>
      </c>
      <c r="DG44" s="893">
        <f t="shared" si="44"/>
        <v>9815000</v>
      </c>
      <c r="DH44" s="853">
        <f>G44+AD44+AP44+BB44+BN44+BZ44+CJ44+CM44+CR44*'Electricity Imports'!G160+CX44*'Electricity Imports'!C160</f>
        <v>45.591698037699587</v>
      </c>
      <c r="DI44" s="918">
        <f t="shared" si="46"/>
        <v>3.4975296529220114E-7</v>
      </c>
      <c r="DJ44" s="853">
        <f t="shared" si="47"/>
        <v>20.651532509566533</v>
      </c>
      <c r="DK44" s="3"/>
      <c r="DL44" s="3"/>
      <c r="DN44" s="3"/>
    </row>
    <row r="45" spans="1:118" s="400" customFormat="1" x14ac:dyDescent="0.4">
      <c r="A45" s="1266">
        <v>2003</v>
      </c>
      <c r="B45" s="893">
        <f>'Electricity Imports'!L94</f>
        <v>49336000</v>
      </c>
      <c r="C45" s="893">
        <v>59470000</v>
      </c>
      <c r="D45" s="893">
        <f t="shared" si="2"/>
        <v>60315829.510001838</v>
      </c>
      <c r="E45" s="843">
        <v>24.623120017057534</v>
      </c>
      <c r="F45" s="843">
        <v>8.1509664219999986E-2</v>
      </c>
      <c r="G45" s="843">
        <f t="shared" si="3"/>
        <v>24.704629681277535</v>
      </c>
      <c r="H45" s="893">
        <f t="shared" si="48"/>
        <v>10979829.510001838</v>
      </c>
      <c r="I45" s="893">
        <f t="shared" si="4"/>
        <v>19028913.011561759</v>
      </c>
      <c r="J45" s="895">
        <f t="shared" si="5"/>
        <v>0.57700770944355118</v>
      </c>
      <c r="K45" s="893">
        <f t="shared" si="6"/>
        <v>7587601.1861831984</v>
      </c>
      <c r="L45" s="893">
        <f t="shared" si="49"/>
        <v>3392805.3315280806</v>
      </c>
      <c r="M45" s="893">
        <f t="shared" si="8"/>
        <v>10980406.517711278</v>
      </c>
      <c r="N45" s="856">
        <f t="shared" si="9"/>
        <v>2.447252752790158</v>
      </c>
      <c r="O45" s="856">
        <f t="shared" si="50"/>
        <v>0</v>
      </c>
      <c r="P45" s="854">
        <f t="shared" si="51"/>
        <v>0</v>
      </c>
      <c r="Q45" s="855">
        <f t="shared" si="52"/>
        <v>0.47054978705121608</v>
      </c>
      <c r="R45" s="926">
        <f t="shared" si="53"/>
        <v>0.47054978705121608</v>
      </c>
      <c r="S45" s="927">
        <f t="shared" si="11"/>
        <v>2.9178025398413743</v>
      </c>
      <c r="T45" s="927">
        <f t="shared" si="12"/>
        <v>27.62243222111891</v>
      </c>
      <c r="V45" s="897">
        <v>2003</v>
      </c>
      <c r="W45" s="894">
        <f>'Electricity Imports'!S94</f>
        <v>14736000</v>
      </c>
      <c r="X45" s="893">
        <v>11692000</v>
      </c>
      <c r="Y45" s="893">
        <f t="shared" si="13"/>
        <v>11858292.897779409</v>
      </c>
      <c r="Z45" s="893">
        <f t="shared" si="54"/>
        <v>2877707.1022205912</v>
      </c>
      <c r="AA45" s="893">
        <f t="shared" si="15"/>
        <v>1660459.1835017425</v>
      </c>
      <c r="AB45" s="843">
        <f>4.74199605975253*'Electricity Imports'!E119</f>
        <v>4.5138089284282454</v>
      </c>
      <c r="AC45" s="848">
        <f>0.06126182826*'Electricity Imports'!E119</f>
        <v>5.8313879616816187E-2</v>
      </c>
      <c r="AD45" s="843">
        <f t="shared" si="16"/>
        <v>4.5721228080450613</v>
      </c>
      <c r="AE45" s="856">
        <f t="shared" si="55"/>
        <v>0.89286307525353059</v>
      </c>
      <c r="AF45" s="899">
        <f t="shared" si="18"/>
        <v>0.51518887789876477</v>
      </c>
      <c r="AH45" s="851">
        <v>2003</v>
      </c>
      <c r="AI45" s="894">
        <f>'Electricity Imports'!Z94</f>
        <v>21881000</v>
      </c>
      <c r="AJ45" s="893">
        <v>11446000</v>
      </c>
      <c r="AK45" s="893">
        <f t="shared" si="19"/>
        <v>11608794.090658836</v>
      </c>
      <c r="AL45" s="893">
        <f t="shared" si="56"/>
        <v>10272205.909341164</v>
      </c>
      <c r="AM45" s="893">
        <f t="shared" si="21"/>
        <v>5927142.0026814556</v>
      </c>
      <c r="AN45" s="843">
        <v>7.0889345726833799</v>
      </c>
      <c r="AO45" s="848">
        <v>4.359061861E-2</v>
      </c>
      <c r="AP45" s="843">
        <f t="shared" si="22"/>
        <v>7.1325251912933796</v>
      </c>
      <c r="AQ45" s="856">
        <f t="shared" si="57"/>
        <v>3.3484195154941991</v>
      </c>
      <c r="AR45" s="856">
        <f t="shared" si="24"/>
        <v>1.9320638748913932</v>
      </c>
      <c r="AT45" s="851">
        <v>2003</v>
      </c>
      <c r="AU45" s="894">
        <f>'Electricity Imports'!AG94</f>
        <v>5697000</v>
      </c>
      <c r="AV45" s="893">
        <v>6180000</v>
      </c>
      <c r="AW45" s="893">
        <f t="shared" si="25"/>
        <v>6267896.8618095061</v>
      </c>
      <c r="AX45" s="893">
        <f t="shared" si="58"/>
        <v>0</v>
      </c>
      <c r="AY45" s="893">
        <f t="shared" si="27"/>
        <v>0</v>
      </c>
      <c r="AZ45" s="843">
        <v>2.6028289955433329E-2</v>
      </c>
      <c r="BA45" s="848">
        <v>1.7445405319999999E-2</v>
      </c>
      <c r="BB45" s="843">
        <f t="shared" si="28"/>
        <v>4.3473695275433329E-2</v>
      </c>
      <c r="BC45" s="856">
        <f t="shared" si="59"/>
        <v>0</v>
      </c>
      <c r="BD45" s="856">
        <f t="shared" si="30"/>
        <v>0</v>
      </c>
      <c r="BF45" s="897">
        <v>2003</v>
      </c>
      <c r="BG45" s="894">
        <f>'Electricity Imports'!AN94</f>
        <v>27825000</v>
      </c>
      <c r="BH45" s="893">
        <v>33640000</v>
      </c>
      <c r="BI45" s="893">
        <f t="shared" si="31"/>
        <v>34118454.762341715</v>
      </c>
      <c r="BJ45" s="893">
        <f t="shared" si="60"/>
        <v>0</v>
      </c>
      <c r="BK45" s="893">
        <f t="shared" si="33"/>
        <v>0</v>
      </c>
      <c r="BL45" s="843">
        <v>7.7490905889056778</v>
      </c>
      <c r="BM45" s="848">
        <v>2.7295650949999996E-2</v>
      </c>
      <c r="BN45" s="843">
        <f t="shared" si="34"/>
        <v>7.776386239855678</v>
      </c>
      <c r="BO45" s="856">
        <f t="shared" si="61"/>
        <v>0</v>
      </c>
      <c r="BP45" s="899">
        <f t="shared" si="36"/>
        <v>0</v>
      </c>
      <c r="BR45" s="897">
        <v>2003</v>
      </c>
      <c r="BS45" s="894">
        <f>'Electricity Imports'!AU94</f>
        <v>7720000</v>
      </c>
      <c r="BT45" s="893">
        <v>8348000</v>
      </c>
      <c r="BU45" s="893">
        <f t="shared" si="37"/>
        <v>8466731.8774086982</v>
      </c>
      <c r="BV45" s="893">
        <f t="shared" si="62"/>
        <v>0</v>
      </c>
      <c r="BW45" s="893">
        <f t="shared" si="39"/>
        <v>0</v>
      </c>
      <c r="BX45" s="843">
        <v>2.2885235073334331</v>
      </c>
      <c r="BY45" s="848">
        <v>2.2144102499999994E-3</v>
      </c>
      <c r="BZ45" s="843">
        <f t="shared" si="40"/>
        <v>2.2907379175834333</v>
      </c>
      <c r="CA45" s="856">
        <f t="shared" si="63"/>
        <v>0</v>
      </c>
      <c r="CB45" s="899">
        <f t="shared" si="42"/>
        <v>0</v>
      </c>
      <c r="CD45" s="897">
        <v>2003</v>
      </c>
      <c r="CE45" s="850">
        <v>137643316</v>
      </c>
      <c r="CF45" s="893">
        <v>-438000</v>
      </c>
      <c r="CG45" s="893">
        <f t="shared" si="64"/>
        <v>0</v>
      </c>
      <c r="CH45" s="893">
        <f t="shared" si="65"/>
        <v>0</v>
      </c>
      <c r="CI45" s="843">
        <v>51.679519643184456</v>
      </c>
      <c r="CJ45" s="856">
        <f t="shared" si="66"/>
        <v>0</v>
      </c>
      <c r="CK45" s="856">
        <f t="shared" si="67"/>
        <v>0</v>
      </c>
      <c r="CL45" s="852">
        <v>0.18583253302000002</v>
      </c>
      <c r="CM45" s="857">
        <f t="shared" si="68"/>
        <v>0</v>
      </c>
      <c r="CN45" s="912">
        <f t="shared" si="69"/>
        <v>0</v>
      </c>
      <c r="CP45" s="851">
        <v>2003</v>
      </c>
      <c r="CQ45" s="893">
        <v>1645000</v>
      </c>
      <c r="CR45" s="893">
        <f t="shared" si="70"/>
        <v>1645000</v>
      </c>
      <c r="CS45" s="893">
        <f t="shared" si="71"/>
        <v>949177.68203464174</v>
      </c>
      <c r="CT45" s="858">
        <f>CS45*'Electricity Imports'!G161</f>
        <v>0.44611351055628168</v>
      </c>
      <c r="CV45" s="851">
        <v>2003</v>
      </c>
      <c r="CW45" s="893">
        <v>4235000</v>
      </c>
      <c r="CX45" s="893">
        <f t="shared" si="72"/>
        <v>4235000</v>
      </c>
      <c r="CY45" s="893">
        <f t="shared" si="73"/>
        <v>2443627.6494934391</v>
      </c>
      <c r="CZ45" s="858">
        <f>CY45*'Electricity Imports'!C161</f>
        <v>2.4436276494934392E-2</v>
      </c>
      <c r="DB45" s="851">
        <v>2003</v>
      </c>
      <c r="DC45" s="893">
        <v>127195000</v>
      </c>
      <c r="DD45" s="893">
        <v>130776000</v>
      </c>
      <c r="DE45" s="893">
        <v>1860000</v>
      </c>
      <c r="DF45" s="893">
        <f t="shared" si="43"/>
        <v>132636000</v>
      </c>
      <c r="DG45" s="893">
        <f t="shared" si="44"/>
        <v>5441000</v>
      </c>
      <c r="DH45" s="853">
        <f>G45+AD45+AP45+BB45+BN45+BZ45+CJ45+CM45+CR45*'Electricity Imports'!G161+CX45*'Electricity Imports'!C161</f>
        <v>47.33537553333052</v>
      </c>
      <c r="DI45" s="918">
        <f t="shared" si="46"/>
        <v>3.5688180835768962E-7</v>
      </c>
      <c r="DJ45" s="853">
        <f t="shared" si="47"/>
        <v>21.525622308123555</v>
      </c>
      <c r="DK45" s="3"/>
      <c r="DL45" s="3"/>
      <c r="DN45" s="3"/>
    </row>
    <row r="46" spans="1:118" s="400" customFormat="1" x14ac:dyDescent="0.4">
      <c r="A46" s="1266">
        <v>2004</v>
      </c>
      <c r="B46" s="893">
        <f>'Electricity Imports'!L95</f>
        <v>48657000</v>
      </c>
      <c r="C46" s="893">
        <v>59982000</v>
      </c>
      <c r="D46" s="893">
        <f t="shared" si="2"/>
        <v>60818924.45497559</v>
      </c>
      <c r="E46" s="843">
        <v>23.364682827057464</v>
      </c>
      <c r="F46" s="843">
        <v>7.790114020000001E-2</v>
      </c>
      <c r="G46" s="843">
        <f t="shared" si="3"/>
        <v>23.442583967257466</v>
      </c>
      <c r="H46" s="893">
        <f t="shared" si="48"/>
        <v>12161924.45497559</v>
      </c>
      <c r="I46" s="893">
        <f t="shared" si="4"/>
        <v>19548585.35131342</v>
      </c>
      <c r="J46" s="895">
        <f t="shared" si="5"/>
        <v>0.62213834077556207</v>
      </c>
      <c r="K46" s="893">
        <f t="shared" si="6"/>
        <v>9038789.9842822645</v>
      </c>
      <c r="L46" s="893">
        <f t="shared" si="49"/>
        <v>3122512.332352546</v>
      </c>
      <c r="M46" s="893">
        <f t="shared" si="8"/>
        <v>12161302.316634811</v>
      </c>
      <c r="N46" s="856">
        <f t="shared" si="9"/>
        <v>2.881089485337887</v>
      </c>
      <c r="O46" s="856">
        <f t="shared" si="50"/>
        <v>0</v>
      </c>
      <c r="P46" s="854">
        <f t="shared" si="51"/>
        <v>0</v>
      </c>
      <c r="Q46" s="855">
        <f t="shared" si="52"/>
        <v>0.42610317173552326</v>
      </c>
      <c r="R46" s="926">
        <f t="shared" si="53"/>
        <v>0.42610317173552326</v>
      </c>
      <c r="S46" s="927">
        <f t="shared" si="11"/>
        <v>3.3071926570734105</v>
      </c>
      <c r="T46" s="927">
        <f t="shared" si="12"/>
        <v>26.749776624330877</v>
      </c>
      <c r="V46" s="897">
        <v>2004</v>
      </c>
      <c r="W46" s="894">
        <f>'Electricity Imports'!S95</f>
        <v>14747000</v>
      </c>
      <c r="X46" s="893">
        <v>11987000</v>
      </c>
      <c r="Y46" s="893">
        <f t="shared" si="13"/>
        <v>12154253.733483251</v>
      </c>
      <c r="Z46" s="893">
        <f t="shared" si="54"/>
        <v>2592746.2665167488</v>
      </c>
      <c r="AA46" s="893">
        <f t="shared" si="15"/>
        <v>1613046.8603027633</v>
      </c>
      <c r="AB46" s="843">
        <f>4.50721220887599*'Electricity Imports'!E119</f>
        <v>4.290322989388347</v>
      </c>
      <c r="AC46" s="848">
        <f>0.06111793339*'Electricity Imports'!E119</f>
        <v>5.8176909037174901E-2</v>
      </c>
      <c r="AD46" s="843">
        <f t="shared" si="16"/>
        <v>4.3484998984255219</v>
      </c>
      <c r="AE46" s="856">
        <f t="shared" si="55"/>
        <v>0.76453223547780791</v>
      </c>
      <c r="AF46" s="899">
        <f t="shared" si="18"/>
        <v>0.47564481644959472</v>
      </c>
      <c r="AH46" s="851">
        <v>2004</v>
      </c>
      <c r="AI46" s="894">
        <f>'Electricity Imports'!Z95</f>
        <v>23720000</v>
      </c>
      <c r="AJ46" s="893">
        <v>11622000</v>
      </c>
      <c r="AK46" s="893">
        <f t="shared" si="19"/>
        <v>11784160.915203333</v>
      </c>
      <c r="AL46" s="893">
        <f t="shared" si="56"/>
        <v>11935839.084796667</v>
      </c>
      <c r="AM46" s="893">
        <f t="shared" si="21"/>
        <v>7425743.1239795014</v>
      </c>
      <c r="AN46" s="843">
        <v>7.6389524824439592</v>
      </c>
      <c r="AO46" s="848">
        <v>4.4742818270000005E-2</v>
      </c>
      <c r="AP46" s="843">
        <f t="shared" si="22"/>
        <v>7.6836953007139588</v>
      </c>
      <c r="AQ46" s="856">
        <f t="shared" si="57"/>
        <v>3.8664144471302766</v>
      </c>
      <c r="AR46" s="856">
        <f t="shared" si="24"/>
        <v>2.4054446688882924</v>
      </c>
      <c r="AT46" s="851">
        <v>2004</v>
      </c>
      <c r="AU46" s="894">
        <f>'Electricity Imports'!AG95</f>
        <v>5170000</v>
      </c>
      <c r="AV46" s="893">
        <v>6344000</v>
      </c>
      <c r="AW46" s="893">
        <f t="shared" si="25"/>
        <v>6432517.3675830271</v>
      </c>
      <c r="AX46" s="893">
        <f t="shared" si="58"/>
        <v>0</v>
      </c>
      <c r="AY46" s="893">
        <f t="shared" si="27"/>
        <v>0</v>
      </c>
      <c r="AZ46" s="843">
        <v>2.2042685343433333E-2</v>
      </c>
      <c r="BA46" s="848">
        <v>1.2651294339999999E-2</v>
      </c>
      <c r="BB46" s="843">
        <f t="shared" si="28"/>
        <v>3.4693979683433331E-2</v>
      </c>
      <c r="BC46" s="856">
        <f t="shared" si="59"/>
        <v>0</v>
      </c>
      <c r="BD46" s="856">
        <f t="shared" si="30"/>
        <v>0</v>
      </c>
      <c r="BF46" s="897">
        <v>2004</v>
      </c>
      <c r="BG46" s="894">
        <f>'Electricity Imports'!AN95</f>
        <v>30096000</v>
      </c>
      <c r="BH46" s="893">
        <v>34159000</v>
      </c>
      <c r="BI46" s="893">
        <f t="shared" si="31"/>
        <v>34635618.026366428</v>
      </c>
      <c r="BJ46" s="893">
        <f t="shared" si="60"/>
        <v>0</v>
      </c>
      <c r="BK46" s="893">
        <f t="shared" si="33"/>
        <v>0</v>
      </c>
      <c r="BL46" s="843">
        <v>8.5346287428096019</v>
      </c>
      <c r="BM46" s="848">
        <v>2.8307790789999999E-2</v>
      </c>
      <c r="BN46" s="843">
        <f t="shared" si="34"/>
        <v>8.5629365335996024</v>
      </c>
      <c r="BO46" s="856">
        <f t="shared" si="61"/>
        <v>0</v>
      </c>
      <c r="BP46" s="899">
        <f t="shared" si="36"/>
        <v>0</v>
      </c>
      <c r="BR46" s="897">
        <v>2004</v>
      </c>
      <c r="BS46" s="894">
        <f>'Electricity Imports'!AU95</f>
        <v>7068000</v>
      </c>
      <c r="BT46" s="893">
        <v>8423000</v>
      </c>
      <c r="BU46" s="893">
        <f t="shared" si="37"/>
        <v>8540525.502388373</v>
      </c>
      <c r="BV46" s="893">
        <f t="shared" si="62"/>
        <v>0</v>
      </c>
      <c r="BW46" s="893">
        <f t="shared" si="39"/>
        <v>0</v>
      </c>
      <c r="BX46" s="843">
        <v>1.9556324017163995</v>
      </c>
      <c r="BY46" s="848">
        <v>1.8896534799999996E-3</v>
      </c>
      <c r="BZ46" s="843">
        <f t="shared" si="40"/>
        <v>1.9575220551963994</v>
      </c>
      <c r="CA46" s="856">
        <f t="shared" si="63"/>
        <v>0</v>
      </c>
      <c r="CB46" s="899">
        <f t="shared" si="42"/>
        <v>0</v>
      </c>
      <c r="CD46" s="897">
        <v>2004</v>
      </c>
      <c r="CE46" s="850">
        <v>137964794</v>
      </c>
      <c r="CF46" s="893">
        <v>-112000</v>
      </c>
      <c r="CG46" s="893">
        <f t="shared" si="64"/>
        <v>0</v>
      </c>
      <c r="CH46" s="893">
        <f t="shared" si="65"/>
        <v>0</v>
      </c>
      <c r="CI46" s="843">
        <v>52.105187175299115</v>
      </c>
      <c r="CJ46" s="856">
        <f t="shared" si="66"/>
        <v>0</v>
      </c>
      <c r="CK46" s="856">
        <f t="shared" si="67"/>
        <v>0</v>
      </c>
      <c r="CL46" s="852">
        <v>0.18736536459999997</v>
      </c>
      <c r="CM46" s="857">
        <f t="shared" si="68"/>
        <v>0</v>
      </c>
      <c r="CN46" s="912">
        <f t="shared" si="69"/>
        <v>0</v>
      </c>
      <c r="CP46" s="851">
        <v>2004</v>
      </c>
      <c r="CQ46" s="893">
        <v>1330000</v>
      </c>
      <c r="CR46" s="893">
        <f t="shared" si="70"/>
        <v>1330000</v>
      </c>
      <c r="CS46" s="893">
        <f t="shared" si="71"/>
        <v>827443.99323149759</v>
      </c>
      <c r="CT46" s="858">
        <f>CS46*'Electricity Imports'!G162</f>
        <v>0.4054475566834338</v>
      </c>
      <c r="CV46" s="851">
        <v>2004</v>
      </c>
      <c r="CW46" s="893">
        <v>3689000</v>
      </c>
      <c r="CX46" s="893">
        <f t="shared" si="72"/>
        <v>3689000</v>
      </c>
      <c r="CY46" s="893">
        <f t="shared" si="73"/>
        <v>2295068.3391210483</v>
      </c>
      <c r="CZ46" s="858">
        <f>CY46*'Electricity Imports'!C162</f>
        <v>2.0655615052089436E-2</v>
      </c>
      <c r="DB46" s="851">
        <v>2004</v>
      </c>
      <c r="DC46" s="893">
        <v>129459000</v>
      </c>
      <c r="DD46" s="893">
        <v>132517000</v>
      </c>
      <c r="DE46" s="893">
        <v>1849000</v>
      </c>
      <c r="DF46" s="893">
        <f t="shared" si="43"/>
        <v>134366000</v>
      </c>
      <c r="DG46" s="893">
        <f t="shared" si="44"/>
        <v>4907000</v>
      </c>
      <c r="DH46" s="853">
        <f>G46+AD46+AP46+BB46+BN46+BZ46+CJ46+CM46+CR46*'Electricity Imports'!G162+CX46*'Electricity Imports'!C162</f>
        <v>46.714832734876381</v>
      </c>
      <c r="DI46" s="918">
        <f t="shared" si="46"/>
        <v>3.4766855257190349E-7</v>
      </c>
      <c r="DJ46" s="853">
        <f t="shared" si="47"/>
        <v>21.144827434241307</v>
      </c>
      <c r="DK46" s="3"/>
      <c r="DL46" s="3"/>
      <c r="DN46" s="3"/>
    </row>
    <row r="47" spans="1:118" s="400" customFormat="1" x14ac:dyDescent="0.4">
      <c r="A47" s="1266">
        <v>2005</v>
      </c>
      <c r="B47" s="893">
        <f>'Electricity Imports'!L96</f>
        <v>48635000</v>
      </c>
      <c r="C47" s="893">
        <v>61805000</v>
      </c>
      <c r="D47" s="893">
        <f t="shared" si="2"/>
        <v>62629489.714348577</v>
      </c>
      <c r="E47" s="843">
        <v>24.091643276815194</v>
      </c>
      <c r="F47" s="843">
        <v>8.3379937680000002E-2</v>
      </c>
      <c r="G47" s="843">
        <f t="shared" si="3"/>
        <v>24.175023214495194</v>
      </c>
      <c r="H47" s="893">
        <f t="shared" si="48"/>
        <v>13994489.714348577</v>
      </c>
      <c r="I47" s="893">
        <f t="shared" si="4"/>
        <v>20470948.568075977</v>
      </c>
      <c r="J47" s="895">
        <f t="shared" si="5"/>
        <v>0.68362683183976614</v>
      </c>
      <c r="K47" s="893">
        <f t="shared" si="6"/>
        <v>9612441.722255677</v>
      </c>
      <c r="L47" s="893">
        <f t="shared" si="49"/>
        <v>4383415.2457565805</v>
      </c>
      <c r="M47" s="893">
        <f t="shared" si="8"/>
        <v>13995856.968012258</v>
      </c>
      <c r="N47" s="856">
        <f t="shared" si="9"/>
        <v>2.9692162463672189</v>
      </c>
      <c r="O47" s="856">
        <f t="shared" si="50"/>
        <v>0</v>
      </c>
      <c r="P47" s="854">
        <f t="shared" si="51"/>
        <v>0</v>
      </c>
      <c r="Q47" s="855">
        <f t="shared" si="52"/>
        <v>0.45576635216705547</v>
      </c>
      <c r="R47" s="926">
        <f t="shared" si="53"/>
        <v>0.45576635216705547</v>
      </c>
      <c r="S47" s="927">
        <f t="shared" si="11"/>
        <v>3.4249825985342746</v>
      </c>
      <c r="T47" s="927">
        <f t="shared" si="12"/>
        <v>27.600005813029469</v>
      </c>
      <c r="V47" s="897">
        <v>2005</v>
      </c>
      <c r="W47" s="894">
        <f>'Electricity Imports'!S96</f>
        <v>14249000</v>
      </c>
      <c r="X47" s="893">
        <v>12209000</v>
      </c>
      <c r="Y47" s="893">
        <f t="shared" si="13"/>
        <v>12371870.235781599</v>
      </c>
      <c r="Z47" s="893">
        <f t="shared" si="54"/>
        <v>1877129.7642184012</v>
      </c>
      <c r="AA47" s="893">
        <f t="shared" si="15"/>
        <v>1283256.2736647527</v>
      </c>
      <c r="AB47" s="843">
        <f>3.79035114093954*'Electricity Imports'!E119</f>
        <v>3.6079576208555393</v>
      </c>
      <c r="AC47" s="848">
        <f>0.08003034759*'Electricity Imports'!E119</f>
        <v>7.6179248768884447E-2</v>
      </c>
      <c r="AD47" s="843">
        <f t="shared" si="16"/>
        <v>3.6841368696244237</v>
      </c>
      <c r="AE47" s="856">
        <f t="shared" si="55"/>
        <v>0.48533953073383485</v>
      </c>
      <c r="AF47" s="899">
        <f t="shared" si="18"/>
        <v>0.33179112576217035</v>
      </c>
      <c r="AH47" s="851">
        <v>2005</v>
      </c>
      <c r="AI47" s="894">
        <f>'Electricity Imports'!Z96</f>
        <v>24299000</v>
      </c>
      <c r="AJ47" s="893">
        <v>11978000</v>
      </c>
      <c r="AK47" s="893">
        <f t="shared" si="19"/>
        <v>12137788.654614793</v>
      </c>
      <c r="AL47" s="893">
        <f t="shared" si="56"/>
        <v>12161211.345385207</v>
      </c>
      <c r="AM47" s="893">
        <f t="shared" si="21"/>
        <v>8313730.3833795087</v>
      </c>
      <c r="AN47" s="843">
        <v>7.6513200350278732</v>
      </c>
      <c r="AO47" s="848">
        <v>4.4937441839999988E-2</v>
      </c>
      <c r="AP47" s="843">
        <f t="shared" si="22"/>
        <v>7.6962574768678733</v>
      </c>
      <c r="AQ47" s="856">
        <f t="shared" si="57"/>
        <v>3.851838089826384</v>
      </c>
      <c r="AR47" s="856">
        <f t="shared" si="24"/>
        <v>2.6332198701077476</v>
      </c>
      <c r="AT47" s="851">
        <v>2005</v>
      </c>
      <c r="AU47" s="894">
        <f>'Electricity Imports'!AG96</f>
        <v>5455000</v>
      </c>
      <c r="AV47" s="893">
        <v>6511000</v>
      </c>
      <c r="AW47" s="893">
        <f t="shared" si="25"/>
        <v>6597857.9003336877</v>
      </c>
      <c r="AX47" s="893">
        <f t="shared" si="58"/>
        <v>0</v>
      </c>
      <c r="AY47" s="893">
        <f t="shared" si="27"/>
        <v>0</v>
      </c>
      <c r="AZ47" s="843">
        <v>6.7097497305666663E-3</v>
      </c>
      <c r="BA47" s="848">
        <v>9.7922057299999997E-3</v>
      </c>
      <c r="BB47" s="843">
        <f t="shared" si="28"/>
        <v>1.6501955460566667E-2</v>
      </c>
      <c r="BC47" s="856">
        <f t="shared" si="59"/>
        <v>0</v>
      </c>
      <c r="BD47" s="856">
        <f t="shared" si="30"/>
        <v>0</v>
      </c>
      <c r="BF47" s="897">
        <v>2005</v>
      </c>
      <c r="BG47" s="894">
        <f>'Electricity Imports'!AN96</f>
        <v>30453000</v>
      </c>
      <c r="BH47" s="893">
        <v>35202000</v>
      </c>
      <c r="BI47" s="893">
        <f t="shared" si="31"/>
        <v>35671600.953393713</v>
      </c>
      <c r="BJ47" s="893">
        <f t="shared" si="60"/>
        <v>0</v>
      </c>
      <c r="BK47" s="893">
        <f t="shared" si="33"/>
        <v>0</v>
      </c>
      <c r="BL47" s="843">
        <v>9.7746209825307329</v>
      </c>
      <c r="BM47" s="848">
        <v>3.1624126559999993E-2</v>
      </c>
      <c r="BN47" s="843">
        <f t="shared" si="34"/>
        <v>9.8062451090907334</v>
      </c>
      <c r="BO47" s="856">
        <f t="shared" si="61"/>
        <v>0</v>
      </c>
      <c r="BP47" s="899">
        <f t="shared" si="36"/>
        <v>0</v>
      </c>
      <c r="BR47" s="897">
        <v>2005</v>
      </c>
      <c r="BS47" s="894">
        <f>'Electricity Imports'!AU96</f>
        <v>8788000</v>
      </c>
      <c r="BT47" s="893">
        <v>8650000</v>
      </c>
      <c r="BU47" s="893">
        <f t="shared" si="37"/>
        <v>8765392.5415276308</v>
      </c>
      <c r="BV47" s="893">
        <f t="shared" si="62"/>
        <v>22607.458472369239</v>
      </c>
      <c r="BW47" s="893">
        <f t="shared" si="39"/>
        <v>15455.065211414862</v>
      </c>
      <c r="BX47" s="843">
        <v>2.3888651282958007</v>
      </c>
      <c r="BY47" s="848">
        <v>2.3083067400000001E-3</v>
      </c>
      <c r="BZ47" s="843">
        <f t="shared" si="40"/>
        <v>2.3911734350358005</v>
      </c>
      <c r="CA47" s="856">
        <f t="shared" si="63"/>
        <v>6.1513830374151533E-3</v>
      </c>
      <c r="CB47" s="899">
        <f t="shared" si="42"/>
        <v>4.2052504973009988E-3</v>
      </c>
      <c r="CD47" s="897">
        <v>2005</v>
      </c>
      <c r="CE47" s="850">
        <v>146887419</v>
      </c>
      <c r="CF47" s="893">
        <v>-115000</v>
      </c>
      <c r="CG47" s="893">
        <f t="shared" si="64"/>
        <v>0</v>
      </c>
      <c r="CH47" s="893">
        <f t="shared" si="65"/>
        <v>0</v>
      </c>
      <c r="CI47" s="843">
        <v>54.766015791863801</v>
      </c>
      <c r="CJ47" s="856">
        <f t="shared" si="66"/>
        <v>0</v>
      </c>
      <c r="CK47" s="856">
        <f t="shared" si="67"/>
        <v>0</v>
      </c>
      <c r="CL47" s="852">
        <v>0.18661420953999996</v>
      </c>
      <c r="CM47" s="857">
        <f t="shared" si="68"/>
        <v>0</v>
      </c>
      <c r="CN47" s="912">
        <f t="shared" si="69"/>
        <v>0</v>
      </c>
      <c r="CP47" s="851">
        <v>2005</v>
      </c>
      <c r="CQ47" s="893">
        <v>1620000</v>
      </c>
      <c r="CR47" s="893">
        <f t="shared" si="70"/>
        <v>1620000</v>
      </c>
      <c r="CS47" s="893">
        <f t="shared" si="71"/>
        <v>1107475.4675804211</v>
      </c>
      <c r="CT47" s="858">
        <f>CS47*'Electricity Imports'!G163</f>
        <v>0.44299018703216847</v>
      </c>
      <c r="CV47" s="851">
        <v>2005</v>
      </c>
      <c r="CW47" s="893">
        <v>4792000</v>
      </c>
      <c r="CX47" s="893">
        <f t="shared" si="72"/>
        <v>4792000</v>
      </c>
      <c r="CY47" s="893">
        <f t="shared" si="73"/>
        <v>3275939.7781761591</v>
      </c>
      <c r="CZ47" s="858">
        <f>CY47*'Electricity Imports'!C163</f>
        <v>1.2776165134887021E-2</v>
      </c>
      <c r="DB47" s="851">
        <v>2005</v>
      </c>
      <c r="DC47" s="893">
        <v>131877000</v>
      </c>
      <c r="DD47" s="893">
        <v>136355000</v>
      </c>
      <c r="DE47" s="893">
        <v>1819000</v>
      </c>
      <c r="DF47" s="893">
        <f t="shared" si="43"/>
        <v>138174000</v>
      </c>
      <c r="DG47" s="893">
        <f t="shared" si="44"/>
        <v>6297000</v>
      </c>
      <c r="DH47" s="853">
        <f>G47+AD47+AP47+BB47+BN47+BZ47+CJ47+CM47+CR47*'Electricity Imports'!G163+CX47*'Electricity Imports'!C163</f>
        <v>48.4360268605746</v>
      </c>
      <c r="DI47" s="918">
        <f t="shared" si="46"/>
        <v>3.5054371199049458E-7</v>
      </c>
      <c r="DJ47" s="853">
        <f t="shared" si="47"/>
        <v>21.95437380453825</v>
      </c>
      <c r="DK47" s="3"/>
      <c r="DL47" s="3"/>
      <c r="DN47" s="3"/>
    </row>
    <row r="48" spans="1:118" s="400" customFormat="1" ht="15" customHeight="1" x14ac:dyDescent="0.4">
      <c r="A48" s="1266">
        <v>2006</v>
      </c>
      <c r="B48" s="893">
        <f>'Electricity Imports'!L97</f>
        <v>46977000</v>
      </c>
      <c r="C48" s="893">
        <v>60180000</v>
      </c>
      <c r="D48" s="893">
        <f t="shared" si="2"/>
        <v>61162292.579890527</v>
      </c>
      <c r="E48" s="843">
        <v>21.235440463085567</v>
      </c>
      <c r="F48" s="843">
        <v>7.0484261529999995E-2</v>
      </c>
      <c r="G48" s="843">
        <f t="shared" si="3"/>
        <v>21.305924724615569</v>
      </c>
      <c r="H48" s="893">
        <f t="shared" si="48"/>
        <v>14185292.579890527</v>
      </c>
      <c r="I48" s="893">
        <f t="shared" si="4"/>
        <v>18956628.850681745</v>
      </c>
      <c r="J48" s="895">
        <f t="shared" si="5"/>
        <v>0.74830249047052344</v>
      </c>
      <c r="K48" s="893">
        <f t="shared" si="6"/>
        <v>8894793.9722639266</v>
      </c>
      <c r="L48" s="893">
        <f t="shared" si="49"/>
        <v>5290498.6076266011</v>
      </c>
      <c r="M48" s="893">
        <f t="shared" si="8"/>
        <v>14185292.579890527</v>
      </c>
      <c r="N48" s="856">
        <f t="shared" si="9"/>
        <v>2.6032942412808038</v>
      </c>
      <c r="O48" s="856">
        <f t="shared" si="50"/>
        <v>0</v>
      </c>
      <c r="P48" s="854">
        <f t="shared" si="51"/>
        <v>0</v>
      </c>
      <c r="Q48" s="855">
        <f t="shared" si="52"/>
        <v>0.3717701467105845</v>
      </c>
      <c r="R48" s="926">
        <f t="shared" si="53"/>
        <v>0.3717701467105845</v>
      </c>
      <c r="S48" s="927">
        <f t="shared" si="11"/>
        <v>2.9750643879913881</v>
      </c>
      <c r="T48" s="927">
        <f t="shared" si="12"/>
        <v>24.280989112606957</v>
      </c>
      <c r="V48" s="897">
        <v>2006</v>
      </c>
      <c r="W48" s="894">
        <f>'Electricity Imports'!S97</f>
        <v>12024000</v>
      </c>
      <c r="X48" s="893">
        <v>11731000</v>
      </c>
      <c r="Y48" s="893">
        <f t="shared" si="13"/>
        <v>11922480.130520036</v>
      </c>
      <c r="Z48" s="893">
        <f t="shared" si="54"/>
        <v>101519.86947996356</v>
      </c>
      <c r="AA48" s="893">
        <f t="shared" si="15"/>
        <v>75967.571164099209</v>
      </c>
      <c r="AB48" s="843">
        <f>2.68910136673351*'Electricity Imports'!E119</f>
        <v>2.5597005154921542</v>
      </c>
      <c r="AC48" s="848">
        <f>0.07492034426*'Electricity Imports'!E119</f>
        <v>7.1315141257066783E-2</v>
      </c>
      <c r="AD48" s="843">
        <f t="shared" si="16"/>
        <v>2.6310156567492209</v>
      </c>
      <c r="AE48" s="856">
        <f t="shared" si="55"/>
        <v>2.2213935967475177E-2</v>
      </c>
      <c r="AF48" s="899">
        <f t="shared" si="18"/>
        <v>1.6622743607614412E-2</v>
      </c>
      <c r="AH48" s="851">
        <v>2006</v>
      </c>
      <c r="AI48" s="894">
        <f>'Electricity Imports'!Z97</f>
        <v>22411000</v>
      </c>
      <c r="AJ48" s="893">
        <v>11758000</v>
      </c>
      <c r="AK48" s="893">
        <f t="shared" si="19"/>
        <v>11949920.84005239</v>
      </c>
      <c r="AL48" s="893">
        <f t="shared" si="56"/>
        <v>10461079.15994761</v>
      </c>
      <c r="AM48" s="893">
        <f t="shared" si="21"/>
        <v>7828051.5883980878</v>
      </c>
      <c r="AN48" s="843">
        <v>6.7281156407711409</v>
      </c>
      <c r="AO48" s="848">
        <v>4.2528483589999999E-2</v>
      </c>
      <c r="AP48" s="843">
        <f t="shared" si="22"/>
        <v>6.7706441243611408</v>
      </c>
      <c r="AQ48" s="856">
        <f t="shared" si="57"/>
        <v>3.1604231916815877</v>
      </c>
      <c r="AR48" s="856">
        <f t="shared" si="24"/>
        <v>2.3649525452761324</v>
      </c>
      <c r="AT48" s="851">
        <v>2006</v>
      </c>
      <c r="AU48" s="894">
        <f>'Electricity Imports'!AG97</f>
        <v>6588000</v>
      </c>
      <c r="AV48" s="893">
        <v>6396000</v>
      </c>
      <c r="AW48" s="893">
        <f t="shared" si="25"/>
        <v>6500399.1914420044</v>
      </c>
      <c r="AX48" s="893">
        <f t="shared" si="58"/>
        <v>87600.808557995595</v>
      </c>
      <c r="AY48" s="893">
        <f t="shared" si="27"/>
        <v>65551.90321117964</v>
      </c>
      <c r="AZ48" s="843">
        <v>5.1161897827333332E-3</v>
      </c>
      <c r="BA48" s="848">
        <v>1.0801021219999998E-2</v>
      </c>
      <c r="BB48" s="843">
        <f t="shared" si="28"/>
        <v>1.5917211002733331E-2</v>
      </c>
      <c r="BC48" s="856">
        <f t="shared" si="59"/>
        <v>2.1165157161925677E-4</v>
      </c>
      <c r="BD48" s="856">
        <f t="shared" si="30"/>
        <v>1.583793981546902E-4</v>
      </c>
      <c r="BF48" s="897">
        <v>2006</v>
      </c>
      <c r="BG48" s="894">
        <f>'Electricity Imports'!AN97</f>
        <v>30310000</v>
      </c>
      <c r="BH48" s="893">
        <v>33655000</v>
      </c>
      <c r="BI48" s="893">
        <f t="shared" si="31"/>
        <v>34204336.270791218</v>
      </c>
      <c r="BJ48" s="893">
        <f t="shared" si="60"/>
        <v>0</v>
      </c>
      <c r="BK48" s="893">
        <f t="shared" si="33"/>
        <v>0</v>
      </c>
      <c r="BL48" s="843">
        <v>9.3543568748647967</v>
      </c>
      <c r="BM48" s="848">
        <v>2.9277780789999999E-2</v>
      </c>
      <c r="BN48" s="843">
        <f t="shared" si="34"/>
        <v>9.3836346556547969</v>
      </c>
      <c r="BO48" s="856">
        <f t="shared" si="61"/>
        <v>0</v>
      </c>
      <c r="BP48" s="899">
        <f t="shared" si="36"/>
        <v>0</v>
      </c>
      <c r="BR48" s="897">
        <v>2006</v>
      </c>
      <c r="BS48" s="894">
        <f>'Electricity Imports'!AU97</f>
        <v>9740000</v>
      </c>
      <c r="BT48" s="893">
        <v>8367000</v>
      </c>
      <c r="BU48" s="893">
        <f t="shared" si="37"/>
        <v>8503570.9873038232</v>
      </c>
      <c r="BV48" s="893">
        <f t="shared" si="62"/>
        <v>1236429.0126961768</v>
      </c>
      <c r="BW48" s="893">
        <f t="shared" si="39"/>
        <v>925222.90949055948</v>
      </c>
      <c r="BX48" s="843">
        <v>2.3301611506477338</v>
      </c>
      <c r="BY48" s="848">
        <v>2.2497298800000002E-3</v>
      </c>
      <c r="BZ48" s="843">
        <f t="shared" si="40"/>
        <v>2.3324108805277337</v>
      </c>
      <c r="CA48" s="856">
        <f t="shared" si="63"/>
        <v>0.29608423842019777</v>
      </c>
      <c r="CB48" s="899">
        <f t="shared" si="42"/>
        <v>0.22156057299890222</v>
      </c>
      <c r="CD48" s="897">
        <v>2006</v>
      </c>
      <c r="CE48" s="850">
        <v>142265432</v>
      </c>
      <c r="CF48" s="893">
        <v>-877000</v>
      </c>
      <c r="CG48" s="893">
        <f t="shared" si="64"/>
        <v>0</v>
      </c>
      <c r="CH48" s="893">
        <f t="shared" si="65"/>
        <v>0</v>
      </c>
      <c r="CI48" s="843">
        <v>46.317308806017685</v>
      </c>
      <c r="CJ48" s="856">
        <f>CI48*(CG48/(CE48/1000))</f>
        <v>0</v>
      </c>
      <c r="CK48" s="856">
        <f t="shared" si="67"/>
        <v>0</v>
      </c>
      <c r="CL48" s="852">
        <v>0.14827402845000001</v>
      </c>
      <c r="CM48" s="857">
        <f t="shared" si="68"/>
        <v>0</v>
      </c>
      <c r="CN48" s="912">
        <f t="shared" si="69"/>
        <v>0</v>
      </c>
      <c r="CP48" s="851">
        <v>2006</v>
      </c>
      <c r="CQ48" s="893">
        <v>1047000</v>
      </c>
      <c r="CR48" s="893">
        <f t="shared" si="70"/>
        <v>1047000</v>
      </c>
      <c r="CS48" s="893">
        <f t="shared" si="71"/>
        <v>783472.70752263803</v>
      </c>
      <c r="CT48" s="858">
        <f>CS48*'Electricity Imports'!G164</f>
        <v>0.34472799130996074</v>
      </c>
      <c r="CV48" s="851">
        <v>2006</v>
      </c>
      <c r="CW48" s="893">
        <v>6023000</v>
      </c>
      <c r="CX48" s="893">
        <f t="shared" si="72"/>
        <v>6023000</v>
      </c>
      <c r="CY48" s="893">
        <f t="shared" si="73"/>
        <v>4507025.900103963</v>
      </c>
      <c r="CZ48" s="858">
        <f>CY48*'Electricity Imports'!C164</f>
        <v>2.7042155400623779E-2</v>
      </c>
      <c r="DB48" s="851">
        <v>2006</v>
      </c>
      <c r="DC48" s="893">
        <v>128050000</v>
      </c>
      <c r="DD48" s="893">
        <v>132087000</v>
      </c>
      <c r="DE48" s="893">
        <v>2156000</v>
      </c>
      <c r="DF48" s="893">
        <f t="shared" si="43"/>
        <v>134243000</v>
      </c>
      <c r="DG48" s="893">
        <f t="shared" si="44"/>
        <v>6193000</v>
      </c>
      <c r="DH48" s="853">
        <f>G48+AD48+AP48+BB48+BN48+BZ48+CJ48+CM48+CR48*'Electricity Imports'!G164+CX48*'Electricity Imports'!C164</f>
        <v>42.936365252911195</v>
      </c>
      <c r="DI48" s="918">
        <f t="shared" si="46"/>
        <v>3.1984062672102973E-7</v>
      </c>
      <c r="DJ48" s="853">
        <f t="shared" si="47"/>
        <v>19.562185990447173</v>
      </c>
      <c r="DK48" s="3"/>
      <c r="DL48" s="3"/>
      <c r="DN48" s="3"/>
    </row>
    <row r="49" spans="1:131" s="400" customFormat="1" ht="16.5" customHeight="1" x14ac:dyDescent="0.4">
      <c r="A49" s="1266">
        <v>2007</v>
      </c>
      <c r="B49" s="893">
        <f>'Electricity Imports'!L98</f>
        <v>49557000</v>
      </c>
      <c r="C49" s="893">
        <v>61560000</v>
      </c>
      <c r="D49" s="893">
        <f t="shared" si="2"/>
        <v>62660119.584132791</v>
      </c>
      <c r="E49" s="843">
        <v>23.265472804283498</v>
      </c>
      <c r="F49" s="843">
        <v>7.6374939510000003E-2</v>
      </c>
      <c r="G49" s="843">
        <f t="shared" si="3"/>
        <v>23.341847743793497</v>
      </c>
      <c r="H49" s="893">
        <f t="shared" si="48"/>
        <v>13103119.584132791</v>
      </c>
      <c r="I49" s="893">
        <f t="shared" si="4"/>
        <v>21866740.239168264</v>
      </c>
      <c r="J49" s="895">
        <f t="shared" si="5"/>
        <v>0.59922601360865613</v>
      </c>
      <c r="K49" s="893">
        <f t="shared" si="6"/>
        <v>7935383.7341903094</v>
      </c>
      <c r="L49" s="893">
        <f t="shared" si="49"/>
        <v>5167125.915347442</v>
      </c>
      <c r="M49" s="893">
        <f t="shared" si="8"/>
        <v>13102509.649537751</v>
      </c>
      <c r="N49" s="856">
        <f t="shared" si="9"/>
        <v>2.2253598346846095</v>
      </c>
      <c r="O49" s="856">
        <f t="shared" si="50"/>
        <v>0</v>
      </c>
      <c r="P49" s="854">
        <f t="shared" si="51"/>
        <v>0</v>
      </c>
      <c r="Q49" s="855">
        <f t="shared" si="52"/>
        <v>0.26551559650304257</v>
      </c>
      <c r="R49" s="926">
        <f t="shared" si="53"/>
        <v>0.26551559650304257</v>
      </c>
      <c r="S49" s="927">
        <f t="shared" si="11"/>
        <v>2.4908754311876522</v>
      </c>
      <c r="T49" s="927">
        <f t="shared" si="12"/>
        <v>25.832723174981151</v>
      </c>
      <c r="V49" s="897">
        <v>2007</v>
      </c>
      <c r="W49" s="894">
        <f>'Electricity Imports'!S98</f>
        <v>11551000</v>
      </c>
      <c r="X49" s="893">
        <v>11969000</v>
      </c>
      <c r="Y49" s="893">
        <f t="shared" si="13"/>
        <v>12182894.270670652</v>
      </c>
      <c r="Z49" s="893">
        <f t="shared" si="54"/>
        <v>0</v>
      </c>
      <c r="AA49" s="893">
        <f t="shared" si="15"/>
        <v>0</v>
      </c>
      <c r="AB49" s="843">
        <f>2.57224800882444*'Electricity Imports'!E119</f>
        <v>2.4484701973728451</v>
      </c>
      <c r="AC49" s="848">
        <f>0.07538857295*'Electricity Imports'!E119</f>
        <v>7.176083855728313E-2</v>
      </c>
      <c r="AD49" s="843">
        <f t="shared" si="16"/>
        <v>2.5202310359301281</v>
      </c>
      <c r="AE49" s="856">
        <f t="shared" si="55"/>
        <v>0</v>
      </c>
      <c r="AF49" s="899">
        <f t="shared" si="18"/>
        <v>0</v>
      </c>
      <c r="AH49" s="851">
        <v>2007</v>
      </c>
      <c r="AI49" s="894">
        <f>'Electricity Imports'!Z98</f>
        <v>23601000</v>
      </c>
      <c r="AJ49" s="893">
        <v>11906000</v>
      </c>
      <c r="AK49" s="893">
        <f t="shared" si="19"/>
        <v>12118768.417295078</v>
      </c>
      <c r="AL49" s="893">
        <f t="shared" si="56"/>
        <v>11482231.582704922</v>
      </c>
      <c r="AM49" s="893">
        <f t="shared" si="21"/>
        <v>6880451.8586356808</v>
      </c>
      <c r="AN49" s="843">
        <v>6.6145354386502548</v>
      </c>
      <c r="AO49" s="848">
        <v>5.0125021749999998E-2</v>
      </c>
      <c r="AP49" s="843">
        <f t="shared" si="22"/>
        <v>6.6646604604002544</v>
      </c>
      <c r="AQ49" s="856">
        <f t="shared" si="57"/>
        <v>3.2424547615106363</v>
      </c>
      <c r="AR49" s="856">
        <f t="shared" si="24"/>
        <v>1.9429632410464244</v>
      </c>
      <c r="AT49" s="851">
        <v>2007</v>
      </c>
      <c r="AU49" s="894">
        <f>'Electricity Imports'!AG98</f>
        <v>6035000</v>
      </c>
      <c r="AV49" s="893">
        <v>6461000</v>
      </c>
      <c r="AW49" s="893">
        <f t="shared" si="25"/>
        <v>6576462.5184061397</v>
      </c>
      <c r="AX49" s="893">
        <f t="shared" si="58"/>
        <v>0</v>
      </c>
      <c r="AY49" s="893">
        <f t="shared" si="27"/>
        <v>0</v>
      </c>
      <c r="AZ49" s="843">
        <v>5.1467420931666664E-3</v>
      </c>
      <c r="BA49" s="848">
        <v>1.1148578770000001E-2</v>
      </c>
      <c r="BB49" s="843">
        <f t="shared" si="28"/>
        <v>1.6295320863166665E-2</v>
      </c>
      <c r="BC49" s="856">
        <f t="shared" si="59"/>
        <v>0</v>
      </c>
      <c r="BD49" s="856">
        <f t="shared" si="30"/>
        <v>0</v>
      </c>
      <c r="BF49" s="897">
        <v>2007</v>
      </c>
      <c r="BG49" s="894">
        <f>'Electricity Imports'!AN98</f>
        <v>29475000</v>
      </c>
      <c r="BH49" s="893">
        <v>33981000</v>
      </c>
      <c r="BI49" s="893">
        <f t="shared" si="31"/>
        <v>34588263.865958683</v>
      </c>
      <c r="BJ49" s="893">
        <f t="shared" si="60"/>
        <v>0</v>
      </c>
      <c r="BK49" s="893">
        <f t="shared" si="33"/>
        <v>0</v>
      </c>
      <c r="BL49" s="843">
        <v>8.7146308642317809</v>
      </c>
      <c r="BM49" s="848">
        <v>2.6261220299999999E-2</v>
      </c>
      <c r="BN49" s="843">
        <f t="shared" si="34"/>
        <v>8.7408920845317812</v>
      </c>
      <c r="BO49" s="856">
        <f t="shared" si="61"/>
        <v>0</v>
      </c>
      <c r="BP49" s="899">
        <f t="shared" si="36"/>
        <v>0</v>
      </c>
      <c r="BR49" s="897">
        <v>2007</v>
      </c>
      <c r="BS49" s="894">
        <f>'Electricity Imports'!AU98</f>
        <v>10504000</v>
      </c>
      <c r="BT49" s="893">
        <v>8590000</v>
      </c>
      <c r="BU49" s="893">
        <f t="shared" si="37"/>
        <v>8743509.2142251581</v>
      </c>
      <c r="BV49" s="893">
        <f t="shared" si="62"/>
        <v>1760490.7857748419</v>
      </c>
      <c r="BW49" s="893">
        <f t="shared" si="39"/>
        <v>1054931.8755546291</v>
      </c>
      <c r="BX49" s="843">
        <v>2.8091165989523996</v>
      </c>
      <c r="BY49" s="848">
        <v>2.7178789999999994E-3</v>
      </c>
      <c r="BZ49" s="843">
        <f t="shared" si="40"/>
        <v>2.8118344779523996</v>
      </c>
      <c r="CA49" s="856">
        <f t="shared" si="63"/>
        <v>0.47126891560921669</v>
      </c>
      <c r="CB49" s="899">
        <f t="shared" si="42"/>
        <v>0.28239659363818509</v>
      </c>
      <c r="CD49" s="897">
        <v>2007</v>
      </c>
      <c r="CE49" s="850">
        <v>145878687</v>
      </c>
      <c r="CF49" s="893">
        <v>-2477000</v>
      </c>
      <c r="CG49" s="893">
        <f t="shared" si="64"/>
        <v>0</v>
      </c>
      <c r="CH49" s="893">
        <f t="shared" si="65"/>
        <v>0</v>
      </c>
      <c r="CI49" s="843">
        <v>48.923389746422728</v>
      </c>
      <c r="CJ49" s="856">
        <f>CI49*(CG49/(CE49/1000))</f>
        <v>0</v>
      </c>
      <c r="CK49" s="856">
        <f t="shared" si="67"/>
        <v>0</v>
      </c>
      <c r="CL49" s="852">
        <v>0.15441495664999999</v>
      </c>
      <c r="CM49" s="857">
        <f t="shared" si="68"/>
        <v>0</v>
      </c>
      <c r="CN49" s="912">
        <f t="shared" si="69"/>
        <v>0</v>
      </c>
      <c r="CP49" s="851">
        <v>2007</v>
      </c>
      <c r="CQ49" s="893">
        <v>896000</v>
      </c>
      <c r="CR49" s="893">
        <f t="shared" si="70"/>
        <v>896000</v>
      </c>
      <c r="CS49" s="893">
        <f t="shared" si="71"/>
        <v>536906.50819335587</v>
      </c>
      <c r="CT49" s="858">
        <f>CS49*'Electricity Imports'!G165</f>
        <v>0.24912461980171713</v>
      </c>
      <c r="CV49" s="851">
        <v>2007</v>
      </c>
      <c r="CW49" s="893">
        <v>7727000</v>
      </c>
      <c r="CX49" s="893">
        <f t="shared" si="72"/>
        <v>7727000</v>
      </c>
      <c r="CY49" s="893">
        <f t="shared" si="73"/>
        <v>4630219.407154086</v>
      </c>
      <c r="CZ49" s="858">
        <f>CY49*'Electricity Imports'!C165</f>
        <v>1.6390976701325465E-2</v>
      </c>
      <c r="DB49" s="851">
        <v>2007</v>
      </c>
      <c r="DC49" s="893">
        <v>130723000</v>
      </c>
      <c r="DD49" s="893">
        <v>134466000</v>
      </c>
      <c r="DE49" s="893">
        <v>2403000</v>
      </c>
      <c r="DF49" s="893">
        <f t="shared" si="43"/>
        <v>136869000</v>
      </c>
      <c r="DG49" s="893">
        <f t="shared" si="44"/>
        <v>6146000</v>
      </c>
      <c r="DH49" s="853">
        <f>G49+AD49+AP49+BB49+BN49+BZ49+R49</f>
        <v>44.361276719974271</v>
      </c>
      <c r="DI49" s="918">
        <f t="shared" si="46"/>
        <v>3.2411485961009629E-7</v>
      </c>
      <c r="DJ49" s="853">
        <f t="shared" si="47"/>
        <v>20.309075862163045</v>
      </c>
      <c r="DK49" s="3"/>
      <c r="DL49" s="3"/>
      <c r="DN49" s="3"/>
      <c r="DX49" s="859"/>
      <c r="DY49" s="859"/>
      <c r="DZ49" s="859"/>
      <c r="EA49" s="860"/>
    </row>
    <row r="50" spans="1:131" s="400" customFormat="1" ht="15.75" customHeight="1" x14ac:dyDescent="0.4">
      <c r="A50" s="1266">
        <v>2008</v>
      </c>
      <c r="B50" s="893">
        <f>'Electricity Imports'!L99</f>
        <v>44956000</v>
      </c>
      <c r="C50" s="893">
        <v>60502000</v>
      </c>
      <c r="D50" s="893">
        <f t="shared" si="2"/>
        <v>61533832.005100414</v>
      </c>
      <c r="E50" s="843">
        <v>19.810794358935965</v>
      </c>
      <c r="F50" s="843">
        <v>6.6563160850000011E-2</v>
      </c>
      <c r="G50" s="843">
        <f t="shared" si="3"/>
        <v>19.877357519785964</v>
      </c>
      <c r="H50" s="893">
        <f t="shared" si="48"/>
        <v>16577832.005100414</v>
      </c>
      <c r="I50" s="893">
        <f t="shared" si="4"/>
        <v>24159432.419509087</v>
      </c>
      <c r="J50" s="895">
        <f t="shared" si="5"/>
        <v>0.68618466349869944</v>
      </c>
      <c r="K50" s="893">
        <f t="shared" si="6"/>
        <v>9179400.665801106</v>
      </c>
      <c r="L50" s="893">
        <f t="shared" si="49"/>
        <v>7397070.67251598</v>
      </c>
      <c r="M50" s="893">
        <f t="shared" si="8"/>
        <v>16576471.338317085</v>
      </c>
      <c r="N50" s="856">
        <f t="shared" si="9"/>
        <v>2.5591122640435282</v>
      </c>
      <c r="O50" s="856">
        <f t="shared" si="50"/>
        <v>0</v>
      </c>
      <c r="P50" s="854">
        <f t="shared" si="51"/>
        <v>0</v>
      </c>
      <c r="Q50" s="855">
        <f t="shared" si="52"/>
        <v>0.47479690059963137</v>
      </c>
      <c r="R50" s="926">
        <f t="shared" si="53"/>
        <v>0.47479690059963137</v>
      </c>
      <c r="S50" s="927">
        <f t="shared" si="11"/>
        <v>3.0339091646431595</v>
      </c>
      <c r="T50" s="927">
        <f t="shared" si="12"/>
        <v>22.911266684429123</v>
      </c>
      <c r="V50" s="900">
        <v>2008</v>
      </c>
      <c r="W50" s="901">
        <f>'Electricity Imports'!S99</f>
        <v>12556000</v>
      </c>
      <c r="X50" s="902">
        <v>11804000</v>
      </c>
      <c r="Y50" s="902">
        <f t="shared" si="13"/>
        <v>12005311.444054829</v>
      </c>
      <c r="Z50" s="902">
        <f t="shared" si="54"/>
        <v>550688.55594517104</v>
      </c>
      <c r="AA50" s="902">
        <f t="shared" si="15"/>
        <v>377874.04145382193</v>
      </c>
      <c r="AB50" s="903">
        <f>2.53022977014208*'Electricity Imports'!E119</f>
        <v>2.4084738965469095</v>
      </c>
      <c r="AC50" s="904">
        <f>0.06250738006*'Electricity Imports'!E119</f>
        <v>5.9499494865082193E-2</v>
      </c>
      <c r="AD50" s="903">
        <f t="shared" si="16"/>
        <v>2.4679733914119915</v>
      </c>
      <c r="AE50" s="905">
        <f t="shared" si="55"/>
        <v>0.10824185274193819</v>
      </c>
      <c r="AF50" s="906">
        <f t="shared" si="18"/>
        <v>7.4273899300202631E-2</v>
      </c>
      <c r="AH50" s="851">
        <v>2008</v>
      </c>
      <c r="AI50" s="894">
        <f>'Electricity Imports'!Z99</f>
        <v>23426000</v>
      </c>
      <c r="AJ50" s="893">
        <v>11642000</v>
      </c>
      <c r="AK50" s="893">
        <f t="shared" si="19"/>
        <v>11840548.613324832</v>
      </c>
      <c r="AL50" s="893">
        <f t="shared" si="56"/>
        <v>11585451.386675168</v>
      </c>
      <c r="AM50" s="893">
        <f t="shared" si="21"/>
        <v>7949759.0612462405</v>
      </c>
      <c r="AN50" s="843">
        <v>6.5392512009698596</v>
      </c>
      <c r="AO50" s="848">
        <v>4.9279374099999995E-2</v>
      </c>
      <c r="AP50" s="843">
        <f t="shared" si="22"/>
        <v>6.5885305750698597</v>
      </c>
      <c r="AQ50" s="856">
        <f t="shared" si="57"/>
        <v>3.2583924138604479</v>
      </c>
      <c r="AR50" s="856">
        <f t="shared" si="24"/>
        <v>2.2358589020515462</v>
      </c>
      <c r="AT50" s="851">
        <v>2008</v>
      </c>
      <c r="AU50" s="894">
        <f>'Electricity Imports'!AG99</f>
        <v>6322000</v>
      </c>
      <c r="AV50" s="893">
        <v>6357000</v>
      </c>
      <c r="AW50" s="893">
        <f t="shared" si="25"/>
        <v>6465415.5243863566</v>
      </c>
      <c r="AX50" s="893">
        <f t="shared" si="58"/>
        <v>0</v>
      </c>
      <c r="AY50" s="893">
        <f t="shared" si="27"/>
        <v>0</v>
      </c>
      <c r="AZ50" s="843">
        <v>5.2734585075333322E-3</v>
      </c>
      <c r="BA50" s="848">
        <v>1.0398479359999997E-2</v>
      </c>
      <c r="BB50" s="843">
        <f t="shared" si="28"/>
        <v>1.567193786753333E-2</v>
      </c>
      <c r="BC50" s="856">
        <f t="shared" si="59"/>
        <v>0</v>
      </c>
      <c r="BD50" s="856">
        <f t="shared" si="30"/>
        <v>0</v>
      </c>
      <c r="BF50" s="900">
        <v>2008</v>
      </c>
      <c r="BG50" s="901">
        <f>'Electricity Imports'!AN99</f>
        <v>27617000</v>
      </c>
      <c r="BH50" s="902">
        <v>32964000</v>
      </c>
      <c r="BI50" s="902">
        <f t="shared" si="31"/>
        <v>33526184.890022315</v>
      </c>
      <c r="BJ50" s="902">
        <f t="shared" si="60"/>
        <v>0</v>
      </c>
      <c r="BK50" s="902">
        <f t="shared" si="33"/>
        <v>0</v>
      </c>
      <c r="BL50" s="903">
        <v>7.8302348256237311</v>
      </c>
      <c r="BM50" s="904">
        <v>2.5959339049999999E-2</v>
      </c>
      <c r="BN50" s="903">
        <f t="shared" si="34"/>
        <v>7.856194164673731</v>
      </c>
      <c r="BO50" s="905">
        <f t="shared" si="61"/>
        <v>0</v>
      </c>
      <c r="BP50" s="906">
        <f t="shared" si="36"/>
        <v>0</v>
      </c>
      <c r="BR50" s="900">
        <v>2008</v>
      </c>
      <c r="BS50" s="901">
        <f>'Electricity Imports'!AU99</f>
        <v>9870000</v>
      </c>
      <c r="BT50" s="902">
        <v>8484000</v>
      </c>
      <c r="BU50" s="902">
        <f t="shared" si="37"/>
        <v>8628690.468600573</v>
      </c>
      <c r="BV50" s="902">
        <f t="shared" si="62"/>
        <v>1241309.531399427</v>
      </c>
      <c r="BW50" s="902">
        <f t="shared" si="39"/>
        <v>851767.56310104404</v>
      </c>
      <c r="BX50" s="903">
        <v>2.8823006087927334</v>
      </c>
      <c r="BY50" s="904">
        <v>2.7908213399999997E-3</v>
      </c>
      <c r="BZ50" s="903">
        <f t="shared" si="40"/>
        <v>2.8850914301327335</v>
      </c>
      <c r="CA50" s="905">
        <f t="shared" si="63"/>
        <v>0.36284614905598445</v>
      </c>
      <c r="CB50" s="906">
        <f t="shared" si="42"/>
        <v>0.24897946269177962</v>
      </c>
      <c r="CD50" s="900">
        <v>2008</v>
      </c>
      <c r="CE50" s="914">
        <v>140322100</v>
      </c>
      <c r="CF50" s="902">
        <v>-1529000</v>
      </c>
      <c r="CG50" s="902">
        <f t="shared" si="64"/>
        <v>0</v>
      </c>
      <c r="CH50" s="902">
        <f t="shared" si="65"/>
        <v>0</v>
      </c>
      <c r="CI50" s="903">
        <v>42.578321515790407</v>
      </c>
      <c r="CJ50" s="905">
        <f>CI50*(CG50/(CE50/1000))</f>
        <v>0</v>
      </c>
      <c r="CK50" s="905">
        <f t="shared" si="67"/>
        <v>0</v>
      </c>
      <c r="CL50" s="915">
        <v>0.13206248531000001</v>
      </c>
      <c r="CM50" s="916">
        <f t="shared" si="68"/>
        <v>0</v>
      </c>
      <c r="CN50" s="917">
        <f t="shared" si="69"/>
        <v>0</v>
      </c>
      <c r="CP50" s="851">
        <v>2008</v>
      </c>
      <c r="CQ50" s="893">
        <v>1285000</v>
      </c>
      <c r="CR50" s="893">
        <f t="shared" si="70"/>
        <v>1285000</v>
      </c>
      <c r="CS50" s="893">
        <f t="shared" si="71"/>
        <v>881747.29259582877</v>
      </c>
      <c r="CT50" s="858">
        <f>CS50*'Electricity Imports'!G166</f>
        <v>0.45850859214983097</v>
      </c>
      <c r="CV50" s="851">
        <v>2008</v>
      </c>
      <c r="CW50" s="893">
        <v>9495000</v>
      </c>
      <c r="CX50" s="893">
        <f t="shared" si="72"/>
        <v>9495000</v>
      </c>
      <c r="CY50" s="893">
        <f t="shared" si="73"/>
        <v>6515323.3799201511</v>
      </c>
      <c r="CZ50" s="858">
        <f>CY50*'Electricity Imports'!C166</f>
        <v>1.6288308449800379E-2</v>
      </c>
      <c r="DB50" s="851">
        <v>2008</v>
      </c>
      <c r="DC50" s="893">
        <v>124749000</v>
      </c>
      <c r="DD50" s="893">
        <v>131754000</v>
      </c>
      <c r="DE50" s="893">
        <v>2247000</v>
      </c>
      <c r="DF50" s="893">
        <f t="shared" si="43"/>
        <v>134001000</v>
      </c>
      <c r="DG50" s="893">
        <f t="shared" si="44"/>
        <v>9252000</v>
      </c>
      <c r="DH50" s="853">
        <f>G50+AD50+AP50+BB50+BN50+BZ50+R50</f>
        <v>40.165615919541438</v>
      </c>
      <c r="DI50" s="918">
        <f t="shared" si="46"/>
        <v>2.9974116551026811E-7</v>
      </c>
      <c r="DJ50" s="853">
        <f t="shared" si="47"/>
        <v>18.444222523521837</v>
      </c>
      <c r="DK50" s="3"/>
      <c r="DL50" s="3"/>
      <c r="DN50" s="3"/>
      <c r="DX50" s="859"/>
      <c r="DY50" s="859"/>
      <c r="DZ50" s="859"/>
      <c r="EA50" s="860"/>
    </row>
    <row r="51" spans="1:131" ht="15" customHeight="1" x14ac:dyDescent="0.4">
      <c r="A51" s="3" t="s">
        <v>1063</v>
      </c>
      <c r="B51" s="28"/>
      <c r="C51" s="28"/>
      <c r="D51" s="28"/>
      <c r="E51" s="28"/>
      <c r="F51" s="28"/>
      <c r="G51" s="28"/>
      <c r="H51" s="28"/>
      <c r="I51" s="28"/>
      <c r="J51" s="28"/>
      <c r="K51" s="28"/>
      <c r="L51" s="28"/>
      <c r="M51" s="28"/>
      <c r="N51" s="28"/>
      <c r="O51" s="28"/>
      <c r="P51" s="28"/>
      <c r="Q51" s="28"/>
      <c r="R51" s="28"/>
      <c r="S51" s="28"/>
      <c r="T51" s="28"/>
      <c r="V51" s="932" t="s">
        <v>1063</v>
      </c>
      <c r="W51" s="933"/>
      <c r="X51" s="753"/>
      <c r="Y51" s="753"/>
      <c r="Z51" s="753"/>
      <c r="AA51" s="753"/>
      <c r="AB51" s="35"/>
      <c r="AC51" s="934"/>
      <c r="AD51" s="35"/>
      <c r="AE51" s="33"/>
      <c r="AF51" s="33"/>
      <c r="AH51" s="3" t="s">
        <v>1063</v>
      </c>
      <c r="AI51" s="28"/>
      <c r="AJ51" s="28"/>
      <c r="AK51" s="28"/>
      <c r="AL51" s="28"/>
      <c r="AM51" s="28"/>
      <c r="AN51" s="28"/>
      <c r="AO51" s="28"/>
      <c r="AP51" s="28"/>
      <c r="AQ51" s="28"/>
      <c r="AR51" s="28"/>
      <c r="AS51" s="28"/>
      <c r="AT51" s="28" t="s">
        <v>1063</v>
      </c>
      <c r="AU51" s="28"/>
      <c r="AV51" s="28"/>
      <c r="AW51" s="28"/>
      <c r="AX51" s="28"/>
      <c r="AY51" s="28"/>
      <c r="AZ51" s="28"/>
      <c r="BA51" s="28"/>
      <c r="BB51" s="28"/>
      <c r="BC51" s="28"/>
      <c r="BD51" s="28"/>
      <c r="BE51" s="28"/>
      <c r="BF51" s="734" t="s">
        <v>1063</v>
      </c>
      <c r="BG51" s="935"/>
      <c r="BH51" s="936"/>
      <c r="BI51" s="936"/>
      <c r="BJ51" s="936"/>
      <c r="BK51" s="936"/>
      <c r="BL51" s="937"/>
      <c r="BM51" s="938"/>
      <c r="BN51" s="937"/>
      <c r="BO51" s="939"/>
      <c r="BP51" s="940"/>
      <c r="BQ51" s="28"/>
      <c r="BR51" s="28" t="s">
        <v>1063</v>
      </c>
      <c r="BS51" s="933"/>
      <c r="BT51" s="753"/>
      <c r="BU51" s="753"/>
      <c r="BV51" s="753"/>
      <c r="BW51" s="753"/>
      <c r="BX51" s="35"/>
      <c r="BY51" s="934"/>
      <c r="BZ51" s="35"/>
      <c r="CA51" s="33"/>
      <c r="CB51" s="33"/>
      <c r="CC51" s="28"/>
      <c r="CD51" s="28" t="s">
        <v>1063</v>
      </c>
      <c r="CE51" s="188"/>
      <c r="CF51" s="753"/>
      <c r="CG51" s="753"/>
      <c r="CH51" s="753"/>
      <c r="CI51" s="35"/>
      <c r="CJ51" s="33"/>
      <c r="CK51" s="33"/>
      <c r="CL51" s="658"/>
      <c r="CM51" s="934"/>
      <c r="CN51" s="658"/>
      <c r="CO51" s="28"/>
      <c r="CP51" s="28" t="s">
        <v>1063</v>
      </c>
      <c r="CQ51" s="28"/>
      <c r="CR51" s="28"/>
      <c r="CS51" s="28"/>
      <c r="CT51" s="28"/>
      <c r="CU51" s="28"/>
      <c r="CV51" s="28" t="s">
        <v>1063</v>
      </c>
      <c r="CW51" s="28"/>
      <c r="CX51" s="28"/>
      <c r="CY51" s="28"/>
      <c r="CZ51" s="28"/>
      <c r="DA51" s="28"/>
      <c r="DB51" s="28" t="s">
        <v>1063</v>
      </c>
      <c r="DC51" s="28"/>
      <c r="DD51" s="28"/>
      <c r="DE51" s="28"/>
      <c r="DF51" s="28"/>
      <c r="DG51" s="28"/>
      <c r="DH51" s="28"/>
      <c r="DI51" s="28"/>
      <c r="DJ51" s="28"/>
      <c r="DK51" s="28"/>
      <c r="DL51" s="28"/>
      <c r="DM51" s="829"/>
      <c r="DN51" s="28"/>
      <c r="DO51" s="28"/>
      <c r="DP51" s="28"/>
      <c r="DQ51" s="28"/>
      <c r="DR51" s="28"/>
      <c r="DS51" s="28"/>
      <c r="DT51" s="28"/>
      <c r="DU51" s="28"/>
      <c r="DV51" s="28"/>
      <c r="DW51" s="28"/>
      <c r="DX51" s="28"/>
      <c r="DY51" s="28"/>
      <c r="DZ51" s="28"/>
      <c r="EA51" s="28"/>
    </row>
    <row r="52" spans="1:131" ht="15.75" customHeight="1" x14ac:dyDescent="0.4">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941"/>
      <c r="DN52" s="28"/>
      <c r="DO52" s="28"/>
      <c r="DP52" s="28"/>
      <c r="DQ52" s="28"/>
      <c r="DR52" s="28"/>
      <c r="DS52" s="28"/>
      <c r="DT52" s="28"/>
      <c r="DU52" s="28"/>
      <c r="DV52" s="28"/>
      <c r="DW52" s="28"/>
      <c r="DX52" s="28"/>
      <c r="DY52" s="28"/>
      <c r="DZ52" s="28"/>
      <c r="EA52" s="28"/>
    </row>
    <row r="53" spans="1:131" ht="15.75" customHeight="1" x14ac:dyDescent="0.4">
      <c r="A53" s="833" t="s">
        <v>1082</v>
      </c>
      <c r="CB53" s="861"/>
      <c r="CC53" s="861"/>
      <c r="CD53" s="861"/>
      <c r="DK53" s="828"/>
    </row>
    <row r="54" spans="1:131" x14ac:dyDescent="0.4">
      <c r="A54" s="498" t="s">
        <v>237</v>
      </c>
      <c r="B54" s="835" t="s">
        <v>622</v>
      </c>
    </row>
    <row r="55" spans="1:131" x14ac:dyDescent="0.4">
      <c r="A55" s="836" t="s">
        <v>238</v>
      </c>
      <c r="B55" s="835" t="s">
        <v>239</v>
      </c>
    </row>
    <row r="56" spans="1:131" x14ac:dyDescent="0.4">
      <c r="A56" s="837" t="s">
        <v>240</v>
      </c>
      <c r="B56" s="835" t="s">
        <v>241</v>
      </c>
    </row>
    <row r="57" spans="1:131" x14ac:dyDescent="0.4">
      <c r="A57" s="838" t="s">
        <v>626</v>
      </c>
    </row>
    <row r="58" spans="1:131" x14ac:dyDescent="0.4">
      <c r="A58" s="839" t="s">
        <v>627</v>
      </c>
      <c r="B58" s="835" t="s">
        <v>242</v>
      </c>
    </row>
    <row r="59" spans="1:131" x14ac:dyDescent="0.4">
      <c r="A59" s="896" t="s">
        <v>243</v>
      </c>
    </row>
    <row r="60" spans="1:131" x14ac:dyDescent="0.4">
      <c r="A60" s="840" t="s">
        <v>244</v>
      </c>
    </row>
    <row r="61" spans="1:131" x14ac:dyDescent="0.4">
      <c r="A61" s="1314" t="s">
        <v>1083</v>
      </c>
      <c r="B61" s="3" t="s">
        <v>621</v>
      </c>
    </row>
    <row r="62" spans="1:131" x14ac:dyDescent="0.4">
      <c r="A62" s="1315" t="s">
        <v>1084</v>
      </c>
    </row>
    <row r="63" spans="1:131" x14ac:dyDescent="0.4">
      <c r="A63" s="943" t="s">
        <v>1085</v>
      </c>
      <c r="B63" s="28" t="s">
        <v>629</v>
      </c>
    </row>
    <row r="64" spans="1:131" x14ac:dyDescent="0.4">
      <c r="A64" s="944" t="s">
        <v>1086</v>
      </c>
      <c r="B64" s="835" t="s">
        <v>1424</v>
      </c>
    </row>
    <row r="65" spans="1:50" x14ac:dyDescent="0.4">
      <c r="A65" s="3" t="s">
        <v>457</v>
      </c>
    </row>
    <row r="66" spans="1:50" x14ac:dyDescent="0.4">
      <c r="A66" s="3" t="s">
        <v>617</v>
      </c>
    </row>
    <row r="67" spans="1:50" x14ac:dyDescent="0.4">
      <c r="A67" s="3" t="s">
        <v>869</v>
      </c>
    </row>
    <row r="68" spans="1:50" ht="17" x14ac:dyDescent="0.45">
      <c r="A68" s="1403" t="s">
        <v>1340</v>
      </c>
    </row>
    <row r="69" spans="1:50" x14ac:dyDescent="0.4">
      <c r="A69" s="1326" t="s">
        <v>1160</v>
      </c>
    </row>
    <row r="70" spans="1:50" x14ac:dyDescent="0.4">
      <c r="A70" s="1287" t="s">
        <v>949</v>
      </c>
    </row>
    <row r="72" spans="1:50" x14ac:dyDescent="0.4">
      <c r="A72" s="108" t="s">
        <v>1069</v>
      </c>
    </row>
    <row r="73" spans="1:50" x14ac:dyDescent="0.4">
      <c r="A73" s="833" t="s">
        <v>857</v>
      </c>
    </row>
    <row r="74" spans="1:50" x14ac:dyDescent="0.4">
      <c r="A74" s="400" t="s">
        <v>1425</v>
      </c>
      <c r="E74" s="400"/>
    </row>
    <row r="75" spans="1:50" x14ac:dyDescent="0.4">
      <c r="A75" s="1264" t="s">
        <v>628</v>
      </c>
      <c r="E75" s="400"/>
    </row>
    <row r="76" spans="1:50" x14ac:dyDescent="0.4">
      <c r="A76" s="28" t="s">
        <v>858</v>
      </c>
    </row>
    <row r="78" spans="1:50" x14ac:dyDescent="0.4">
      <c r="A78" s="265" t="s">
        <v>1142</v>
      </c>
    </row>
    <row r="79" spans="1:50" x14ac:dyDescent="0.4">
      <c r="A79" s="11" t="s">
        <v>862</v>
      </c>
      <c r="J79" s="11" t="s">
        <v>863</v>
      </c>
      <c r="Q79" s="11" t="s">
        <v>864</v>
      </c>
      <c r="X79" s="11" t="s">
        <v>865</v>
      </c>
      <c r="AE79" s="11" t="s">
        <v>866</v>
      </c>
      <c r="AL79" s="11" t="s">
        <v>867</v>
      </c>
      <c r="AS79" s="11" t="s">
        <v>868</v>
      </c>
    </row>
    <row r="80" spans="1:50" ht="32.5" thickBot="1" x14ac:dyDescent="0.45">
      <c r="A80" s="56" t="s">
        <v>250</v>
      </c>
      <c r="B80" s="6" t="s">
        <v>288</v>
      </c>
      <c r="C80" s="3" t="s">
        <v>28</v>
      </c>
      <c r="D80" s="3" t="s">
        <v>248</v>
      </c>
      <c r="E80" s="3" t="s">
        <v>249</v>
      </c>
      <c r="F80" s="3" t="s">
        <v>29</v>
      </c>
      <c r="G80" s="3" t="s">
        <v>308</v>
      </c>
      <c r="H80" s="6" t="s">
        <v>309</v>
      </c>
      <c r="J80" s="1267" t="s">
        <v>250</v>
      </c>
      <c r="K80" s="6" t="s">
        <v>288</v>
      </c>
      <c r="L80" s="6" t="s">
        <v>289</v>
      </c>
      <c r="M80" s="6" t="s">
        <v>290</v>
      </c>
      <c r="N80" s="6" t="s">
        <v>291</v>
      </c>
      <c r="O80" s="6" t="s">
        <v>292</v>
      </c>
      <c r="Q80" s="1267" t="s">
        <v>250</v>
      </c>
      <c r="R80" s="6" t="s">
        <v>293</v>
      </c>
      <c r="S80" s="6" t="s">
        <v>294</v>
      </c>
      <c r="T80" s="6" t="s">
        <v>290</v>
      </c>
      <c r="U80" s="6" t="s">
        <v>291</v>
      </c>
      <c r="V80" s="6" t="s">
        <v>295</v>
      </c>
      <c r="X80" s="1267" t="s">
        <v>250</v>
      </c>
      <c r="Y80" s="6" t="s">
        <v>296</v>
      </c>
      <c r="Z80" s="6" t="s">
        <v>297</v>
      </c>
      <c r="AA80" s="6" t="s">
        <v>290</v>
      </c>
      <c r="AB80" s="6" t="s">
        <v>291</v>
      </c>
      <c r="AC80" s="6" t="s">
        <v>298</v>
      </c>
      <c r="AE80" s="1267" t="s">
        <v>250</v>
      </c>
      <c r="AF80" s="6" t="s">
        <v>299</v>
      </c>
      <c r="AG80" s="6" t="s">
        <v>300</v>
      </c>
      <c r="AH80" s="6" t="s">
        <v>290</v>
      </c>
      <c r="AI80" s="6" t="s">
        <v>291</v>
      </c>
      <c r="AJ80" s="6" t="s">
        <v>301</v>
      </c>
      <c r="AL80" s="1267" t="s">
        <v>250</v>
      </c>
      <c r="AM80" s="6" t="s">
        <v>302</v>
      </c>
      <c r="AN80" s="6" t="s">
        <v>303</v>
      </c>
      <c r="AO80" s="6" t="s">
        <v>290</v>
      </c>
      <c r="AP80" s="6" t="s">
        <v>291</v>
      </c>
      <c r="AQ80" s="6" t="s">
        <v>304</v>
      </c>
      <c r="AS80" s="1267" t="s">
        <v>250</v>
      </c>
      <c r="AT80" s="6" t="s">
        <v>305</v>
      </c>
      <c r="AU80" s="6" t="s">
        <v>306</v>
      </c>
      <c r="AV80" s="6" t="s">
        <v>290</v>
      </c>
      <c r="AW80" s="6" t="s">
        <v>291</v>
      </c>
      <c r="AX80" s="6" t="s">
        <v>307</v>
      </c>
    </row>
    <row r="81" spans="1:50" x14ac:dyDescent="0.4">
      <c r="A81" s="56">
        <v>1990</v>
      </c>
      <c r="B81" s="15">
        <f t="shared" ref="B81:B99" si="74">O81</f>
        <v>41627939.70137015</v>
      </c>
      <c r="C81" s="15">
        <f t="shared" ref="C81:C99" si="75">AQ81</f>
        <v>32241187.945176702</v>
      </c>
      <c r="D81" s="15">
        <f t="shared" ref="D81:D99" si="76">V81</f>
        <v>11909218.574255219</v>
      </c>
      <c r="E81" s="15">
        <f t="shared" ref="E81:E99" si="77">AC81</f>
        <v>12584911.587698199</v>
      </c>
      <c r="F81" s="15">
        <f t="shared" ref="F81:F99" si="78">AX81</f>
        <v>1508272.8586128762</v>
      </c>
      <c r="G81" s="15">
        <f t="shared" ref="G81:G99" si="79">AJ81</f>
        <v>4840653.0305385673</v>
      </c>
      <c r="H81" s="21">
        <f t="shared" ref="H81:H99" si="80">SUM(B81:G81)</f>
        <v>104712183.69765171</v>
      </c>
      <c r="J81" s="1267">
        <v>1990</v>
      </c>
      <c r="K81" s="9">
        <v>39811011</v>
      </c>
      <c r="L81" s="14" t="s">
        <v>32</v>
      </c>
      <c r="M81" s="14" t="s">
        <v>32</v>
      </c>
      <c r="N81" s="7">
        <f t="shared" ref="N81:N89" si="81">N82</f>
        <v>4.5638848542935831E-2</v>
      </c>
      <c r="O81" s="18">
        <f t="shared" ref="O81:O99" si="82">K81+(N81*K81)</f>
        <v>41627939.70137015</v>
      </c>
      <c r="Q81" s="1267">
        <v>1990</v>
      </c>
      <c r="R81" s="9">
        <v>15946014</v>
      </c>
      <c r="S81" s="14" t="s">
        <v>32</v>
      </c>
      <c r="T81" s="14" t="s">
        <v>32</v>
      </c>
      <c r="U81" s="7">
        <f t="shared" ref="U81:U89" si="83">U82</f>
        <v>-0.25315388696791441</v>
      </c>
      <c r="V81" s="18">
        <f t="shared" ref="V81:V99" si="84">R81+(U81*R81)</f>
        <v>11909218.574255219</v>
      </c>
      <c r="X81" s="1267">
        <v>1990</v>
      </c>
      <c r="Y81" s="9">
        <v>12405196</v>
      </c>
      <c r="Z81" s="16" t="s">
        <v>32</v>
      </c>
      <c r="AA81" s="16" t="s">
        <v>32</v>
      </c>
      <c r="AB81" s="7">
        <f t="shared" ref="AB81:AB89" si="85">AB82</f>
        <v>1.4487121984868253E-2</v>
      </c>
      <c r="AC81" s="18">
        <f t="shared" ref="AC81:AC99" si="86">Y81+(AB81*Y81)</f>
        <v>12584911.587698199</v>
      </c>
      <c r="AE81" s="1267">
        <v>1990</v>
      </c>
      <c r="AF81" s="9">
        <v>5164108</v>
      </c>
      <c r="AG81" s="16" t="s">
        <v>32</v>
      </c>
      <c r="AH81" s="16" t="s">
        <v>32</v>
      </c>
      <c r="AI81" s="7">
        <f t="shared" ref="AI81:AI89" si="87">AI82</f>
        <v>-6.2635206208203439E-2</v>
      </c>
      <c r="AJ81" s="18">
        <f t="shared" ref="AJ81:AJ99" si="88">AF81+(AI81*AF81)</f>
        <v>4840653.0305385673</v>
      </c>
      <c r="AL81" s="1267">
        <v>1990</v>
      </c>
      <c r="AM81" s="9">
        <v>35147247</v>
      </c>
      <c r="AN81" s="16" t="s">
        <v>32</v>
      </c>
      <c r="AO81" s="16" t="s">
        <v>32</v>
      </c>
      <c r="AP81" s="7">
        <f t="shared" ref="AP81:AP89" si="89">AP82</f>
        <v>-8.2682409089488526E-2</v>
      </c>
      <c r="AQ81" s="18">
        <f t="shared" ref="AQ81:AQ99" si="90">AM81+(AP81*AM81)</f>
        <v>32241187.945176702</v>
      </c>
      <c r="AS81" s="1267">
        <v>1990</v>
      </c>
      <c r="AT81" s="9">
        <v>1107316</v>
      </c>
      <c r="AU81" s="16" t="s">
        <v>32</v>
      </c>
      <c r="AV81" s="16" t="s">
        <v>32</v>
      </c>
      <c r="AW81" s="7">
        <f t="shared" ref="AW81:AW89" si="91">AW82</f>
        <v>0.36209795452506433</v>
      </c>
      <c r="AX81" s="18">
        <f t="shared" ref="AX81:AX99" si="92">AT81+(AW81*AT81)</f>
        <v>1508272.8586128762</v>
      </c>
    </row>
    <row r="82" spans="1:50" x14ac:dyDescent="0.4">
      <c r="A82" s="56">
        <v>1991</v>
      </c>
      <c r="B82" s="15">
        <f t="shared" si="74"/>
        <v>42891887.028711885</v>
      </c>
      <c r="C82" s="15">
        <f t="shared" si="75"/>
        <v>24801026.775171544</v>
      </c>
      <c r="D82" s="15">
        <f t="shared" si="76"/>
        <v>12953883.764934996</v>
      </c>
      <c r="E82" s="15">
        <f t="shared" si="77"/>
        <v>14427367.301855408</v>
      </c>
      <c r="F82" s="15">
        <f t="shared" si="78"/>
        <v>3985252.0752105694</v>
      </c>
      <c r="G82" s="15">
        <f t="shared" si="79"/>
        <v>5050507.4484782927</v>
      </c>
      <c r="H82" s="22">
        <f t="shared" si="80"/>
        <v>104109924.3943627</v>
      </c>
      <c r="J82" s="1267">
        <v>1991</v>
      </c>
      <c r="K82" s="9">
        <v>41019791</v>
      </c>
      <c r="L82" s="14" t="s">
        <v>32</v>
      </c>
      <c r="M82" s="14" t="s">
        <v>32</v>
      </c>
      <c r="N82" s="7">
        <f t="shared" si="81"/>
        <v>4.5638848542935831E-2</v>
      </c>
      <c r="O82" s="19">
        <f t="shared" si="82"/>
        <v>42891887.028711885</v>
      </c>
      <c r="Q82" s="1267">
        <v>1991</v>
      </c>
      <c r="R82" s="9">
        <v>17344783</v>
      </c>
      <c r="S82" s="14" t="s">
        <v>32</v>
      </c>
      <c r="T82" s="14" t="s">
        <v>32</v>
      </c>
      <c r="U82" s="7">
        <f t="shared" si="83"/>
        <v>-0.25315388696791441</v>
      </c>
      <c r="V82" s="19">
        <f t="shared" si="84"/>
        <v>12953883.764934996</v>
      </c>
      <c r="X82" s="1267">
        <v>1991</v>
      </c>
      <c r="Y82" s="9">
        <v>14221341</v>
      </c>
      <c r="Z82" s="17" t="s">
        <v>32</v>
      </c>
      <c r="AA82" s="17" t="s">
        <v>32</v>
      </c>
      <c r="AB82" s="7">
        <f t="shared" si="85"/>
        <v>1.4487121984868253E-2</v>
      </c>
      <c r="AC82" s="19">
        <f t="shared" si="86"/>
        <v>14427367.301855408</v>
      </c>
      <c r="AE82" s="1267">
        <v>1991</v>
      </c>
      <c r="AF82" s="9">
        <v>5387985</v>
      </c>
      <c r="AG82" s="17" t="s">
        <v>32</v>
      </c>
      <c r="AH82" s="17" t="s">
        <v>32</v>
      </c>
      <c r="AI82" s="7">
        <f t="shared" si="87"/>
        <v>-6.2635206208203439E-2</v>
      </c>
      <c r="AJ82" s="19">
        <f t="shared" si="88"/>
        <v>5050507.4484782927</v>
      </c>
      <c r="AL82" s="1267">
        <v>1991</v>
      </c>
      <c r="AM82" s="9">
        <v>27036467</v>
      </c>
      <c r="AN82" s="17" t="s">
        <v>32</v>
      </c>
      <c r="AO82" s="17" t="s">
        <v>32</v>
      </c>
      <c r="AP82" s="7">
        <f t="shared" si="89"/>
        <v>-8.2682409089488526E-2</v>
      </c>
      <c r="AQ82" s="19">
        <f t="shared" si="90"/>
        <v>24801026.775171544</v>
      </c>
      <c r="AS82" s="1267">
        <v>1991</v>
      </c>
      <c r="AT82" s="9">
        <v>2925819</v>
      </c>
      <c r="AU82" s="17" t="s">
        <v>32</v>
      </c>
      <c r="AV82" s="17" t="s">
        <v>32</v>
      </c>
      <c r="AW82" s="7">
        <f t="shared" si="91"/>
        <v>0.36209795452506433</v>
      </c>
      <c r="AX82" s="19">
        <f t="shared" si="92"/>
        <v>3985252.0752105694</v>
      </c>
    </row>
    <row r="83" spans="1:50" x14ac:dyDescent="0.4">
      <c r="A83" s="56">
        <v>1992</v>
      </c>
      <c r="B83" s="15">
        <f t="shared" si="74"/>
        <v>41917209.414986461</v>
      </c>
      <c r="C83" s="15">
        <f t="shared" si="75"/>
        <v>26796112.728771497</v>
      </c>
      <c r="D83" s="15">
        <f t="shared" si="76"/>
        <v>11713193.874967687</v>
      </c>
      <c r="E83" s="15">
        <f t="shared" si="77"/>
        <v>15336258.488287115</v>
      </c>
      <c r="F83" s="15">
        <f t="shared" si="78"/>
        <v>6517917.9424831104</v>
      </c>
      <c r="G83" s="15">
        <f t="shared" si="79"/>
        <v>4565099.6515667681</v>
      </c>
      <c r="H83" s="22">
        <f t="shared" si="80"/>
        <v>106845792.10106264</v>
      </c>
      <c r="J83" s="1267">
        <v>1992</v>
      </c>
      <c r="K83" s="9">
        <v>40087655</v>
      </c>
      <c r="L83" s="14" t="s">
        <v>32</v>
      </c>
      <c r="M83" s="14" t="s">
        <v>32</v>
      </c>
      <c r="N83" s="7">
        <f t="shared" si="81"/>
        <v>4.5638848542935831E-2</v>
      </c>
      <c r="O83" s="19">
        <f t="shared" si="82"/>
        <v>41917209.414986461</v>
      </c>
      <c r="Q83" s="1267">
        <v>1992</v>
      </c>
      <c r="R83" s="9">
        <v>15683544</v>
      </c>
      <c r="S83" s="14" t="s">
        <v>32</v>
      </c>
      <c r="T83" s="14" t="s">
        <v>32</v>
      </c>
      <c r="U83" s="7">
        <f t="shared" si="83"/>
        <v>-0.25315388696791441</v>
      </c>
      <c r="V83" s="19">
        <f t="shared" si="84"/>
        <v>11713193.874967687</v>
      </c>
      <c r="X83" s="1267">
        <v>1992</v>
      </c>
      <c r="Y83" s="9">
        <v>15117253</v>
      </c>
      <c r="Z83" s="16" t="s">
        <v>32</v>
      </c>
      <c r="AA83" s="16" t="s">
        <v>32</v>
      </c>
      <c r="AB83" s="7">
        <f t="shared" si="85"/>
        <v>1.4487121984868253E-2</v>
      </c>
      <c r="AC83" s="19">
        <f t="shared" si="86"/>
        <v>15336258.488287115</v>
      </c>
      <c r="AE83" s="1267">
        <v>1992</v>
      </c>
      <c r="AF83" s="9">
        <v>4870142</v>
      </c>
      <c r="AG83" s="16" t="s">
        <v>32</v>
      </c>
      <c r="AH83" s="16" t="s">
        <v>32</v>
      </c>
      <c r="AI83" s="7">
        <f t="shared" si="87"/>
        <v>-6.2635206208203439E-2</v>
      </c>
      <c r="AJ83" s="19">
        <f t="shared" si="88"/>
        <v>4565099.6515667681</v>
      </c>
      <c r="AL83" s="1267">
        <v>1992</v>
      </c>
      <c r="AM83" s="9">
        <v>29211380</v>
      </c>
      <c r="AN83" s="16" t="s">
        <v>32</v>
      </c>
      <c r="AO83" s="16" t="s">
        <v>32</v>
      </c>
      <c r="AP83" s="7">
        <f t="shared" si="89"/>
        <v>-8.2682409089488526E-2</v>
      </c>
      <c r="AQ83" s="19">
        <f t="shared" si="90"/>
        <v>26796112.728771497</v>
      </c>
      <c r="AS83" s="1267">
        <v>1992</v>
      </c>
      <c r="AT83" s="9">
        <v>4785205</v>
      </c>
      <c r="AU83" s="16" t="s">
        <v>32</v>
      </c>
      <c r="AV83" s="16" t="s">
        <v>32</v>
      </c>
      <c r="AW83" s="7">
        <f t="shared" si="91"/>
        <v>0.36209795452506433</v>
      </c>
      <c r="AX83" s="19">
        <f t="shared" si="92"/>
        <v>6517917.9424831104</v>
      </c>
    </row>
    <row r="84" spans="1:50" x14ac:dyDescent="0.4">
      <c r="A84" s="56">
        <v>1993</v>
      </c>
      <c r="B84" s="15">
        <f t="shared" si="74"/>
        <v>38771460.358004011</v>
      </c>
      <c r="C84" s="15">
        <f t="shared" si="75"/>
        <v>30165595.447845668</v>
      </c>
      <c r="D84" s="15">
        <f t="shared" si="76"/>
        <v>11661458.351025729</v>
      </c>
      <c r="E84" s="15">
        <f t="shared" si="77"/>
        <v>16478070.845490938</v>
      </c>
      <c r="F84" s="15">
        <f t="shared" si="78"/>
        <v>6354590.1388539644</v>
      </c>
      <c r="G84" s="15">
        <f t="shared" si="79"/>
        <v>4352901.8216425618</v>
      </c>
      <c r="H84" s="22">
        <f t="shared" si="80"/>
        <v>107784076.96286286</v>
      </c>
      <c r="J84" s="1267">
        <v>1993</v>
      </c>
      <c r="K84" s="9">
        <v>37079208</v>
      </c>
      <c r="L84" s="14" t="s">
        <v>32</v>
      </c>
      <c r="M84" s="14" t="s">
        <v>32</v>
      </c>
      <c r="N84" s="7">
        <f t="shared" si="81"/>
        <v>4.5638848542935831E-2</v>
      </c>
      <c r="O84" s="19">
        <f t="shared" si="82"/>
        <v>38771460.358004011</v>
      </c>
      <c r="Q84" s="1267">
        <v>1993</v>
      </c>
      <c r="R84" s="9">
        <v>15614272</v>
      </c>
      <c r="S84" s="14" t="s">
        <v>32</v>
      </c>
      <c r="T84" s="14" t="s">
        <v>32</v>
      </c>
      <c r="U84" s="7">
        <f t="shared" si="83"/>
        <v>-0.25315388696791441</v>
      </c>
      <c r="V84" s="19">
        <f t="shared" si="84"/>
        <v>11661458.351025729</v>
      </c>
      <c r="X84" s="1267">
        <v>1993</v>
      </c>
      <c r="Y84" s="9">
        <v>16242760</v>
      </c>
      <c r="Z84" s="17" t="s">
        <v>32</v>
      </c>
      <c r="AA84" s="17" t="s">
        <v>32</v>
      </c>
      <c r="AB84" s="7">
        <f t="shared" si="85"/>
        <v>1.4487121984868253E-2</v>
      </c>
      <c r="AC84" s="19">
        <f t="shared" si="86"/>
        <v>16478070.845490938</v>
      </c>
      <c r="AE84" s="1267">
        <v>1993</v>
      </c>
      <c r="AF84" s="9">
        <v>4643765</v>
      </c>
      <c r="AG84" s="17" t="s">
        <v>32</v>
      </c>
      <c r="AH84" s="17" t="s">
        <v>32</v>
      </c>
      <c r="AI84" s="7">
        <f t="shared" si="87"/>
        <v>-6.2635206208203439E-2</v>
      </c>
      <c r="AJ84" s="19">
        <f t="shared" si="88"/>
        <v>4352901.8216425618</v>
      </c>
      <c r="AL84" s="1267">
        <v>1993</v>
      </c>
      <c r="AM84" s="9">
        <v>32884571</v>
      </c>
      <c r="AN84" s="17" t="s">
        <v>32</v>
      </c>
      <c r="AO84" s="17" t="s">
        <v>32</v>
      </c>
      <c r="AP84" s="7">
        <f t="shared" si="89"/>
        <v>-8.2682409089488526E-2</v>
      </c>
      <c r="AQ84" s="19">
        <f t="shared" si="90"/>
        <v>30165595.447845668</v>
      </c>
      <c r="AS84" s="1267">
        <v>1993</v>
      </c>
      <c r="AT84" s="9">
        <v>4665296</v>
      </c>
      <c r="AU84" s="17" t="s">
        <v>32</v>
      </c>
      <c r="AV84" s="17" t="s">
        <v>32</v>
      </c>
      <c r="AW84" s="7">
        <f t="shared" si="91"/>
        <v>0.36209795452506433</v>
      </c>
      <c r="AX84" s="19">
        <f t="shared" si="92"/>
        <v>6354590.1388539644</v>
      </c>
    </row>
    <row r="85" spans="1:50" x14ac:dyDescent="0.4">
      <c r="A85" s="56">
        <v>1994</v>
      </c>
      <c r="B85" s="15">
        <f t="shared" si="74"/>
        <v>39670559.195756748</v>
      </c>
      <c r="C85" s="15">
        <f t="shared" si="75"/>
        <v>28600969.02963879</v>
      </c>
      <c r="D85" s="15">
        <f t="shared" si="76"/>
        <v>12290211.662972955</v>
      </c>
      <c r="E85" s="15">
        <f t="shared" si="77"/>
        <v>13657531.865234166</v>
      </c>
      <c r="F85" s="15">
        <f t="shared" si="78"/>
        <v>6446700.6509307679</v>
      </c>
      <c r="G85" s="15">
        <f t="shared" si="79"/>
        <v>5265206.1676723352</v>
      </c>
      <c r="H85" s="22">
        <f t="shared" si="80"/>
        <v>105931178.57220575</v>
      </c>
      <c r="J85" s="1267">
        <v>1994</v>
      </c>
      <c r="K85" s="9">
        <v>37939064</v>
      </c>
      <c r="L85" s="14" t="s">
        <v>32</v>
      </c>
      <c r="M85" s="14" t="s">
        <v>32</v>
      </c>
      <c r="N85" s="7">
        <f t="shared" si="81"/>
        <v>4.5638848542935831E-2</v>
      </c>
      <c r="O85" s="19">
        <f t="shared" si="82"/>
        <v>39670559.195756748</v>
      </c>
      <c r="Q85" s="1267">
        <v>1994</v>
      </c>
      <c r="R85" s="9">
        <v>16456150</v>
      </c>
      <c r="S85" s="14" t="s">
        <v>32</v>
      </c>
      <c r="T85" s="14" t="s">
        <v>32</v>
      </c>
      <c r="U85" s="7">
        <f t="shared" si="83"/>
        <v>-0.25315388696791441</v>
      </c>
      <c r="V85" s="19">
        <f t="shared" si="84"/>
        <v>12290211.662972955</v>
      </c>
      <c r="X85" s="1267">
        <v>1994</v>
      </c>
      <c r="Y85" s="9">
        <v>13462499</v>
      </c>
      <c r="Z85" s="16" t="s">
        <v>32</v>
      </c>
      <c r="AA85" s="16" t="s">
        <v>32</v>
      </c>
      <c r="AB85" s="7">
        <f t="shared" si="85"/>
        <v>1.4487121984868253E-2</v>
      </c>
      <c r="AC85" s="19">
        <f t="shared" si="86"/>
        <v>13657531.865234166</v>
      </c>
      <c r="AE85" s="1267">
        <v>1994</v>
      </c>
      <c r="AF85" s="9">
        <v>5617030</v>
      </c>
      <c r="AG85" s="16" t="s">
        <v>32</v>
      </c>
      <c r="AH85" s="16" t="s">
        <v>32</v>
      </c>
      <c r="AI85" s="7">
        <f t="shared" si="87"/>
        <v>-6.2635206208203439E-2</v>
      </c>
      <c r="AJ85" s="19">
        <f t="shared" si="88"/>
        <v>5265206.1676723352</v>
      </c>
      <c r="AL85" s="1267">
        <v>1994</v>
      </c>
      <c r="AM85" s="9">
        <v>31178917</v>
      </c>
      <c r="AN85" s="16" t="s">
        <v>32</v>
      </c>
      <c r="AO85" s="16" t="s">
        <v>32</v>
      </c>
      <c r="AP85" s="7">
        <f t="shared" si="89"/>
        <v>-8.2682409089488526E-2</v>
      </c>
      <c r="AQ85" s="19">
        <f t="shared" si="90"/>
        <v>28600969.02963879</v>
      </c>
      <c r="AS85" s="1267">
        <v>1994</v>
      </c>
      <c r="AT85" s="9">
        <v>4732920</v>
      </c>
      <c r="AU85" s="16" t="s">
        <v>32</v>
      </c>
      <c r="AV85" s="16" t="s">
        <v>32</v>
      </c>
      <c r="AW85" s="7">
        <f t="shared" si="91"/>
        <v>0.36209795452506433</v>
      </c>
      <c r="AX85" s="19">
        <f t="shared" si="92"/>
        <v>6446700.6509307679</v>
      </c>
    </row>
    <row r="86" spans="1:50" x14ac:dyDescent="0.4">
      <c r="A86" s="56">
        <v>1995</v>
      </c>
      <c r="B86" s="15">
        <f t="shared" si="74"/>
        <v>39372988.155321851</v>
      </c>
      <c r="C86" s="15">
        <f t="shared" si="75"/>
        <v>28870248.525768165</v>
      </c>
      <c r="D86" s="15">
        <f t="shared" si="76"/>
        <v>7291496.6906840168</v>
      </c>
      <c r="E86" s="15">
        <f t="shared" si="77"/>
        <v>15657978.73133369</v>
      </c>
      <c r="F86" s="15">
        <f t="shared" si="78"/>
        <v>6113385.7467728024</v>
      </c>
      <c r="G86" s="15">
        <f t="shared" si="79"/>
        <v>4836860.4525828855</v>
      </c>
      <c r="H86" s="22">
        <f t="shared" si="80"/>
        <v>102142958.3024634</v>
      </c>
      <c r="J86" s="1267">
        <v>1995</v>
      </c>
      <c r="K86" s="9">
        <v>37654481</v>
      </c>
      <c r="L86" s="14" t="s">
        <v>32</v>
      </c>
      <c r="M86" s="14" t="s">
        <v>32</v>
      </c>
      <c r="N86" s="7">
        <f t="shared" si="81"/>
        <v>4.5638848542935831E-2</v>
      </c>
      <c r="O86" s="19">
        <f t="shared" si="82"/>
        <v>39372988.155321851</v>
      </c>
      <c r="Q86" s="1267">
        <v>1995</v>
      </c>
      <c r="R86" s="9">
        <v>9763051</v>
      </c>
      <c r="S86" s="14" t="s">
        <v>32</v>
      </c>
      <c r="T86" s="14" t="s">
        <v>32</v>
      </c>
      <c r="U86" s="7">
        <f t="shared" si="83"/>
        <v>-0.25315388696791441</v>
      </c>
      <c r="V86" s="19">
        <f t="shared" si="84"/>
        <v>7291496.6906840168</v>
      </c>
      <c r="X86" s="1267">
        <v>1995</v>
      </c>
      <c r="Y86" s="9">
        <v>15434379</v>
      </c>
      <c r="Z86" s="17" t="s">
        <v>32</v>
      </c>
      <c r="AA86" s="17" t="s">
        <v>32</v>
      </c>
      <c r="AB86" s="7">
        <f t="shared" si="85"/>
        <v>1.4487121984868253E-2</v>
      </c>
      <c r="AC86" s="19">
        <f t="shared" si="86"/>
        <v>15657978.73133369</v>
      </c>
      <c r="AE86" s="1267">
        <v>1995</v>
      </c>
      <c r="AF86" s="9">
        <v>5160062</v>
      </c>
      <c r="AG86" s="17" t="s">
        <v>32</v>
      </c>
      <c r="AH86" s="17" t="s">
        <v>32</v>
      </c>
      <c r="AI86" s="7">
        <f t="shared" si="87"/>
        <v>-6.2635206208203439E-2</v>
      </c>
      <c r="AJ86" s="19">
        <f t="shared" si="88"/>
        <v>4836860.4525828855</v>
      </c>
      <c r="AL86" s="1267">
        <v>1995</v>
      </c>
      <c r="AM86" s="9">
        <v>31472468</v>
      </c>
      <c r="AN86" s="17" t="s">
        <v>32</v>
      </c>
      <c r="AO86" s="17" t="s">
        <v>32</v>
      </c>
      <c r="AP86" s="7">
        <f t="shared" si="89"/>
        <v>-8.2682409089488526E-2</v>
      </c>
      <c r="AQ86" s="19">
        <f t="shared" si="90"/>
        <v>28870248.525768165</v>
      </c>
      <c r="AS86" s="1267">
        <v>1995</v>
      </c>
      <c r="AT86" s="9">
        <v>4488213</v>
      </c>
      <c r="AU86" s="17" t="s">
        <v>32</v>
      </c>
      <c r="AV86" s="17" t="s">
        <v>32</v>
      </c>
      <c r="AW86" s="7">
        <f t="shared" si="91"/>
        <v>0.36209795452506433</v>
      </c>
      <c r="AX86" s="19">
        <f t="shared" si="92"/>
        <v>6113385.7467728024</v>
      </c>
    </row>
    <row r="87" spans="1:50" x14ac:dyDescent="0.4">
      <c r="A87" s="56">
        <v>1996</v>
      </c>
      <c r="B87" s="15">
        <f t="shared" si="74"/>
        <v>39686197.770375557</v>
      </c>
      <c r="C87" s="15">
        <f t="shared" si="75"/>
        <v>18540270.922293529</v>
      </c>
      <c r="D87" s="15">
        <f t="shared" si="76"/>
        <v>11153678.425621327</v>
      </c>
      <c r="E87" s="15">
        <f t="shared" si="77"/>
        <v>17310852.164569974</v>
      </c>
      <c r="F87" s="15">
        <f t="shared" si="78"/>
        <v>10515445.24445986</v>
      </c>
      <c r="G87" s="15">
        <f t="shared" si="79"/>
        <v>5015013.1931965724</v>
      </c>
      <c r="H87" s="22">
        <f t="shared" si="80"/>
        <v>102221457.7205168</v>
      </c>
      <c r="J87" s="1267">
        <v>1996</v>
      </c>
      <c r="K87" s="9">
        <v>37954020</v>
      </c>
      <c r="L87" s="14" t="s">
        <v>32</v>
      </c>
      <c r="M87" s="14" t="s">
        <v>32</v>
      </c>
      <c r="N87" s="7">
        <f t="shared" si="81"/>
        <v>4.5638848542935831E-2</v>
      </c>
      <c r="O87" s="19">
        <f t="shared" si="82"/>
        <v>39686197.770375557</v>
      </c>
      <c r="Q87" s="1267">
        <v>1996</v>
      </c>
      <c r="R87" s="9">
        <v>14934373</v>
      </c>
      <c r="S87" s="14" t="s">
        <v>32</v>
      </c>
      <c r="T87" s="14" t="s">
        <v>32</v>
      </c>
      <c r="U87" s="7">
        <f t="shared" si="83"/>
        <v>-0.25315388696791441</v>
      </c>
      <c r="V87" s="19">
        <f t="shared" si="84"/>
        <v>11153678.425621327</v>
      </c>
      <c r="X87" s="1267">
        <v>1996</v>
      </c>
      <c r="Y87" s="9">
        <v>17063649</v>
      </c>
      <c r="Z87" s="16" t="s">
        <v>32</v>
      </c>
      <c r="AA87" s="16" t="s">
        <v>32</v>
      </c>
      <c r="AB87" s="7">
        <f t="shared" si="85"/>
        <v>1.4487121984868253E-2</v>
      </c>
      <c r="AC87" s="19">
        <f t="shared" si="86"/>
        <v>17310852.164569974</v>
      </c>
      <c r="AE87" s="1267">
        <v>1996</v>
      </c>
      <c r="AF87" s="9">
        <v>5350119</v>
      </c>
      <c r="AG87" s="16" t="s">
        <v>32</v>
      </c>
      <c r="AH87" s="16" t="s">
        <v>32</v>
      </c>
      <c r="AI87" s="7">
        <f t="shared" si="87"/>
        <v>-6.2635206208203439E-2</v>
      </c>
      <c r="AJ87" s="19">
        <f t="shared" si="88"/>
        <v>5015013.1931965724</v>
      </c>
      <c r="AL87" s="1267">
        <v>1996</v>
      </c>
      <c r="AM87" s="9">
        <v>20211398</v>
      </c>
      <c r="AN87" s="16" t="s">
        <v>32</v>
      </c>
      <c r="AO87" s="16" t="s">
        <v>32</v>
      </c>
      <c r="AP87" s="7">
        <f t="shared" si="89"/>
        <v>-8.2682409089488526E-2</v>
      </c>
      <c r="AQ87" s="19">
        <f t="shared" si="90"/>
        <v>18540270.922293529</v>
      </c>
      <c r="AS87" s="1267">
        <v>1996</v>
      </c>
      <c r="AT87" s="9">
        <v>7720036</v>
      </c>
      <c r="AU87" s="16" t="s">
        <v>32</v>
      </c>
      <c r="AV87" s="16" t="s">
        <v>32</v>
      </c>
      <c r="AW87" s="7">
        <f t="shared" si="91"/>
        <v>0.36209795452506433</v>
      </c>
      <c r="AX87" s="19">
        <f t="shared" si="92"/>
        <v>10515445.24445986</v>
      </c>
    </row>
    <row r="88" spans="1:50" x14ac:dyDescent="0.4">
      <c r="A88" s="56">
        <v>1997</v>
      </c>
      <c r="B88" s="15">
        <f t="shared" si="74"/>
        <v>47017493.794275433</v>
      </c>
      <c r="C88" s="15">
        <f t="shared" si="75"/>
        <v>16212944.46239447</v>
      </c>
      <c r="D88" s="15">
        <f t="shared" si="76"/>
        <v>7717464.1054824311</v>
      </c>
      <c r="E88" s="15">
        <f t="shared" si="77"/>
        <v>16110281.72774791</v>
      </c>
      <c r="F88" s="15">
        <f t="shared" si="78"/>
        <v>10501166.371602573</v>
      </c>
      <c r="G88" s="15">
        <f t="shared" si="79"/>
        <v>5324736.3309964649</v>
      </c>
      <c r="H88" s="22">
        <f t="shared" si="80"/>
        <v>102884086.79249929</v>
      </c>
      <c r="J88" s="1267">
        <v>1997</v>
      </c>
      <c r="K88" s="9">
        <v>44965328</v>
      </c>
      <c r="L88" s="14" t="s">
        <v>32</v>
      </c>
      <c r="M88" s="14" t="s">
        <v>32</v>
      </c>
      <c r="N88" s="7">
        <f t="shared" si="81"/>
        <v>4.5638848542935831E-2</v>
      </c>
      <c r="O88" s="19">
        <f t="shared" si="82"/>
        <v>47017493.794275433</v>
      </c>
      <c r="Q88" s="1267">
        <v>1997</v>
      </c>
      <c r="R88" s="9">
        <v>10333406</v>
      </c>
      <c r="S88" s="14" t="s">
        <v>32</v>
      </c>
      <c r="T88" s="14" t="s">
        <v>32</v>
      </c>
      <c r="U88" s="7">
        <f t="shared" si="83"/>
        <v>-0.25315388696791441</v>
      </c>
      <c r="V88" s="19">
        <f t="shared" si="84"/>
        <v>7717464.1054824311</v>
      </c>
      <c r="X88" s="1267">
        <v>1997</v>
      </c>
      <c r="Y88" s="9">
        <v>15880223</v>
      </c>
      <c r="Z88" s="17" t="s">
        <v>32</v>
      </c>
      <c r="AA88" s="17" t="s">
        <v>32</v>
      </c>
      <c r="AB88" s="7">
        <f t="shared" si="85"/>
        <v>1.4487121984868253E-2</v>
      </c>
      <c r="AC88" s="19">
        <f t="shared" si="86"/>
        <v>16110281.72774791</v>
      </c>
      <c r="AE88" s="1267">
        <v>1997</v>
      </c>
      <c r="AF88" s="9">
        <v>5680538</v>
      </c>
      <c r="AG88" s="17" t="s">
        <v>32</v>
      </c>
      <c r="AH88" s="17" t="s">
        <v>32</v>
      </c>
      <c r="AI88" s="7">
        <f t="shared" si="87"/>
        <v>-6.2635206208203439E-2</v>
      </c>
      <c r="AJ88" s="19">
        <f t="shared" si="88"/>
        <v>5324736.3309964649</v>
      </c>
      <c r="AL88" s="1267">
        <v>1997</v>
      </c>
      <c r="AM88" s="9">
        <v>17674298</v>
      </c>
      <c r="AN88" s="17" t="s">
        <v>32</v>
      </c>
      <c r="AO88" s="17" t="s">
        <v>32</v>
      </c>
      <c r="AP88" s="7">
        <f t="shared" si="89"/>
        <v>-8.2682409089488526E-2</v>
      </c>
      <c r="AQ88" s="19">
        <f t="shared" si="90"/>
        <v>16212944.46239447</v>
      </c>
      <c r="AS88" s="1267">
        <v>1997</v>
      </c>
      <c r="AT88" s="9">
        <v>7709553</v>
      </c>
      <c r="AU88" s="17" t="s">
        <v>32</v>
      </c>
      <c r="AV88" s="17" t="s">
        <v>32</v>
      </c>
      <c r="AW88" s="7">
        <f t="shared" si="91"/>
        <v>0.36209795452506433</v>
      </c>
      <c r="AX88" s="19">
        <f t="shared" si="92"/>
        <v>10501166.371602573</v>
      </c>
    </row>
    <row r="89" spans="1:50" x14ac:dyDescent="0.4">
      <c r="A89" s="56">
        <v>1998</v>
      </c>
      <c r="B89" s="15">
        <f t="shared" si="74"/>
        <v>47768563.631517641</v>
      </c>
      <c r="C89" s="15">
        <f t="shared" si="75"/>
        <v>18063352.002873611</v>
      </c>
      <c r="D89" s="15">
        <f t="shared" si="76"/>
        <v>8217784.5319098691</v>
      </c>
      <c r="E89" s="15">
        <f t="shared" si="77"/>
        <v>16321934.176007614</v>
      </c>
      <c r="F89" s="15">
        <f t="shared" si="78"/>
        <v>10453435.735080106</v>
      </c>
      <c r="G89" s="15">
        <f t="shared" si="79"/>
        <v>4636484.6674379818</v>
      </c>
      <c r="H89" s="22">
        <f t="shared" si="80"/>
        <v>105461554.74482682</v>
      </c>
      <c r="J89" s="1267">
        <v>1998</v>
      </c>
      <c r="K89" s="9">
        <v>45683616</v>
      </c>
      <c r="L89" s="14" t="s">
        <v>32</v>
      </c>
      <c r="M89" s="14" t="s">
        <v>32</v>
      </c>
      <c r="N89" s="7">
        <f t="shared" si="81"/>
        <v>4.5638848542935831E-2</v>
      </c>
      <c r="O89" s="19">
        <f t="shared" si="82"/>
        <v>47768563.631517641</v>
      </c>
      <c r="Q89" s="1267">
        <v>1998</v>
      </c>
      <c r="R89" s="9">
        <v>11003317</v>
      </c>
      <c r="S89" s="14" t="s">
        <v>32</v>
      </c>
      <c r="T89" s="14" t="s">
        <v>32</v>
      </c>
      <c r="U89" s="7">
        <f t="shared" si="83"/>
        <v>-0.25315388696791441</v>
      </c>
      <c r="V89" s="19">
        <f t="shared" si="84"/>
        <v>8217784.5319098691</v>
      </c>
      <c r="X89" s="1267">
        <v>1998</v>
      </c>
      <c r="Y89" s="9">
        <v>16088853</v>
      </c>
      <c r="Z89" s="16" t="s">
        <v>32</v>
      </c>
      <c r="AA89" s="16" t="s">
        <v>32</v>
      </c>
      <c r="AB89" s="7">
        <f t="shared" si="85"/>
        <v>1.4487121984868253E-2</v>
      </c>
      <c r="AC89" s="19">
        <f t="shared" si="86"/>
        <v>16321934.176007614</v>
      </c>
      <c r="AE89" s="1267">
        <v>1998</v>
      </c>
      <c r="AF89" s="9">
        <v>4946297</v>
      </c>
      <c r="AG89" s="16" t="s">
        <v>32</v>
      </c>
      <c r="AH89" s="16" t="s">
        <v>32</v>
      </c>
      <c r="AI89" s="7">
        <f t="shared" si="87"/>
        <v>-6.2635206208203439E-2</v>
      </c>
      <c r="AJ89" s="19">
        <f t="shared" si="88"/>
        <v>4636484.6674379818</v>
      </c>
      <c r="AL89" s="1267">
        <v>1998</v>
      </c>
      <c r="AM89" s="9">
        <v>19691492</v>
      </c>
      <c r="AN89" s="16" t="s">
        <v>32</v>
      </c>
      <c r="AO89" s="16" t="s">
        <v>32</v>
      </c>
      <c r="AP89" s="7">
        <f t="shared" si="89"/>
        <v>-8.2682409089488526E-2</v>
      </c>
      <c r="AQ89" s="19">
        <f t="shared" si="90"/>
        <v>18063352.002873611</v>
      </c>
      <c r="AS89" s="1267">
        <v>1998</v>
      </c>
      <c r="AT89" s="9">
        <v>7674511</v>
      </c>
      <c r="AU89" s="16" t="s">
        <v>32</v>
      </c>
      <c r="AV89" s="16" t="s">
        <v>32</v>
      </c>
      <c r="AW89" s="7">
        <f t="shared" si="91"/>
        <v>0.36209795452506433</v>
      </c>
      <c r="AX89" s="19">
        <f t="shared" si="92"/>
        <v>10453435.735080106</v>
      </c>
    </row>
    <row r="90" spans="1:50" ht="16.5" thickBot="1" x14ac:dyDescent="0.45">
      <c r="A90" s="56">
        <v>1999</v>
      </c>
      <c r="B90" s="15">
        <f t="shared" si="74"/>
        <v>42427206.17005825</v>
      </c>
      <c r="C90" s="15">
        <f t="shared" si="75"/>
        <v>26232437.580873623</v>
      </c>
      <c r="D90" s="15">
        <f t="shared" si="76"/>
        <v>9465474.6104946285</v>
      </c>
      <c r="E90" s="15">
        <f t="shared" si="77"/>
        <v>16423782.596132163</v>
      </c>
      <c r="F90" s="15">
        <f t="shared" si="78"/>
        <v>8685936.5663497467</v>
      </c>
      <c r="G90" s="15">
        <f t="shared" si="79"/>
        <v>5346347.2763173347</v>
      </c>
      <c r="H90" s="23">
        <f t="shared" si="80"/>
        <v>108581184.80022573</v>
      </c>
      <c r="J90" s="1267">
        <v>1999</v>
      </c>
      <c r="K90" s="9">
        <v>40575392</v>
      </c>
      <c r="L90" s="14" t="s">
        <v>32</v>
      </c>
      <c r="M90" s="14" t="s">
        <v>32</v>
      </c>
      <c r="N90" s="7">
        <f>AVERAGE(N91:N99)</f>
        <v>4.5638848542935831E-2</v>
      </c>
      <c r="O90" s="20">
        <f t="shared" si="82"/>
        <v>42427206.17005825</v>
      </c>
      <c r="Q90" s="1267">
        <v>1999</v>
      </c>
      <c r="R90" s="9">
        <v>12673929</v>
      </c>
      <c r="S90" s="14" t="s">
        <v>32</v>
      </c>
      <c r="T90" s="14" t="s">
        <v>32</v>
      </c>
      <c r="U90" s="7">
        <f>AVERAGE(U91:U99)</f>
        <v>-0.25315388696791441</v>
      </c>
      <c r="V90" s="20">
        <f t="shared" si="84"/>
        <v>9465474.6104946285</v>
      </c>
      <c r="X90" s="1267">
        <v>1999</v>
      </c>
      <c r="Y90" s="9">
        <v>16189247</v>
      </c>
      <c r="Z90" s="17" t="s">
        <v>32</v>
      </c>
      <c r="AA90" s="17" t="s">
        <v>32</v>
      </c>
      <c r="AB90" s="7">
        <f>AVERAGE(AB91:AB99)</f>
        <v>1.4487121984868253E-2</v>
      </c>
      <c r="AC90" s="20">
        <f t="shared" si="86"/>
        <v>16423782.596132163</v>
      </c>
      <c r="AE90" s="1267">
        <v>1999</v>
      </c>
      <c r="AF90" s="9">
        <v>5703593</v>
      </c>
      <c r="AG90" s="17" t="s">
        <v>32</v>
      </c>
      <c r="AH90" s="17" t="s">
        <v>32</v>
      </c>
      <c r="AI90" s="7">
        <f>AVERAGE(AI91:AI99)</f>
        <v>-6.2635206208203439E-2</v>
      </c>
      <c r="AJ90" s="20">
        <f t="shared" si="88"/>
        <v>5346347.2763173347</v>
      </c>
      <c r="AL90" s="1267">
        <v>1999</v>
      </c>
      <c r="AM90" s="9">
        <v>28596898</v>
      </c>
      <c r="AN90" s="17" t="s">
        <v>32</v>
      </c>
      <c r="AO90" s="17" t="s">
        <v>32</v>
      </c>
      <c r="AP90" s="7">
        <f>AVERAGE(AP91:AP99)</f>
        <v>-8.2682409089488526E-2</v>
      </c>
      <c r="AQ90" s="20">
        <f t="shared" si="90"/>
        <v>26232437.580873623</v>
      </c>
      <c r="AS90" s="1267">
        <v>1999</v>
      </c>
      <c r="AT90" s="9">
        <v>6376881</v>
      </c>
      <c r="AU90" s="17" t="s">
        <v>32</v>
      </c>
      <c r="AV90" s="17" t="s">
        <v>32</v>
      </c>
      <c r="AW90" s="7">
        <f>AVERAGE(AW91:AW99)</f>
        <v>0.36209795452506433</v>
      </c>
      <c r="AX90" s="20">
        <f t="shared" si="92"/>
        <v>8685936.5663497467</v>
      </c>
    </row>
    <row r="91" spans="1:50" x14ac:dyDescent="0.4">
      <c r="A91" s="56">
        <v>2000</v>
      </c>
      <c r="B91" s="15">
        <f t="shared" si="74"/>
        <v>41235000</v>
      </c>
      <c r="C91" s="15">
        <f t="shared" si="75"/>
        <v>31874000</v>
      </c>
      <c r="D91" s="15">
        <f t="shared" si="76"/>
        <v>10355000</v>
      </c>
      <c r="E91" s="15">
        <f t="shared" si="77"/>
        <v>15061000</v>
      </c>
      <c r="F91" s="15">
        <f t="shared" si="78"/>
        <v>6035000</v>
      </c>
      <c r="G91" s="15">
        <f t="shared" si="79"/>
        <v>5638000</v>
      </c>
      <c r="H91" s="3">
        <f t="shared" si="80"/>
        <v>110198000</v>
      </c>
      <c r="J91" s="1267">
        <v>2000</v>
      </c>
      <c r="K91" s="9">
        <v>38697881</v>
      </c>
      <c r="L91" s="9">
        <v>41235000</v>
      </c>
      <c r="M91" s="9">
        <f t="shared" ref="M91:M99" si="93">L91-K91</f>
        <v>2537119</v>
      </c>
      <c r="N91" s="13">
        <f t="shared" ref="N91:N99" si="94">M91/K91</f>
        <v>6.5562220318988521E-2</v>
      </c>
      <c r="O91" s="9">
        <f t="shared" si="82"/>
        <v>41235000</v>
      </c>
      <c r="Q91" s="1267">
        <v>2000</v>
      </c>
      <c r="R91" s="9">
        <v>14047947</v>
      </c>
      <c r="S91" s="9">
        <v>10355000</v>
      </c>
      <c r="T91" s="9">
        <f t="shared" ref="T91:T99" si="95">S91-R91</f>
        <v>-3692947</v>
      </c>
      <c r="U91" s="13">
        <f t="shared" ref="U91:U99" si="96">T91/R91</f>
        <v>-0.26288161537055915</v>
      </c>
      <c r="V91" s="9">
        <f t="shared" si="84"/>
        <v>10355000</v>
      </c>
      <c r="X91" s="1267">
        <v>2000</v>
      </c>
      <c r="Y91" s="9">
        <v>15031499</v>
      </c>
      <c r="Z91" s="9">
        <v>15061000</v>
      </c>
      <c r="AA91" s="9">
        <f t="shared" ref="AA91:AA99" si="97">Z91-Y91</f>
        <v>29501</v>
      </c>
      <c r="AB91" s="13">
        <f t="shared" ref="AB91:AB99" si="98">AA91/Y91</f>
        <v>1.9626119790181937E-3</v>
      </c>
      <c r="AC91" s="9">
        <f t="shared" si="86"/>
        <v>15061000</v>
      </c>
      <c r="AE91" s="1267">
        <v>2000</v>
      </c>
      <c r="AF91" s="9">
        <v>6303014</v>
      </c>
      <c r="AG91" s="9">
        <v>5638000</v>
      </c>
      <c r="AH91" s="9">
        <f t="shared" ref="AH91:AH99" si="99">AG91-AF91</f>
        <v>-665014</v>
      </c>
      <c r="AI91" s="13">
        <f t="shared" ref="AI91:AI99" si="100">AH91/AF91</f>
        <v>-0.10550730174484778</v>
      </c>
      <c r="AJ91" s="9">
        <f t="shared" si="88"/>
        <v>5638000</v>
      </c>
      <c r="AL91" s="1267">
        <v>2000</v>
      </c>
      <c r="AM91" s="9">
        <v>32967570</v>
      </c>
      <c r="AN91" s="9">
        <v>31874000</v>
      </c>
      <c r="AO91" s="9">
        <f t="shared" ref="AO91:AO99" si="101">AN91-AM91</f>
        <v>-1093570</v>
      </c>
      <c r="AP91" s="13">
        <f t="shared" ref="AP91:AP99" si="102">AO91/AM91</f>
        <v>-3.3171082976391646E-2</v>
      </c>
      <c r="AQ91" s="9">
        <f t="shared" si="90"/>
        <v>31874000</v>
      </c>
      <c r="AS91" s="1267">
        <v>2000</v>
      </c>
      <c r="AT91" s="9">
        <v>5971545</v>
      </c>
      <c r="AU91" s="9">
        <v>6035000</v>
      </c>
      <c r="AV91" s="9">
        <f t="shared" ref="AV91:AV99" si="103">AU91-AT91</f>
        <v>63455</v>
      </c>
      <c r="AW91" s="13">
        <f t="shared" ref="AW91:AW99" si="104">AV91/AT91</f>
        <v>1.0626228220669861E-2</v>
      </c>
      <c r="AX91" s="9">
        <f t="shared" si="92"/>
        <v>6035000</v>
      </c>
    </row>
    <row r="92" spans="1:50" x14ac:dyDescent="0.4">
      <c r="A92" s="56">
        <v>2001</v>
      </c>
      <c r="B92" s="15">
        <f t="shared" si="74"/>
        <v>41481000</v>
      </c>
      <c r="C92" s="15">
        <f t="shared" si="75"/>
        <v>29904000</v>
      </c>
      <c r="D92" s="15">
        <f t="shared" si="76"/>
        <v>15669000</v>
      </c>
      <c r="E92" s="15">
        <f t="shared" si="77"/>
        <v>15030000</v>
      </c>
      <c r="F92" s="15">
        <f t="shared" si="78"/>
        <v>7620000</v>
      </c>
      <c r="G92" s="15">
        <f t="shared" si="79"/>
        <v>4923000</v>
      </c>
      <c r="H92" s="3">
        <f t="shared" si="80"/>
        <v>114627000</v>
      </c>
      <c r="J92" s="1267">
        <v>2001</v>
      </c>
      <c r="K92" s="9">
        <v>38478434</v>
      </c>
      <c r="L92" s="9">
        <v>41481000</v>
      </c>
      <c r="M92" s="9">
        <f t="shared" si="93"/>
        <v>3002566</v>
      </c>
      <c r="N92" s="13">
        <f t="shared" si="94"/>
        <v>7.8032437598681906E-2</v>
      </c>
      <c r="O92" s="9">
        <f t="shared" si="82"/>
        <v>41481000</v>
      </c>
      <c r="Q92" s="1267">
        <v>2001</v>
      </c>
      <c r="R92" s="9">
        <v>19564821</v>
      </c>
      <c r="S92" s="9">
        <v>15669000</v>
      </c>
      <c r="T92" s="9">
        <f t="shared" si="95"/>
        <v>-3895821</v>
      </c>
      <c r="U92" s="13">
        <f t="shared" si="96"/>
        <v>-0.19912377424766625</v>
      </c>
      <c r="V92" s="9">
        <f t="shared" si="84"/>
        <v>15669000</v>
      </c>
      <c r="X92" s="1267">
        <v>2001</v>
      </c>
      <c r="Y92" s="9">
        <v>15074624</v>
      </c>
      <c r="Z92" s="9">
        <v>15030000</v>
      </c>
      <c r="AA92" s="9">
        <f t="shared" si="97"/>
        <v>-44624</v>
      </c>
      <c r="AB92" s="13">
        <f t="shared" si="98"/>
        <v>-2.9602065033263849E-3</v>
      </c>
      <c r="AC92" s="9">
        <f t="shared" si="86"/>
        <v>15030000</v>
      </c>
      <c r="AE92" s="1267">
        <v>2001</v>
      </c>
      <c r="AF92" s="9">
        <v>5480614</v>
      </c>
      <c r="AG92" s="9">
        <v>4923000</v>
      </c>
      <c r="AH92" s="9">
        <f t="shared" si="99"/>
        <v>-557614</v>
      </c>
      <c r="AI92" s="13">
        <f t="shared" si="100"/>
        <v>-0.10174297989239892</v>
      </c>
      <c r="AJ92" s="9">
        <f t="shared" si="88"/>
        <v>4923000</v>
      </c>
      <c r="AL92" s="1267">
        <v>2001</v>
      </c>
      <c r="AM92" s="9">
        <v>30490646</v>
      </c>
      <c r="AN92" s="9">
        <v>29904000</v>
      </c>
      <c r="AO92" s="9">
        <f t="shared" si="101"/>
        <v>-586646</v>
      </c>
      <c r="AP92" s="13">
        <f t="shared" si="102"/>
        <v>-1.9240195829238908E-2</v>
      </c>
      <c r="AQ92" s="9">
        <f t="shared" si="90"/>
        <v>29904000</v>
      </c>
      <c r="AS92" s="1267">
        <v>2001</v>
      </c>
      <c r="AT92" s="9">
        <v>7501892</v>
      </c>
      <c r="AU92" s="9">
        <v>7620000</v>
      </c>
      <c r="AV92" s="9">
        <f t="shared" si="103"/>
        <v>118108</v>
      </c>
      <c r="AW92" s="13">
        <f t="shared" si="104"/>
        <v>1.5743761707046701E-2</v>
      </c>
      <c r="AX92" s="9">
        <f t="shared" si="92"/>
        <v>7620000</v>
      </c>
    </row>
    <row r="93" spans="1:50" x14ac:dyDescent="0.4">
      <c r="A93" s="56">
        <v>2002</v>
      </c>
      <c r="B93" s="15">
        <f t="shared" si="74"/>
        <v>44507000</v>
      </c>
      <c r="C93" s="15">
        <f t="shared" si="75"/>
        <v>27111000</v>
      </c>
      <c r="D93" s="15">
        <f t="shared" si="76"/>
        <v>16065000</v>
      </c>
      <c r="E93" s="15">
        <f t="shared" si="77"/>
        <v>17199000</v>
      </c>
      <c r="F93" s="15">
        <f t="shared" si="78"/>
        <v>10714000</v>
      </c>
      <c r="G93" s="15">
        <f t="shared" si="79"/>
        <v>4943000</v>
      </c>
      <c r="H93" s="3">
        <f t="shared" si="80"/>
        <v>120539000</v>
      </c>
      <c r="J93" s="1267">
        <v>2002</v>
      </c>
      <c r="K93" s="9">
        <v>42027818</v>
      </c>
      <c r="L93" s="9">
        <v>44507000</v>
      </c>
      <c r="M93" s="9">
        <f t="shared" si="93"/>
        <v>2479182</v>
      </c>
      <c r="N93" s="13">
        <f t="shared" si="94"/>
        <v>5.8989072428171266E-2</v>
      </c>
      <c r="O93" s="9">
        <f t="shared" si="82"/>
        <v>44507000</v>
      </c>
      <c r="Q93" s="1267">
        <v>2002</v>
      </c>
      <c r="R93" s="9">
        <v>22535033</v>
      </c>
      <c r="S93" s="9">
        <v>16065000</v>
      </c>
      <c r="T93" s="9">
        <f t="shared" si="95"/>
        <v>-6470033</v>
      </c>
      <c r="U93" s="13">
        <f t="shared" si="96"/>
        <v>-0.2871099855944298</v>
      </c>
      <c r="V93" s="9">
        <f t="shared" si="84"/>
        <v>16065000</v>
      </c>
      <c r="X93" s="1267">
        <v>2002</v>
      </c>
      <c r="Y93" s="9">
        <v>15953078</v>
      </c>
      <c r="Z93" s="9">
        <v>17199000</v>
      </c>
      <c r="AA93" s="9">
        <f t="shared" si="97"/>
        <v>1245922</v>
      </c>
      <c r="AB93" s="13">
        <f t="shared" si="98"/>
        <v>7.809916055071002E-2</v>
      </c>
      <c r="AC93" s="9">
        <f t="shared" si="86"/>
        <v>17199000</v>
      </c>
      <c r="AE93" s="1267">
        <v>2002</v>
      </c>
      <c r="AF93" s="9">
        <v>5456190</v>
      </c>
      <c r="AG93" s="9">
        <v>4943000</v>
      </c>
      <c r="AH93" s="9">
        <f t="shared" si="99"/>
        <v>-513190</v>
      </c>
      <c r="AI93" s="13">
        <f t="shared" si="100"/>
        <v>-9.4056475306028564E-2</v>
      </c>
      <c r="AJ93" s="9">
        <f t="shared" si="88"/>
        <v>4943000</v>
      </c>
      <c r="AL93" s="1267">
        <v>2002</v>
      </c>
      <c r="AM93" s="9">
        <v>31311219</v>
      </c>
      <c r="AN93" s="9">
        <v>27111000</v>
      </c>
      <c r="AO93" s="9">
        <f t="shared" si="101"/>
        <v>-4200219</v>
      </c>
      <c r="AP93" s="13">
        <f t="shared" si="102"/>
        <v>-0.13414421840299479</v>
      </c>
      <c r="AQ93" s="9">
        <f t="shared" si="90"/>
        <v>27111000</v>
      </c>
      <c r="AS93" s="1267">
        <v>2002</v>
      </c>
      <c r="AT93" s="9">
        <v>7056765</v>
      </c>
      <c r="AU93" s="9">
        <v>10714000</v>
      </c>
      <c r="AV93" s="9">
        <f t="shared" si="103"/>
        <v>3657235</v>
      </c>
      <c r="AW93" s="13">
        <f t="shared" si="104"/>
        <v>0.51825942907266997</v>
      </c>
      <c r="AX93" s="9">
        <f t="shared" si="92"/>
        <v>10714000</v>
      </c>
    </row>
    <row r="94" spans="1:50" x14ac:dyDescent="0.4">
      <c r="A94" s="56">
        <v>2003</v>
      </c>
      <c r="B94" s="15">
        <f t="shared" si="74"/>
        <v>49336000</v>
      </c>
      <c r="C94" s="15">
        <f t="shared" si="75"/>
        <v>27825000</v>
      </c>
      <c r="D94" s="15">
        <f t="shared" si="76"/>
        <v>14736000</v>
      </c>
      <c r="E94" s="15">
        <f t="shared" si="77"/>
        <v>21881000</v>
      </c>
      <c r="F94" s="15">
        <f t="shared" si="78"/>
        <v>7720000</v>
      </c>
      <c r="G94" s="15">
        <f t="shared" si="79"/>
        <v>5697000</v>
      </c>
      <c r="H94" s="3">
        <f t="shared" si="80"/>
        <v>127195000</v>
      </c>
      <c r="J94" s="1267">
        <v>2003</v>
      </c>
      <c r="K94" s="9">
        <v>48385024</v>
      </c>
      <c r="L94" s="9">
        <v>49336000</v>
      </c>
      <c r="M94" s="9">
        <f t="shared" si="93"/>
        <v>950976</v>
      </c>
      <c r="N94" s="13">
        <f t="shared" si="94"/>
        <v>1.9654345939768472E-2</v>
      </c>
      <c r="O94" s="9">
        <f t="shared" si="82"/>
        <v>49336000</v>
      </c>
      <c r="Q94" s="1267">
        <v>2003</v>
      </c>
      <c r="R94" s="9">
        <v>18971635</v>
      </c>
      <c r="S94" s="9">
        <v>14736000</v>
      </c>
      <c r="T94" s="9">
        <f t="shared" si="95"/>
        <v>-4235635</v>
      </c>
      <c r="U94" s="13">
        <f t="shared" si="96"/>
        <v>-0.2232614637589222</v>
      </c>
      <c r="V94" s="9">
        <f t="shared" si="84"/>
        <v>14736000</v>
      </c>
      <c r="X94" s="1267">
        <v>2003</v>
      </c>
      <c r="Y94" s="9">
        <v>21597107</v>
      </c>
      <c r="Z94" s="9">
        <v>21881000</v>
      </c>
      <c r="AA94" s="9">
        <f t="shared" si="97"/>
        <v>283893</v>
      </c>
      <c r="AB94" s="13">
        <f t="shared" si="98"/>
        <v>1.314495501642882E-2</v>
      </c>
      <c r="AC94" s="9">
        <f t="shared" si="86"/>
        <v>21881000</v>
      </c>
      <c r="AE94" s="1267">
        <v>2003</v>
      </c>
      <c r="AF94" s="9">
        <v>6027962</v>
      </c>
      <c r="AG94" s="9">
        <v>5697000</v>
      </c>
      <c r="AH94" s="9">
        <f t="shared" si="99"/>
        <v>-330962</v>
      </c>
      <c r="AI94" s="13">
        <f t="shared" si="100"/>
        <v>-5.4904460247095124E-2</v>
      </c>
      <c r="AJ94" s="9">
        <f t="shared" si="88"/>
        <v>5697000</v>
      </c>
      <c r="AL94" s="1267">
        <v>2003</v>
      </c>
      <c r="AM94" s="9">
        <v>29545050</v>
      </c>
      <c r="AN94" s="9">
        <v>27825000</v>
      </c>
      <c r="AO94" s="9">
        <f t="shared" si="101"/>
        <v>-1720050</v>
      </c>
      <c r="AP94" s="13">
        <f t="shared" si="102"/>
        <v>-5.8217874060121744E-2</v>
      </c>
      <c r="AQ94" s="9">
        <f t="shared" si="90"/>
        <v>27825000</v>
      </c>
      <c r="AS94" s="1267">
        <v>2003</v>
      </c>
      <c r="AT94" s="9">
        <v>5621145</v>
      </c>
      <c r="AU94" s="9">
        <v>7720000</v>
      </c>
      <c r="AV94" s="9">
        <f t="shared" si="103"/>
        <v>2098855</v>
      </c>
      <c r="AW94" s="13">
        <f t="shared" si="104"/>
        <v>0.37338567142459411</v>
      </c>
      <c r="AX94" s="9">
        <f t="shared" si="92"/>
        <v>7720000</v>
      </c>
    </row>
    <row r="95" spans="1:50" x14ac:dyDescent="0.4">
      <c r="A95" s="56">
        <v>2004</v>
      </c>
      <c r="B95" s="15">
        <f t="shared" si="74"/>
        <v>48657000</v>
      </c>
      <c r="C95" s="15">
        <f t="shared" si="75"/>
        <v>30096000</v>
      </c>
      <c r="D95" s="15">
        <f t="shared" si="76"/>
        <v>14747000</v>
      </c>
      <c r="E95" s="15">
        <f t="shared" si="77"/>
        <v>23720000</v>
      </c>
      <c r="F95" s="15">
        <f t="shared" si="78"/>
        <v>7068000</v>
      </c>
      <c r="G95" s="15">
        <f t="shared" si="79"/>
        <v>5170000</v>
      </c>
      <c r="H95" s="3">
        <f t="shared" si="80"/>
        <v>129458000</v>
      </c>
      <c r="J95" s="1267">
        <v>2004</v>
      </c>
      <c r="K95" s="9">
        <v>47500483</v>
      </c>
      <c r="L95" s="9">
        <v>48657000</v>
      </c>
      <c r="M95" s="9">
        <f t="shared" si="93"/>
        <v>1156517</v>
      </c>
      <c r="N95" s="13">
        <f t="shared" si="94"/>
        <v>2.434747874037407E-2</v>
      </c>
      <c r="O95" s="9">
        <f t="shared" si="82"/>
        <v>48657000</v>
      </c>
      <c r="Q95" s="1267">
        <v>2004</v>
      </c>
      <c r="R95" s="9">
        <v>19098885</v>
      </c>
      <c r="S95" s="9">
        <v>14747000</v>
      </c>
      <c r="T95" s="9">
        <f t="shared" si="95"/>
        <v>-4351885</v>
      </c>
      <c r="U95" s="13">
        <f t="shared" si="96"/>
        <v>-0.22786068401375265</v>
      </c>
      <c r="V95" s="9">
        <f t="shared" si="84"/>
        <v>14747000</v>
      </c>
      <c r="X95" s="1267">
        <v>2004</v>
      </c>
      <c r="Y95" s="9">
        <v>23875787</v>
      </c>
      <c r="Z95" s="9">
        <v>23720000</v>
      </c>
      <c r="AA95" s="9">
        <f t="shared" si="97"/>
        <v>-155787</v>
      </c>
      <c r="AB95" s="13">
        <f t="shared" si="98"/>
        <v>-6.5248948652456987E-3</v>
      </c>
      <c r="AC95" s="9">
        <f t="shared" si="86"/>
        <v>23720000</v>
      </c>
      <c r="AE95" s="1267">
        <v>2004</v>
      </c>
      <c r="AF95" s="9">
        <v>5470379</v>
      </c>
      <c r="AG95" s="9">
        <v>5170000</v>
      </c>
      <c r="AH95" s="9">
        <f t="shared" si="99"/>
        <v>-300379</v>
      </c>
      <c r="AI95" s="13">
        <f t="shared" si="100"/>
        <v>-5.4910089410624016E-2</v>
      </c>
      <c r="AJ95" s="9">
        <f t="shared" si="88"/>
        <v>5170000</v>
      </c>
      <c r="AL95" s="1267">
        <v>2004</v>
      </c>
      <c r="AM95" s="9">
        <v>32633408</v>
      </c>
      <c r="AN95" s="9">
        <v>30096000</v>
      </c>
      <c r="AO95" s="9">
        <f t="shared" si="101"/>
        <v>-2537408</v>
      </c>
      <c r="AP95" s="13">
        <f t="shared" si="102"/>
        <v>-7.7754919130726408E-2</v>
      </c>
      <c r="AQ95" s="9">
        <f t="shared" si="90"/>
        <v>30096000</v>
      </c>
      <c r="AS95" s="1267">
        <v>2004</v>
      </c>
      <c r="AT95" s="9">
        <v>4939420</v>
      </c>
      <c r="AU95" s="9">
        <v>7068000</v>
      </c>
      <c r="AV95" s="9">
        <f t="shared" si="103"/>
        <v>2128580</v>
      </c>
      <c r="AW95" s="13">
        <f t="shared" si="104"/>
        <v>0.43093723554587382</v>
      </c>
      <c r="AX95" s="9">
        <f t="shared" si="92"/>
        <v>7068000</v>
      </c>
    </row>
    <row r="96" spans="1:50" x14ac:dyDescent="0.4">
      <c r="A96" s="56">
        <v>2005</v>
      </c>
      <c r="B96" s="15">
        <f t="shared" si="74"/>
        <v>48635000</v>
      </c>
      <c r="C96" s="15">
        <f t="shared" si="75"/>
        <v>30453000</v>
      </c>
      <c r="D96" s="15">
        <f t="shared" si="76"/>
        <v>14249000</v>
      </c>
      <c r="E96" s="15">
        <f t="shared" si="77"/>
        <v>24299000</v>
      </c>
      <c r="F96" s="15">
        <f t="shared" si="78"/>
        <v>8788000</v>
      </c>
      <c r="G96" s="15">
        <f t="shared" si="79"/>
        <v>5455000</v>
      </c>
      <c r="H96" s="3">
        <f t="shared" si="80"/>
        <v>131879000</v>
      </c>
      <c r="J96" s="1267">
        <v>2005</v>
      </c>
      <c r="K96" s="9">
        <v>47515443</v>
      </c>
      <c r="L96" s="9">
        <v>48635000</v>
      </c>
      <c r="M96" s="9">
        <f t="shared" si="93"/>
        <v>1119557</v>
      </c>
      <c r="N96" s="13">
        <f t="shared" si="94"/>
        <v>2.3561960687181218E-2</v>
      </c>
      <c r="O96" s="9">
        <f t="shared" si="82"/>
        <v>48635000</v>
      </c>
      <c r="Q96" s="1267">
        <v>2005</v>
      </c>
      <c r="R96" s="9">
        <v>18843978</v>
      </c>
      <c r="S96" s="9">
        <v>14249000</v>
      </c>
      <c r="T96" s="9">
        <f t="shared" si="95"/>
        <v>-4594978</v>
      </c>
      <c r="U96" s="13">
        <f t="shared" si="96"/>
        <v>-0.24384331164046147</v>
      </c>
      <c r="V96" s="9">
        <f t="shared" si="84"/>
        <v>14249000</v>
      </c>
      <c r="X96" s="1267">
        <v>2005</v>
      </c>
      <c r="Y96" s="9">
        <v>24470013</v>
      </c>
      <c r="Z96" s="9">
        <v>24299000</v>
      </c>
      <c r="AA96" s="9">
        <f t="shared" si="97"/>
        <v>-171013</v>
      </c>
      <c r="AB96" s="13">
        <f t="shared" si="98"/>
        <v>-6.9886763035230098E-3</v>
      </c>
      <c r="AC96" s="9">
        <f t="shared" si="86"/>
        <v>24299000</v>
      </c>
      <c r="AE96" s="1267">
        <v>2005</v>
      </c>
      <c r="AF96" s="9">
        <v>5716755</v>
      </c>
      <c r="AG96" s="9">
        <v>5455000</v>
      </c>
      <c r="AH96" s="9">
        <f t="shared" si="99"/>
        <v>-261755</v>
      </c>
      <c r="AI96" s="13">
        <f t="shared" si="100"/>
        <v>-4.5787339146071505E-2</v>
      </c>
      <c r="AJ96" s="9">
        <f t="shared" si="88"/>
        <v>5455000</v>
      </c>
      <c r="AL96" s="1267">
        <v>2005</v>
      </c>
      <c r="AM96" s="9">
        <v>33549747</v>
      </c>
      <c r="AN96" s="9">
        <v>30453000</v>
      </c>
      <c r="AO96" s="9">
        <f t="shared" si="101"/>
        <v>-3096747</v>
      </c>
      <c r="AP96" s="13">
        <f t="shared" si="102"/>
        <v>-9.2303140169730638E-2</v>
      </c>
      <c r="AQ96" s="9">
        <f t="shared" si="90"/>
        <v>30453000</v>
      </c>
      <c r="AS96" s="1267">
        <v>2005</v>
      </c>
      <c r="AT96" s="9">
        <v>6053294</v>
      </c>
      <c r="AU96" s="9">
        <v>8788000</v>
      </c>
      <c r="AV96" s="9">
        <f t="shared" si="103"/>
        <v>2734706</v>
      </c>
      <c r="AW96" s="13">
        <f t="shared" si="104"/>
        <v>0.4517715478547713</v>
      </c>
      <c r="AX96" s="9">
        <f t="shared" si="92"/>
        <v>8788000</v>
      </c>
    </row>
    <row r="97" spans="1:99" x14ac:dyDescent="0.4">
      <c r="A97" s="56">
        <v>2006</v>
      </c>
      <c r="B97" s="15">
        <f t="shared" si="74"/>
        <v>46977000</v>
      </c>
      <c r="C97" s="15">
        <f t="shared" si="75"/>
        <v>30310000</v>
      </c>
      <c r="D97" s="15">
        <f t="shared" si="76"/>
        <v>12024000</v>
      </c>
      <c r="E97" s="15">
        <f t="shared" si="77"/>
        <v>22411000</v>
      </c>
      <c r="F97" s="15">
        <f t="shared" si="78"/>
        <v>9740000</v>
      </c>
      <c r="G97" s="15">
        <f t="shared" si="79"/>
        <v>6588000</v>
      </c>
      <c r="H97" s="3">
        <f t="shared" si="80"/>
        <v>128050000</v>
      </c>
      <c r="J97" s="1267">
        <v>2006</v>
      </c>
      <c r="K97" s="9">
        <v>45597775</v>
      </c>
      <c r="L97" s="9">
        <v>46977000</v>
      </c>
      <c r="M97" s="9">
        <f t="shared" si="93"/>
        <v>1379225</v>
      </c>
      <c r="N97" s="13">
        <f t="shared" si="94"/>
        <v>3.0247638179713814E-2</v>
      </c>
      <c r="O97" s="9">
        <f t="shared" si="82"/>
        <v>46977000</v>
      </c>
      <c r="Q97" s="1267">
        <v>2006</v>
      </c>
      <c r="R97" s="9">
        <v>16816173</v>
      </c>
      <c r="S97" s="9">
        <v>12024000</v>
      </c>
      <c r="T97" s="9">
        <f t="shared" si="95"/>
        <v>-4792173</v>
      </c>
      <c r="U97" s="13">
        <f t="shared" si="96"/>
        <v>-0.28497405444151891</v>
      </c>
      <c r="V97" s="9">
        <f t="shared" si="84"/>
        <v>12024000</v>
      </c>
      <c r="X97" s="1267">
        <v>2006</v>
      </c>
      <c r="Y97" s="9">
        <v>22063695</v>
      </c>
      <c r="Z97" s="9">
        <v>22411000</v>
      </c>
      <c r="AA97" s="9">
        <f t="shared" si="97"/>
        <v>347305</v>
      </c>
      <c r="AB97" s="13">
        <f t="shared" si="98"/>
        <v>1.5741017087119814E-2</v>
      </c>
      <c r="AC97" s="9">
        <f t="shared" si="86"/>
        <v>22411000</v>
      </c>
      <c r="AE97" s="1267">
        <v>2006</v>
      </c>
      <c r="AF97" s="9">
        <v>7084344</v>
      </c>
      <c r="AG97" s="9">
        <v>6588000</v>
      </c>
      <c r="AH97" s="9">
        <f t="shared" si="99"/>
        <v>-496344</v>
      </c>
      <c r="AI97" s="13">
        <f t="shared" si="100"/>
        <v>-7.0062097492724809E-2</v>
      </c>
      <c r="AJ97" s="9">
        <f t="shared" si="88"/>
        <v>6588000</v>
      </c>
      <c r="AL97" s="1267">
        <v>2006</v>
      </c>
      <c r="AM97" s="9">
        <v>34681736</v>
      </c>
      <c r="AN97" s="9">
        <v>30310000</v>
      </c>
      <c r="AO97" s="9">
        <f t="shared" si="101"/>
        <v>-4371736</v>
      </c>
      <c r="AP97" s="13">
        <f t="shared" si="102"/>
        <v>-0.12605297497218709</v>
      </c>
      <c r="AQ97" s="9">
        <f t="shared" si="90"/>
        <v>30310000</v>
      </c>
      <c r="AS97" s="1267">
        <v>2006</v>
      </c>
      <c r="AT97" s="9">
        <v>5967725</v>
      </c>
      <c r="AU97" s="9">
        <v>9740000</v>
      </c>
      <c r="AV97" s="9">
        <f t="shared" si="103"/>
        <v>3772275</v>
      </c>
      <c r="AW97" s="13">
        <f t="shared" si="104"/>
        <v>0.63211273977939664</v>
      </c>
      <c r="AX97" s="9">
        <f t="shared" si="92"/>
        <v>9740000</v>
      </c>
    </row>
    <row r="98" spans="1:99" x14ac:dyDescent="0.4">
      <c r="A98" s="56">
        <v>2007</v>
      </c>
      <c r="B98" s="15">
        <f t="shared" si="74"/>
        <v>49557000</v>
      </c>
      <c r="C98" s="15">
        <f t="shared" si="75"/>
        <v>29475000</v>
      </c>
      <c r="D98" s="15">
        <f t="shared" si="76"/>
        <v>11551000</v>
      </c>
      <c r="E98" s="15">
        <f t="shared" si="77"/>
        <v>23601000</v>
      </c>
      <c r="F98" s="15">
        <f t="shared" si="78"/>
        <v>10504000</v>
      </c>
      <c r="G98" s="15">
        <f t="shared" si="79"/>
        <v>6035000</v>
      </c>
      <c r="H98" s="3">
        <f t="shared" si="80"/>
        <v>130723000</v>
      </c>
      <c r="J98" s="1267">
        <v>2007</v>
      </c>
      <c r="K98" s="9">
        <v>47075975</v>
      </c>
      <c r="L98" s="9">
        <v>49557000</v>
      </c>
      <c r="M98" s="9">
        <f t="shared" si="93"/>
        <v>2481025</v>
      </c>
      <c r="N98" s="13">
        <f t="shared" si="94"/>
        <v>5.2702572809166459E-2</v>
      </c>
      <c r="O98" s="9">
        <f t="shared" si="82"/>
        <v>49557000</v>
      </c>
      <c r="Q98" s="1267">
        <v>2007</v>
      </c>
      <c r="R98" s="9">
        <v>16128567</v>
      </c>
      <c r="S98" s="9">
        <v>11551000</v>
      </c>
      <c r="T98" s="9">
        <f t="shared" si="95"/>
        <v>-4577567</v>
      </c>
      <c r="U98" s="13">
        <f t="shared" si="96"/>
        <v>-0.28381734099501832</v>
      </c>
      <c r="V98" s="9">
        <f t="shared" si="84"/>
        <v>11551000</v>
      </c>
      <c r="X98" s="1267">
        <v>2007</v>
      </c>
      <c r="Y98" s="9">
        <v>23277171</v>
      </c>
      <c r="Z98" s="9">
        <v>23601000</v>
      </c>
      <c r="AA98" s="9">
        <f t="shared" si="97"/>
        <v>323829</v>
      </c>
      <c r="AB98" s="13">
        <f t="shared" si="98"/>
        <v>1.3911870991539307E-2</v>
      </c>
      <c r="AC98" s="9">
        <f t="shared" si="86"/>
        <v>23601000</v>
      </c>
      <c r="AE98" s="1267">
        <v>2007</v>
      </c>
      <c r="AF98" s="9">
        <v>5823582</v>
      </c>
      <c r="AG98" s="9">
        <v>6035000</v>
      </c>
      <c r="AH98" s="9">
        <f t="shared" si="99"/>
        <v>211418</v>
      </c>
      <c r="AI98" s="13">
        <f t="shared" si="100"/>
        <v>3.6303773176028085E-2</v>
      </c>
      <c r="AJ98" s="9">
        <f t="shared" si="88"/>
        <v>6035000</v>
      </c>
      <c r="AL98" s="1267">
        <v>2007</v>
      </c>
      <c r="AM98" s="9">
        <v>33171209</v>
      </c>
      <c r="AN98" s="9">
        <v>29475000</v>
      </c>
      <c r="AO98" s="9">
        <f t="shared" si="101"/>
        <v>-3696209</v>
      </c>
      <c r="AP98" s="13">
        <f t="shared" si="102"/>
        <v>-0.11142822680958056</v>
      </c>
      <c r="AQ98" s="9">
        <f t="shared" si="90"/>
        <v>29475000</v>
      </c>
      <c r="AS98" s="1267">
        <v>2007</v>
      </c>
      <c r="AT98" s="9">
        <v>7049844</v>
      </c>
      <c r="AU98" s="9">
        <v>10504000</v>
      </c>
      <c r="AV98" s="9">
        <f t="shared" si="103"/>
        <v>3454156</v>
      </c>
      <c r="AW98" s="13">
        <f t="shared" si="104"/>
        <v>0.48996204738714788</v>
      </c>
      <c r="AX98" s="9">
        <f t="shared" si="92"/>
        <v>10504000</v>
      </c>
    </row>
    <row r="99" spans="1:99" x14ac:dyDescent="0.4">
      <c r="A99" s="56">
        <v>2008</v>
      </c>
      <c r="B99" s="15">
        <f t="shared" si="74"/>
        <v>44956000</v>
      </c>
      <c r="C99" s="15">
        <f t="shared" si="75"/>
        <v>27617000</v>
      </c>
      <c r="D99" s="15">
        <f t="shared" si="76"/>
        <v>12556000</v>
      </c>
      <c r="E99" s="15">
        <f t="shared" si="77"/>
        <v>23426000</v>
      </c>
      <c r="F99" s="15">
        <f t="shared" si="78"/>
        <v>9870000</v>
      </c>
      <c r="G99" s="15">
        <f t="shared" si="79"/>
        <v>6322000</v>
      </c>
      <c r="H99" s="3">
        <f t="shared" si="80"/>
        <v>124747000</v>
      </c>
      <c r="J99" s="1267">
        <v>2008</v>
      </c>
      <c r="K99" s="9">
        <v>42505478</v>
      </c>
      <c r="L99" s="9">
        <v>44956000</v>
      </c>
      <c r="M99" s="9">
        <f t="shared" si="93"/>
        <v>2450522</v>
      </c>
      <c r="N99" s="13">
        <f t="shared" si="94"/>
        <v>5.7651910184376702E-2</v>
      </c>
      <c r="O99" s="9">
        <f t="shared" si="82"/>
        <v>44956000</v>
      </c>
      <c r="Q99" s="56">
        <v>2008</v>
      </c>
      <c r="R99" s="9">
        <v>17094919</v>
      </c>
      <c r="S99" s="9">
        <v>12556000</v>
      </c>
      <c r="T99" s="9">
        <f t="shared" si="95"/>
        <v>-4538919</v>
      </c>
      <c r="U99" s="13">
        <f t="shared" si="96"/>
        <v>-0.26551275264890112</v>
      </c>
      <c r="V99" s="9">
        <f t="shared" si="84"/>
        <v>12556000</v>
      </c>
      <c r="X99" s="1267">
        <v>2008</v>
      </c>
      <c r="Y99" s="9">
        <v>22876992</v>
      </c>
      <c r="Z99" s="9">
        <v>23426000</v>
      </c>
      <c r="AA99" s="9">
        <f t="shared" si="97"/>
        <v>549008</v>
      </c>
      <c r="AB99" s="13">
        <f t="shared" si="98"/>
        <v>2.3998259911093205E-2</v>
      </c>
      <c r="AC99" s="9">
        <f t="shared" si="86"/>
        <v>23426000</v>
      </c>
      <c r="AE99" s="1267">
        <v>2008</v>
      </c>
      <c r="AF99" s="9">
        <v>6820216</v>
      </c>
      <c r="AG99" s="9">
        <v>6322000</v>
      </c>
      <c r="AH99" s="9">
        <f t="shared" si="99"/>
        <v>-498216</v>
      </c>
      <c r="AI99" s="13">
        <f t="shared" si="100"/>
        <v>-7.3049885810068188E-2</v>
      </c>
      <c r="AJ99" s="9">
        <f t="shared" si="88"/>
        <v>6322000</v>
      </c>
      <c r="AL99" s="1267">
        <v>2008</v>
      </c>
      <c r="AM99" s="9">
        <v>30409473</v>
      </c>
      <c r="AN99" s="9">
        <v>27617000</v>
      </c>
      <c r="AO99" s="9">
        <f t="shared" si="101"/>
        <v>-2792473</v>
      </c>
      <c r="AP99" s="13">
        <f t="shared" si="102"/>
        <v>-9.1829049454424938E-2</v>
      </c>
      <c r="AQ99" s="9">
        <f t="shared" si="90"/>
        <v>27617000</v>
      </c>
      <c r="AS99" s="1267">
        <v>2008</v>
      </c>
      <c r="AT99" s="9">
        <v>7387266</v>
      </c>
      <c r="AU99" s="9">
        <v>9870000</v>
      </c>
      <c r="AV99" s="9">
        <f t="shared" si="103"/>
        <v>2482734</v>
      </c>
      <c r="AW99" s="13">
        <f t="shared" si="104"/>
        <v>0.33608292973340881</v>
      </c>
      <c r="AX99" s="9">
        <f t="shared" si="92"/>
        <v>9870000</v>
      </c>
    </row>
    <row r="100" spans="1:99" x14ac:dyDescent="0.4">
      <c r="A100" s="3" t="s">
        <v>1063</v>
      </c>
      <c r="B100" s="15"/>
      <c r="C100" s="15"/>
      <c r="D100" s="15"/>
      <c r="E100" s="15"/>
      <c r="F100" s="15"/>
      <c r="G100" s="15"/>
      <c r="J100" s="3" t="s">
        <v>1063</v>
      </c>
      <c r="K100" s="9"/>
      <c r="L100" s="9"/>
      <c r="M100" s="9"/>
      <c r="N100" s="10"/>
      <c r="O100" s="9"/>
      <c r="Q100" s="3" t="s">
        <v>1063</v>
      </c>
      <c r="R100" s="9"/>
      <c r="S100" s="9"/>
      <c r="T100" s="9"/>
      <c r="U100" s="10"/>
      <c r="V100" s="9"/>
      <c r="X100" s="3" t="s">
        <v>1063</v>
      </c>
      <c r="Y100" s="9"/>
      <c r="Z100" s="9"/>
      <c r="AA100" s="9"/>
      <c r="AB100" s="10"/>
      <c r="AC100" s="9"/>
      <c r="AE100" s="3" t="s">
        <v>1063</v>
      </c>
      <c r="AF100" s="9"/>
      <c r="AG100" s="9"/>
      <c r="AH100" s="9"/>
      <c r="AI100" s="10"/>
      <c r="AJ100" s="9"/>
      <c r="AL100" s="3" t="s">
        <v>1063</v>
      </c>
      <c r="AM100" s="9"/>
      <c r="AN100" s="9"/>
      <c r="AO100" s="9"/>
      <c r="AP100" s="10"/>
      <c r="AQ100" s="9"/>
      <c r="AS100" s="3" t="s">
        <v>1063</v>
      </c>
      <c r="AT100" s="9"/>
      <c r="AU100" s="9"/>
      <c r="AV100" s="9"/>
      <c r="AW100" s="10"/>
      <c r="AX100" s="9"/>
    </row>
    <row r="101" spans="1:99" x14ac:dyDescent="0.4">
      <c r="B101" s="15"/>
      <c r="C101" s="15"/>
      <c r="D101" s="15"/>
      <c r="E101" s="15"/>
      <c r="F101" s="15"/>
      <c r="G101" s="15"/>
      <c r="K101" s="9"/>
      <c r="L101" s="9"/>
      <c r="M101" s="9"/>
      <c r="N101" s="10"/>
      <c r="O101" s="9"/>
      <c r="R101" s="9"/>
      <c r="S101" s="9"/>
      <c r="T101" s="9"/>
      <c r="U101" s="10"/>
      <c r="V101" s="9"/>
      <c r="Y101" s="9"/>
      <c r="Z101" s="9"/>
      <c r="AA101" s="9"/>
      <c r="AB101" s="10"/>
      <c r="AC101" s="9"/>
      <c r="AF101" s="9"/>
      <c r="AG101" s="9"/>
      <c r="AH101" s="9"/>
      <c r="AI101" s="10"/>
      <c r="AJ101" s="9"/>
      <c r="AM101" s="9"/>
      <c r="AN101" s="9"/>
      <c r="AO101" s="9"/>
      <c r="AP101" s="10"/>
      <c r="AQ101" s="9"/>
      <c r="AT101" s="9"/>
      <c r="AU101" s="9"/>
      <c r="AV101" s="9"/>
      <c r="AW101" s="10"/>
      <c r="AX101" s="9"/>
    </row>
    <row r="102" spans="1:99" x14ac:dyDescent="0.4">
      <c r="A102" s="3" t="s">
        <v>457</v>
      </c>
      <c r="B102" s="15"/>
      <c r="C102" s="15"/>
      <c r="D102" s="15"/>
      <c r="E102" s="15"/>
      <c r="F102" s="15"/>
      <c r="G102" s="15"/>
      <c r="K102" s="9"/>
      <c r="L102" s="9"/>
      <c r="M102" s="9"/>
      <c r="N102" s="10"/>
      <c r="O102" s="9"/>
      <c r="R102" s="9"/>
      <c r="S102" s="9"/>
      <c r="T102" s="9"/>
      <c r="U102" s="10"/>
      <c r="V102" s="9"/>
      <c r="Y102" s="9"/>
      <c r="Z102" s="9"/>
      <c r="AA102" s="9"/>
      <c r="AB102" s="10"/>
      <c r="AC102" s="9"/>
      <c r="AF102" s="9"/>
      <c r="AG102" s="9"/>
      <c r="AH102" s="9"/>
      <c r="AI102" s="10"/>
      <c r="AJ102" s="9"/>
      <c r="AM102" s="9"/>
      <c r="AN102" s="9"/>
      <c r="AO102" s="9"/>
      <c r="AP102" s="10"/>
      <c r="AQ102" s="9"/>
      <c r="AT102" s="9"/>
      <c r="AU102" s="9"/>
      <c r="AV102" s="9"/>
      <c r="AW102" s="10"/>
      <c r="AX102" s="9"/>
    </row>
    <row r="103" spans="1:99" x14ac:dyDescent="0.4">
      <c r="A103" s="3" t="s">
        <v>894</v>
      </c>
    </row>
    <row r="104" spans="1:99" x14ac:dyDescent="0.4">
      <c r="A104" s="3" t="s">
        <v>860</v>
      </c>
      <c r="J104" s="4"/>
    </row>
    <row r="105" spans="1:99" x14ac:dyDescent="0.4">
      <c r="A105" s="1265" t="s">
        <v>861</v>
      </c>
    </row>
    <row r="106" spans="1:99" x14ac:dyDescent="0.4">
      <c r="A106" s="1265" t="s">
        <v>859</v>
      </c>
    </row>
    <row r="107" spans="1:99" x14ac:dyDescent="0.4">
      <c r="B107" s="942"/>
      <c r="C107" s="942"/>
      <c r="D107" s="942"/>
      <c r="E107" s="942"/>
      <c r="F107" s="942"/>
      <c r="G107" s="942"/>
    </row>
    <row r="108" spans="1:99" x14ac:dyDescent="0.4">
      <c r="A108" s="11" t="s">
        <v>1425</v>
      </c>
    </row>
    <row r="109" spans="1:99" s="6" customFormat="1" ht="32" x14ac:dyDescent="0.4">
      <c r="A109" s="878" t="s">
        <v>250</v>
      </c>
      <c r="B109" s="877" t="s">
        <v>612</v>
      </c>
      <c r="C109" s="877" t="s">
        <v>613</v>
      </c>
      <c r="D109" s="877" t="s">
        <v>614</v>
      </c>
      <c r="E109" s="877" t="s">
        <v>287</v>
      </c>
      <c r="CT109" s="834"/>
      <c r="CU109" s="876"/>
    </row>
    <row r="110" spans="1:99" ht="15.75" customHeight="1" x14ac:dyDescent="0.4">
      <c r="A110" s="803">
        <v>2000</v>
      </c>
      <c r="B110" s="870">
        <v>666581.63500000001</v>
      </c>
      <c r="C110" s="870">
        <v>10355000</v>
      </c>
      <c r="D110" s="871">
        <f t="shared" ref="D110:D118" si="105">B110+C110</f>
        <v>11021581.635</v>
      </c>
      <c r="E110" s="872">
        <f t="shared" ref="E110:E118" si="106">(C110/D110)</f>
        <v>0.9395203286538103</v>
      </c>
    </row>
    <row r="111" spans="1:99" x14ac:dyDescent="0.4">
      <c r="A111" s="803">
        <v>2001</v>
      </c>
      <c r="B111" s="870">
        <v>658577.15954505093</v>
      </c>
      <c r="C111" s="870">
        <v>15669000</v>
      </c>
      <c r="D111" s="871">
        <f t="shared" si="105"/>
        <v>16327577.159545051</v>
      </c>
      <c r="E111" s="872">
        <f t="shared" si="106"/>
        <v>0.95966473450961165</v>
      </c>
      <c r="AM111" s="108"/>
      <c r="AN111" s="108"/>
      <c r="AO111" s="108"/>
      <c r="AP111" s="108"/>
      <c r="AY111" s="9"/>
      <c r="CT111" s="834"/>
      <c r="CU111" s="299"/>
    </row>
    <row r="112" spans="1:99" x14ac:dyDescent="0.4">
      <c r="A112" s="803">
        <v>2002</v>
      </c>
      <c r="B112" s="870">
        <v>542465.15499999991</v>
      </c>
      <c r="C112" s="870">
        <v>16065000</v>
      </c>
      <c r="D112" s="871">
        <f t="shared" si="105"/>
        <v>16607465.154999999</v>
      </c>
      <c r="E112" s="872">
        <f t="shared" si="106"/>
        <v>0.96733606544183059</v>
      </c>
      <c r="W112" s="108"/>
      <c r="X112" s="108"/>
      <c r="Y112" s="108"/>
      <c r="Z112" s="108"/>
      <c r="AQ112" s="9"/>
      <c r="AR112" s="9"/>
      <c r="AS112" s="9"/>
      <c r="AT112" s="9"/>
      <c r="AU112" s="9"/>
      <c r="AV112" s="9"/>
      <c r="AW112" s="9"/>
      <c r="AX112" s="9"/>
      <c r="AY112" s="162"/>
    </row>
    <row r="113" spans="1:111" x14ac:dyDescent="0.4">
      <c r="A113" s="803">
        <v>2003</v>
      </c>
      <c r="B113" s="870">
        <v>509342.99719999998</v>
      </c>
      <c r="C113" s="870">
        <v>14736000</v>
      </c>
      <c r="D113" s="871">
        <f t="shared" si="105"/>
        <v>15245342.997199999</v>
      </c>
      <c r="E113" s="872">
        <f t="shared" si="106"/>
        <v>0.96659025662502007</v>
      </c>
      <c r="AQ113" s="9"/>
      <c r="AR113" s="9"/>
      <c r="AS113" s="9"/>
      <c r="AT113" s="9"/>
      <c r="AU113" s="9"/>
      <c r="AV113" s="9"/>
      <c r="AW113" s="9"/>
      <c r="AX113" s="9"/>
      <c r="AY113" s="162"/>
    </row>
    <row r="114" spans="1:111" x14ac:dyDescent="0.4">
      <c r="A114" s="803">
        <v>2004</v>
      </c>
      <c r="B114" s="870">
        <v>526509.60699999996</v>
      </c>
      <c r="C114" s="870">
        <v>14747000</v>
      </c>
      <c r="D114" s="871">
        <f t="shared" si="105"/>
        <v>15273509.607000001</v>
      </c>
      <c r="E114" s="872">
        <f t="shared" si="106"/>
        <v>0.96552792249145569</v>
      </c>
      <c r="AQ114" s="9"/>
      <c r="AR114" s="9"/>
      <c r="AS114" s="9"/>
      <c r="AT114" s="9"/>
      <c r="AU114" s="9"/>
      <c r="AV114" s="9"/>
      <c r="AW114" s="9"/>
      <c r="AX114" s="9"/>
      <c r="AY114" s="162"/>
    </row>
    <row r="115" spans="1:111" x14ac:dyDescent="0.4">
      <c r="A115" s="803">
        <v>2005</v>
      </c>
      <c r="B115" s="870">
        <v>716583.05599999998</v>
      </c>
      <c r="C115" s="870">
        <v>14249000</v>
      </c>
      <c r="D115" s="871">
        <f t="shared" si="105"/>
        <v>14965583.056</v>
      </c>
      <c r="E115" s="872">
        <f t="shared" si="106"/>
        <v>0.9521179326379331</v>
      </c>
      <c r="AQ115" s="9"/>
      <c r="AR115" s="9"/>
      <c r="AS115" s="9"/>
      <c r="AT115" s="9"/>
      <c r="AU115" s="9"/>
      <c r="AV115" s="9"/>
      <c r="AW115" s="9"/>
      <c r="AX115" s="9"/>
      <c r="AY115" s="162"/>
    </row>
    <row r="116" spans="1:111" x14ac:dyDescent="0.4">
      <c r="A116" s="803">
        <v>2006</v>
      </c>
      <c r="B116" s="870">
        <v>769958.73</v>
      </c>
      <c r="C116" s="870">
        <v>12024000</v>
      </c>
      <c r="D116" s="871">
        <f t="shared" si="105"/>
        <v>12793958.73</v>
      </c>
      <c r="E116" s="872">
        <f t="shared" si="106"/>
        <v>0.93981857013540637</v>
      </c>
    </row>
    <row r="117" spans="1:111" x14ac:dyDescent="0.4">
      <c r="A117" s="803">
        <v>2007</v>
      </c>
      <c r="B117" s="870">
        <v>748969.39799999981</v>
      </c>
      <c r="C117" s="870">
        <v>11551000</v>
      </c>
      <c r="D117" s="871">
        <f t="shared" si="105"/>
        <v>12299969.398</v>
      </c>
      <c r="E117" s="872">
        <f t="shared" si="106"/>
        <v>0.93910802752714295</v>
      </c>
    </row>
    <row r="118" spans="1:111" x14ac:dyDescent="0.4">
      <c r="A118" s="803">
        <v>2008</v>
      </c>
      <c r="B118" s="870">
        <v>840898.78099999996</v>
      </c>
      <c r="C118" s="870">
        <v>12556000</v>
      </c>
      <c r="D118" s="871">
        <f t="shared" si="105"/>
        <v>13396898.780999999</v>
      </c>
      <c r="E118" s="872">
        <f t="shared" si="106"/>
        <v>0.9372318329229602</v>
      </c>
    </row>
    <row r="119" spans="1:111" x14ac:dyDescent="0.4">
      <c r="A119" s="889" t="s">
        <v>616</v>
      </c>
      <c r="B119" s="526" t="s">
        <v>32</v>
      </c>
      <c r="C119" s="526" t="s">
        <v>32</v>
      </c>
      <c r="D119" s="526" t="s">
        <v>32</v>
      </c>
      <c r="E119" s="890">
        <f>AVERAGE(E110:E118)</f>
        <v>0.95187951899390788</v>
      </c>
    </row>
    <row r="120" spans="1:111" x14ac:dyDescent="0.4">
      <c r="A120" s="3" t="s">
        <v>1063</v>
      </c>
    </row>
    <row r="122" spans="1:111" x14ac:dyDescent="0.4">
      <c r="A122" s="3" t="s">
        <v>457</v>
      </c>
    </row>
    <row r="123" spans="1:111" x14ac:dyDescent="0.4">
      <c r="A123" s="832" t="s">
        <v>619</v>
      </c>
    </row>
    <row r="124" spans="1:111" x14ac:dyDescent="0.4">
      <c r="A124" s="832" t="s">
        <v>618</v>
      </c>
    </row>
    <row r="125" spans="1:111" ht="14.5" customHeight="1" x14ac:dyDescent="0.45">
      <c r="A125" s="1403" t="s">
        <v>1341</v>
      </c>
      <c r="C125" s="400"/>
      <c r="O125" s="9"/>
      <c r="AN125" s="862"/>
      <c r="AO125" s="862"/>
      <c r="AP125" s="861"/>
      <c r="AQ125" s="861"/>
      <c r="AR125" s="400"/>
      <c r="AS125" s="863"/>
      <c r="AT125" s="862"/>
      <c r="AU125" s="862"/>
      <c r="AV125" s="862"/>
      <c r="AW125" s="862"/>
      <c r="AX125" s="862"/>
      <c r="AY125" s="864"/>
      <c r="AZ125" s="861"/>
      <c r="BA125" s="861"/>
      <c r="BB125" s="400"/>
      <c r="BC125" s="863"/>
      <c r="BD125" s="862"/>
      <c r="BE125" s="862"/>
      <c r="BF125" s="862"/>
      <c r="BG125" s="862"/>
      <c r="BH125" s="862"/>
      <c r="BI125" s="861"/>
      <c r="BJ125" s="861"/>
      <c r="BK125" s="861"/>
      <c r="BL125" s="400"/>
      <c r="BM125" s="863"/>
      <c r="BN125" s="862"/>
      <c r="BO125" s="862"/>
      <c r="BP125" s="862"/>
      <c r="BQ125" s="862"/>
      <c r="BR125" s="862"/>
      <c r="BS125" s="862"/>
      <c r="BT125" s="862"/>
      <c r="CR125" s="865"/>
      <c r="CS125" s="866"/>
      <c r="CT125" s="867"/>
      <c r="CU125" s="860"/>
      <c r="CV125" s="400"/>
      <c r="CW125" s="400"/>
      <c r="CX125" s="863"/>
      <c r="CY125" s="862"/>
      <c r="DA125" s="862"/>
      <c r="DC125" s="864"/>
      <c r="DD125" s="861"/>
      <c r="DE125" s="861"/>
      <c r="DF125" s="868"/>
      <c r="DG125" s="828"/>
    </row>
    <row r="126" spans="1:111" ht="15" customHeight="1" x14ac:dyDescent="0.4">
      <c r="B126" s="11"/>
      <c r="C126" s="400"/>
      <c r="O126" s="9"/>
      <c r="AM126" s="862"/>
      <c r="AN126" s="862"/>
      <c r="AO126" s="861"/>
      <c r="AP126" s="861"/>
      <c r="AQ126" s="400"/>
      <c r="AR126" s="863"/>
      <c r="AS126" s="862"/>
      <c r="AT126" s="862"/>
      <c r="AU126" s="862"/>
      <c r="AV126" s="862"/>
      <c r="AW126" s="862"/>
      <c r="AX126" s="864"/>
      <c r="AY126" s="861"/>
      <c r="AZ126" s="861"/>
      <c r="BA126" s="400"/>
      <c r="BB126" s="863"/>
      <c r="BC126" s="862"/>
      <c r="BD126" s="862"/>
      <c r="BE126" s="862"/>
      <c r="BF126" s="862"/>
      <c r="BG126" s="862"/>
      <c r="BH126" s="861"/>
      <c r="BI126" s="861"/>
      <c r="BJ126" s="861"/>
      <c r="BK126" s="400"/>
      <c r="BL126" s="863"/>
      <c r="BM126" s="862"/>
      <c r="BN126" s="862"/>
      <c r="BO126" s="862"/>
      <c r="BP126" s="862"/>
      <c r="BQ126" s="862"/>
      <c r="BR126" s="862"/>
      <c r="BS126" s="862"/>
      <c r="DB126" s="864"/>
      <c r="DC126" s="861"/>
      <c r="DD126" s="861"/>
      <c r="DE126" s="868"/>
      <c r="DF126" s="868"/>
      <c r="DG126" s="828"/>
    </row>
    <row r="127" spans="1:111" ht="15" customHeight="1" x14ac:dyDescent="0.4">
      <c r="A127" s="886" t="s">
        <v>628</v>
      </c>
      <c r="B127" s="887"/>
      <c r="C127" s="400"/>
      <c r="O127" s="9"/>
      <c r="AM127" s="862"/>
      <c r="AN127" s="862"/>
      <c r="AO127" s="861"/>
      <c r="AP127" s="861"/>
      <c r="AQ127" s="400"/>
      <c r="AR127" s="863"/>
      <c r="AS127" s="862"/>
      <c r="AT127" s="862"/>
      <c r="AU127" s="862"/>
      <c r="AV127" s="862"/>
      <c r="AW127" s="862"/>
      <c r="AX127" s="864"/>
      <c r="AY127" s="861"/>
      <c r="AZ127" s="861"/>
      <c r="BA127" s="400"/>
      <c r="BB127" s="863"/>
      <c r="BC127" s="862"/>
      <c r="BD127" s="862"/>
      <c r="BE127" s="862"/>
      <c r="BF127" s="862"/>
      <c r="BG127" s="862"/>
      <c r="BH127" s="861"/>
      <c r="BI127" s="861"/>
      <c r="BJ127" s="861"/>
      <c r="BK127" s="400"/>
      <c r="BL127" s="863"/>
      <c r="BM127" s="862"/>
      <c r="BN127" s="862"/>
      <c r="BO127" s="862"/>
      <c r="BP127" s="862"/>
      <c r="BQ127" s="862"/>
      <c r="BR127" s="862"/>
      <c r="BS127" s="862"/>
      <c r="DB127" s="864"/>
      <c r="DC127" s="861"/>
      <c r="DD127" s="861"/>
      <c r="DE127" s="868"/>
      <c r="DF127" s="868"/>
      <c r="DG127" s="828"/>
    </row>
    <row r="128" spans="1:111" s="28" customFormat="1" ht="15" customHeight="1" x14ac:dyDescent="0.45">
      <c r="A128" s="973" t="s">
        <v>250</v>
      </c>
      <c r="B128" s="1485" t="s">
        <v>1614</v>
      </c>
      <c r="O128" s="188"/>
      <c r="AM128" s="862"/>
      <c r="AN128" s="35"/>
      <c r="AO128" s="33"/>
      <c r="AP128" s="33"/>
      <c r="AR128" s="974"/>
      <c r="AS128" s="862"/>
      <c r="AT128" s="862"/>
      <c r="AU128" s="862"/>
      <c r="AV128" s="862"/>
      <c r="AW128" s="862"/>
      <c r="AX128" s="35"/>
      <c r="AY128" s="33"/>
      <c r="AZ128" s="33"/>
      <c r="BB128" s="974"/>
      <c r="BC128" s="862"/>
      <c r="BD128" s="862"/>
      <c r="BE128" s="862"/>
      <c r="BF128" s="862"/>
      <c r="BG128" s="862"/>
      <c r="BH128" s="35"/>
      <c r="BI128" s="33"/>
      <c r="BJ128" s="33"/>
      <c r="BL128" s="974"/>
      <c r="BM128" s="862"/>
      <c r="BN128" s="862"/>
      <c r="BO128" s="862"/>
      <c r="BP128" s="862"/>
      <c r="BQ128" s="862"/>
      <c r="BR128" s="862"/>
      <c r="BS128" s="862"/>
      <c r="DB128" s="35"/>
      <c r="DC128" s="33"/>
      <c r="DD128" s="33"/>
      <c r="DE128" s="658"/>
      <c r="DF128" s="658"/>
    </row>
    <row r="129" spans="1:86" x14ac:dyDescent="0.4">
      <c r="A129" s="879">
        <v>2000</v>
      </c>
      <c r="B129" s="869">
        <f>'Electricity Imports'!R42/'Electricity Imports'!L42</f>
        <v>1.6642101323919988E-7</v>
      </c>
      <c r="O129" s="9"/>
      <c r="AP129" s="11"/>
      <c r="AV129" s="9"/>
      <c r="BF129" s="9"/>
      <c r="BR129" s="9"/>
      <c r="CH129" s="400"/>
    </row>
    <row r="130" spans="1:86" x14ac:dyDescent="0.4">
      <c r="A130" s="879">
        <v>2001</v>
      </c>
      <c r="B130" s="869">
        <f>'Electricity Imports'!R43/'Electricity Imports'!L43</f>
        <v>2.2270579626385133E-7</v>
      </c>
      <c r="O130" s="9"/>
      <c r="AP130" s="11"/>
      <c r="AV130" s="9"/>
      <c r="BF130" s="9"/>
      <c r="BR130" s="9"/>
      <c r="CH130" s="400"/>
    </row>
    <row r="131" spans="1:86" x14ac:dyDescent="0.4">
      <c r="A131" s="879">
        <v>2002</v>
      </c>
      <c r="B131" s="869">
        <f>'Electricity Imports'!R44/'Electricity Imports'!L44</f>
        <v>1.5091645470553708E-7</v>
      </c>
      <c r="O131" s="9"/>
      <c r="AP131" s="11"/>
      <c r="AV131" s="9"/>
      <c r="BF131" s="9"/>
      <c r="BR131" s="9"/>
      <c r="CH131" s="400"/>
    </row>
    <row r="132" spans="1:86" x14ac:dyDescent="0.4">
      <c r="A132" s="879">
        <v>2003</v>
      </c>
      <c r="B132" s="869">
        <f>'Electricity Imports'!R45/'Electricity Imports'!L45</f>
        <v>1.3869047619047623E-7</v>
      </c>
      <c r="O132" s="9"/>
      <c r="AP132" s="11"/>
      <c r="AV132" s="9"/>
      <c r="BF132" s="9"/>
      <c r="BR132" s="9"/>
      <c r="CH132" s="400"/>
    </row>
    <row r="133" spans="1:86" x14ac:dyDescent="0.4">
      <c r="A133" s="879">
        <v>2004</v>
      </c>
      <c r="B133" s="869">
        <f>'Electricity Imports'!R46/'Electricity Imports'!L46</f>
        <v>1.3646164574616459E-7</v>
      </c>
      <c r="O133" s="9"/>
      <c r="AP133" s="11"/>
      <c r="AV133" s="9"/>
      <c r="BF133" s="9"/>
      <c r="BR133" s="9"/>
      <c r="CH133" s="400"/>
    </row>
    <row r="134" spans="1:86" x14ac:dyDescent="0.4">
      <c r="A134" s="879">
        <v>2005</v>
      </c>
      <c r="B134" s="869">
        <f>'Electricity Imports'!R47/'Electricity Imports'!L47</f>
        <v>1.0397517155333748E-7</v>
      </c>
      <c r="O134" s="9"/>
      <c r="AP134" s="11"/>
      <c r="AV134" s="9"/>
      <c r="BF134" s="9"/>
      <c r="BR134" s="9"/>
      <c r="CH134" s="400"/>
    </row>
    <row r="135" spans="1:86" x14ac:dyDescent="0.4">
      <c r="A135" s="879">
        <v>2006</v>
      </c>
      <c r="B135" s="869">
        <f>'Electricity Imports'!R48/'Electricity Imports'!L48</f>
        <v>7.0271287128712867E-8</v>
      </c>
      <c r="O135" s="9"/>
      <c r="AP135" s="11"/>
      <c r="AV135" s="9"/>
      <c r="BF135" s="9"/>
      <c r="BR135" s="9"/>
      <c r="CH135" s="400"/>
    </row>
    <row r="136" spans="1:86" x14ac:dyDescent="0.4">
      <c r="A136" s="879">
        <v>2007</v>
      </c>
      <c r="B136" s="869">
        <f>'Electricity Imports'!R49/'Electricity Imports'!L49</f>
        <v>5.1385547953148552E-8</v>
      </c>
      <c r="O136" s="9"/>
      <c r="AP136" s="756"/>
      <c r="AQ136" s="756"/>
      <c r="AR136" s="756"/>
      <c r="AS136" s="756"/>
      <c r="AT136" s="756"/>
      <c r="AU136" s="756"/>
      <c r="AV136" s="756"/>
      <c r="AW136" s="756"/>
      <c r="AX136" s="756"/>
      <c r="CH136" s="400"/>
    </row>
    <row r="137" spans="1:86" ht="16.5" thickBot="1" x14ac:dyDescent="0.45">
      <c r="A137" s="880">
        <v>2008</v>
      </c>
      <c r="B137" s="883">
        <f>'Electricity Imports'!R50/'Electricity Imports'!L50</f>
        <v>6.4187152133580709E-8</v>
      </c>
      <c r="O137" s="9"/>
      <c r="U137" s="6"/>
      <c r="AP137" s="756"/>
      <c r="AQ137" s="756"/>
      <c r="AR137" s="756"/>
      <c r="AS137" s="756"/>
      <c r="AT137" s="756"/>
      <c r="AU137" s="756"/>
      <c r="AV137" s="756"/>
      <c r="AW137" s="756"/>
      <c r="AX137" s="756"/>
      <c r="CH137" s="400"/>
    </row>
    <row r="138" spans="1:86" ht="16.5" thickBot="1" x14ac:dyDescent="0.45">
      <c r="A138" s="891" t="s">
        <v>620</v>
      </c>
      <c r="B138" s="884">
        <f>AVERAGE(B129:B137)</f>
        <v>1.227793938793343E-7</v>
      </c>
      <c r="O138" s="9"/>
      <c r="U138" s="6"/>
      <c r="AP138" s="756"/>
      <c r="AQ138" s="756"/>
      <c r="AR138" s="756"/>
      <c r="AS138" s="756"/>
      <c r="AT138" s="756"/>
      <c r="AU138" s="756"/>
      <c r="AV138" s="756"/>
      <c r="AW138" s="756"/>
      <c r="AX138" s="756"/>
      <c r="CH138" s="400"/>
    </row>
    <row r="139" spans="1:86" x14ac:dyDescent="0.4">
      <c r="A139" s="3" t="s">
        <v>1063</v>
      </c>
      <c r="B139" s="885"/>
      <c r="O139" s="9"/>
      <c r="U139" s="6"/>
      <c r="AP139" s="756"/>
      <c r="AQ139" s="756"/>
      <c r="AR139" s="756"/>
      <c r="AS139" s="756"/>
      <c r="AT139" s="756"/>
      <c r="AU139" s="756"/>
      <c r="AV139" s="756"/>
      <c r="AW139" s="756"/>
      <c r="AX139" s="756"/>
      <c r="CH139" s="400"/>
    </row>
    <row r="140" spans="1:86" x14ac:dyDescent="0.4">
      <c r="B140" s="885"/>
      <c r="O140" s="9"/>
      <c r="U140" s="6"/>
      <c r="AP140" s="756"/>
      <c r="AQ140" s="756"/>
      <c r="AR140" s="756"/>
      <c r="AS140" s="756"/>
      <c r="AT140" s="756"/>
      <c r="AU140" s="756"/>
      <c r="AV140" s="756"/>
      <c r="AW140" s="756"/>
      <c r="AX140" s="756"/>
      <c r="CH140" s="400"/>
    </row>
    <row r="141" spans="1:86" x14ac:dyDescent="0.4">
      <c r="A141" s="1261" t="s">
        <v>843</v>
      </c>
      <c r="B141" s="53"/>
      <c r="O141" s="9"/>
      <c r="U141" s="6"/>
      <c r="AP141" s="756"/>
      <c r="AQ141" s="756"/>
      <c r="AR141" s="756"/>
      <c r="AS141" s="756"/>
      <c r="AT141" s="756"/>
      <c r="AU141" s="756"/>
      <c r="AV141" s="756"/>
      <c r="AW141" s="756"/>
      <c r="AX141" s="756"/>
      <c r="CH141" s="400"/>
    </row>
    <row r="142" spans="1:86" ht="15" customHeight="1" x14ac:dyDescent="0.45">
      <c r="A142" s="1403" t="s">
        <v>1615</v>
      </c>
      <c r="O142" s="9"/>
      <c r="U142" s="6"/>
      <c r="AP142" s="756"/>
      <c r="AQ142" s="756"/>
      <c r="AR142" s="756"/>
      <c r="AS142" s="756"/>
      <c r="AT142" s="756"/>
      <c r="AU142" s="756"/>
      <c r="AV142" s="756"/>
      <c r="AW142" s="756"/>
      <c r="AX142" s="756"/>
      <c r="CH142" s="400"/>
    </row>
    <row r="143" spans="1:86" ht="17" x14ac:dyDescent="0.45">
      <c r="A143" s="1403" t="s">
        <v>1616</v>
      </c>
    </row>
    <row r="145" spans="1:8" x14ac:dyDescent="0.4">
      <c r="A145" s="108" t="s">
        <v>1141</v>
      </c>
      <c r="B145" s="108"/>
      <c r="C145" s="108"/>
      <c r="D145" s="108"/>
      <c r="E145" s="108"/>
      <c r="F145" s="108"/>
      <c r="G145" s="108"/>
    </row>
    <row r="146" spans="1:8" x14ac:dyDescent="0.4">
      <c r="A146" s="892" t="s">
        <v>939</v>
      </c>
      <c r="C146" s="28"/>
      <c r="E146" s="108" t="s">
        <v>940</v>
      </c>
      <c r="G146" s="28"/>
      <c r="H146" s="28"/>
    </row>
    <row r="147" spans="1:8" ht="17" x14ac:dyDescent="0.4">
      <c r="A147" s="909" t="s">
        <v>250</v>
      </c>
      <c r="B147" s="947" t="s">
        <v>1265</v>
      </c>
      <c r="C147" s="1486" t="s">
        <v>1617</v>
      </c>
      <c r="E147" s="909" t="s">
        <v>250</v>
      </c>
      <c r="F147" s="947" t="s">
        <v>1265</v>
      </c>
      <c r="G147" s="1486" t="s">
        <v>1617</v>
      </c>
      <c r="H147" s="28"/>
    </row>
    <row r="148" spans="1:8" x14ac:dyDescent="0.4">
      <c r="A148" s="881">
        <v>1990</v>
      </c>
      <c r="B148" s="873">
        <v>13</v>
      </c>
      <c r="C148" s="882">
        <f t="shared" ref="C148:C166" si="107">(B148/1000000000000)*1000</f>
        <v>1.3000000000000001E-8</v>
      </c>
      <c r="E148" s="881">
        <v>1990</v>
      </c>
      <c r="F148" s="873">
        <v>370</v>
      </c>
      <c r="G148" s="882">
        <f t="shared" ref="G148:G166" si="108">(F148/1000000000000)*1000</f>
        <v>3.7E-7</v>
      </c>
      <c r="H148" s="28"/>
    </row>
    <row r="149" spans="1:8" x14ac:dyDescent="0.4">
      <c r="A149" s="881">
        <v>1991</v>
      </c>
      <c r="B149" s="874">
        <v>4</v>
      </c>
      <c r="C149" s="882">
        <f t="shared" si="107"/>
        <v>4.0000000000000002E-9</v>
      </c>
      <c r="E149" s="881">
        <v>1991</v>
      </c>
      <c r="F149" s="874">
        <v>350</v>
      </c>
      <c r="G149" s="882">
        <f t="shared" si="108"/>
        <v>3.4999999999999998E-7</v>
      </c>
      <c r="H149" s="28"/>
    </row>
    <row r="150" spans="1:8" x14ac:dyDescent="0.4">
      <c r="A150" s="881">
        <v>1992</v>
      </c>
      <c r="B150" s="874">
        <v>7</v>
      </c>
      <c r="C150" s="882">
        <f t="shared" si="107"/>
        <v>6.9999999999999998E-9</v>
      </c>
      <c r="E150" s="881">
        <v>1992</v>
      </c>
      <c r="F150" s="874">
        <v>391</v>
      </c>
      <c r="G150" s="882">
        <f t="shared" si="108"/>
        <v>3.9099999999999999E-7</v>
      </c>
      <c r="H150" s="28"/>
    </row>
    <row r="151" spans="1:8" x14ac:dyDescent="0.4">
      <c r="A151" s="881">
        <v>1993</v>
      </c>
      <c r="B151" s="874">
        <v>2</v>
      </c>
      <c r="C151" s="882">
        <f t="shared" si="107"/>
        <v>2.0000000000000001E-9</v>
      </c>
      <c r="E151" s="881">
        <v>1993</v>
      </c>
      <c r="F151" s="874">
        <v>346</v>
      </c>
      <c r="G151" s="882">
        <f t="shared" si="108"/>
        <v>3.46E-7</v>
      </c>
      <c r="H151" s="28"/>
    </row>
    <row r="152" spans="1:8" x14ac:dyDescent="0.4">
      <c r="A152" s="881">
        <v>1994</v>
      </c>
      <c r="B152" s="874">
        <v>3</v>
      </c>
      <c r="C152" s="882">
        <f t="shared" si="107"/>
        <v>3E-9</v>
      </c>
      <c r="E152" s="881">
        <v>1994</v>
      </c>
      <c r="F152" s="874">
        <v>392</v>
      </c>
      <c r="G152" s="882">
        <f t="shared" si="108"/>
        <v>3.9200000000000002E-7</v>
      </c>
      <c r="H152" s="28"/>
    </row>
    <row r="153" spans="1:8" x14ac:dyDescent="0.4">
      <c r="A153" s="881">
        <v>1995</v>
      </c>
      <c r="B153" s="874">
        <v>2</v>
      </c>
      <c r="C153" s="882">
        <f t="shared" si="107"/>
        <v>2.0000000000000001E-9</v>
      </c>
      <c r="E153" s="881">
        <v>1995</v>
      </c>
      <c r="F153" s="874">
        <v>550</v>
      </c>
      <c r="G153" s="882">
        <f t="shared" si="108"/>
        <v>5.4999999999999992E-7</v>
      </c>
      <c r="H153" s="28"/>
    </row>
    <row r="154" spans="1:8" x14ac:dyDescent="0.4">
      <c r="A154" s="881">
        <v>1996</v>
      </c>
      <c r="B154" s="874">
        <v>2</v>
      </c>
      <c r="C154" s="882">
        <f t="shared" si="107"/>
        <v>2.0000000000000001E-9</v>
      </c>
      <c r="E154" s="881">
        <v>1996</v>
      </c>
      <c r="F154" s="874">
        <v>393</v>
      </c>
      <c r="G154" s="882">
        <f t="shared" si="108"/>
        <v>3.9299999999999999E-7</v>
      </c>
      <c r="H154" s="28"/>
    </row>
    <row r="155" spans="1:8" x14ac:dyDescent="0.4">
      <c r="A155" s="881">
        <v>1997</v>
      </c>
      <c r="B155" s="874">
        <v>2</v>
      </c>
      <c r="C155" s="882">
        <f t="shared" si="107"/>
        <v>2.0000000000000001E-9</v>
      </c>
      <c r="E155" s="881">
        <v>1997</v>
      </c>
      <c r="F155" s="874">
        <v>513</v>
      </c>
      <c r="G155" s="882">
        <f t="shared" si="108"/>
        <v>5.13E-7</v>
      </c>
      <c r="H155" s="28"/>
    </row>
    <row r="156" spans="1:8" x14ac:dyDescent="0.4">
      <c r="A156" s="881">
        <v>1998</v>
      </c>
      <c r="B156" s="874">
        <v>10</v>
      </c>
      <c r="C156" s="882">
        <f t="shared" si="107"/>
        <v>1E-8</v>
      </c>
      <c r="E156" s="881">
        <v>1998</v>
      </c>
      <c r="F156" s="874">
        <v>512</v>
      </c>
      <c r="G156" s="882">
        <f t="shared" si="108"/>
        <v>5.1200000000000003E-7</v>
      </c>
      <c r="H156" s="28"/>
    </row>
    <row r="157" spans="1:8" x14ac:dyDescent="0.4">
      <c r="A157" s="881">
        <v>1999</v>
      </c>
      <c r="B157" s="874">
        <v>6</v>
      </c>
      <c r="C157" s="882">
        <f t="shared" si="107"/>
        <v>6E-9</v>
      </c>
      <c r="E157" s="881">
        <v>1999</v>
      </c>
      <c r="F157" s="874">
        <v>453</v>
      </c>
      <c r="G157" s="882">
        <f t="shared" si="108"/>
        <v>4.5299999999999999E-7</v>
      </c>
      <c r="H157" s="28"/>
    </row>
    <row r="158" spans="1:8" x14ac:dyDescent="0.4">
      <c r="A158" s="881">
        <v>2000</v>
      </c>
      <c r="B158" s="874">
        <v>3.6</v>
      </c>
      <c r="C158" s="882">
        <f t="shared" si="107"/>
        <v>3.6E-9</v>
      </c>
      <c r="E158" s="881">
        <v>2000</v>
      </c>
      <c r="F158" s="874">
        <v>490</v>
      </c>
      <c r="G158" s="882">
        <f t="shared" si="108"/>
        <v>4.8999999999999997E-7</v>
      </c>
      <c r="H158" s="28"/>
    </row>
    <row r="159" spans="1:8" x14ac:dyDescent="0.4">
      <c r="A159" s="881">
        <v>2001</v>
      </c>
      <c r="B159" s="874">
        <v>3</v>
      </c>
      <c r="C159" s="882">
        <f t="shared" si="107"/>
        <v>3E-9</v>
      </c>
      <c r="E159" s="881">
        <v>2001</v>
      </c>
      <c r="F159" s="874">
        <v>540</v>
      </c>
      <c r="G159" s="882">
        <f t="shared" si="108"/>
        <v>5.4000000000000002E-7</v>
      </c>
      <c r="H159" s="28"/>
    </row>
    <row r="160" spans="1:8" x14ac:dyDescent="0.4">
      <c r="A160" s="881">
        <v>2002</v>
      </c>
      <c r="B160" s="874">
        <v>2</v>
      </c>
      <c r="C160" s="882">
        <f t="shared" si="107"/>
        <v>2.0000000000000001E-9</v>
      </c>
      <c r="E160" s="881">
        <v>2002</v>
      </c>
      <c r="F160" s="874">
        <v>530</v>
      </c>
      <c r="G160" s="882">
        <f t="shared" si="108"/>
        <v>5.3000000000000001E-7</v>
      </c>
      <c r="H160" s="28"/>
    </row>
    <row r="161" spans="1:8" x14ac:dyDescent="0.4">
      <c r="A161" s="881">
        <v>2003</v>
      </c>
      <c r="B161" s="874">
        <v>10</v>
      </c>
      <c r="C161" s="882">
        <f t="shared" si="107"/>
        <v>1E-8</v>
      </c>
      <c r="E161" s="881">
        <v>2003</v>
      </c>
      <c r="F161" s="874">
        <v>470</v>
      </c>
      <c r="G161" s="882">
        <f t="shared" si="108"/>
        <v>4.7000000000000005E-7</v>
      </c>
      <c r="H161" s="28"/>
    </row>
    <row r="162" spans="1:8" x14ac:dyDescent="0.4">
      <c r="A162" s="881">
        <v>2004</v>
      </c>
      <c r="B162" s="874">
        <v>9</v>
      </c>
      <c r="C162" s="882">
        <f t="shared" si="107"/>
        <v>8.9999999999999995E-9</v>
      </c>
      <c r="E162" s="881">
        <v>2004</v>
      </c>
      <c r="F162" s="874">
        <v>490</v>
      </c>
      <c r="G162" s="882">
        <f t="shared" si="108"/>
        <v>4.8999999999999997E-7</v>
      </c>
      <c r="H162" s="28"/>
    </row>
    <row r="163" spans="1:8" x14ac:dyDescent="0.4">
      <c r="A163" s="881">
        <v>2005</v>
      </c>
      <c r="B163" s="874">
        <v>3.9</v>
      </c>
      <c r="C163" s="882">
        <f t="shared" si="107"/>
        <v>3.9000000000000002E-9</v>
      </c>
      <c r="E163" s="881">
        <v>2005</v>
      </c>
      <c r="F163" s="874">
        <v>400</v>
      </c>
      <c r="G163" s="882">
        <f t="shared" si="108"/>
        <v>4.0000000000000003E-7</v>
      </c>
      <c r="H163" s="28"/>
    </row>
    <row r="164" spans="1:8" x14ac:dyDescent="0.4">
      <c r="A164" s="881">
        <v>2006</v>
      </c>
      <c r="B164" s="874">
        <v>6</v>
      </c>
      <c r="C164" s="882">
        <f t="shared" si="107"/>
        <v>6E-9</v>
      </c>
      <c r="E164" s="881">
        <v>2006</v>
      </c>
      <c r="F164" s="874">
        <v>440</v>
      </c>
      <c r="G164" s="882">
        <f t="shared" si="108"/>
        <v>4.3999999999999997E-7</v>
      </c>
      <c r="H164" s="28"/>
    </row>
    <row r="165" spans="1:8" x14ac:dyDescent="0.4">
      <c r="A165" s="881">
        <v>2007</v>
      </c>
      <c r="B165" s="874">
        <v>3.54</v>
      </c>
      <c r="C165" s="882">
        <f t="shared" si="107"/>
        <v>3.5399999999999998E-9</v>
      </c>
      <c r="E165" s="881">
        <v>2007</v>
      </c>
      <c r="F165" s="874">
        <v>464</v>
      </c>
      <c r="G165" s="882">
        <f t="shared" si="108"/>
        <v>4.6400000000000003E-7</v>
      </c>
      <c r="H165" s="28"/>
    </row>
    <row r="166" spans="1:8" x14ac:dyDescent="0.4">
      <c r="A166" s="881">
        <v>2008</v>
      </c>
      <c r="B166" s="874">
        <v>2.5</v>
      </c>
      <c r="C166" s="882">
        <f t="shared" si="107"/>
        <v>2.5000000000000001E-9</v>
      </c>
      <c r="E166" s="881">
        <v>2008</v>
      </c>
      <c r="F166" s="874">
        <v>520</v>
      </c>
      <c r="G166" s="882">
        <f t="shared" si="108"/>
        <v>5.2E-7</v>
      </c>
      <c r="H166" s="28"/>
    </row>
    <row r="167" spans="1:8" x14ac:dyDescent="0.4">
      <c r="A167" s="1262" t="s">
        <v>1063</v>
      </c>
      <c r="B167" s="945"/>
      <c r="C167" s="946"/>
      <c r="E167" s="1262" t="s">
        <v>1063</v>
      </c>
      <c r="F167" s="945"/>
      <c r="G167" s="946"/>
      <c r="H167" s="28"/>
    </row>
    <row r="168" spans="1:8" x14ac:dyDescent="0.4">
      <c r="A168" s="754"/>
      <c r="B168" s="1352"/>
      <c r="C168" s="1353"/>
      <c r="E168" s="754"/>
      <c r="F168" s="1352"/>
      <c r="G168" s="1353"/>
      <c r="H168" s="28"/>
    </row>
    <row r="169" spans="1:8" x14ac:dyDescent="0.4">
      <c r="A169" s="3" t="s">
        <v>457</v>
      </c>
    </row>
    <row r="170" spans="1:8" ht="17" x14ac:dyDescent="0.45">
      <c r="A170" s="1389" t="s">
        <v>1316</v>
      </c>
    </row>
    <row r="171" spans="1:8" x14ac:dyDescent="0.4">
      <c r="A171" s="484" t="s">
        <v>615</v>
      </c>
      <c r="B171" s="28"/>
      <c r="C171" s="28"/>
      <c r="E171" s="28"/>
      <c r="F171" s="28"/>
      <c r="G171" s="28"/>
      <c r="H171" s="28"/>
    </row>
    <row r="172" spans="1:8" x14ac:dyDescent="0.4">
      <c r="A172" s="1265" t="s">
        <v>895</v>
      </c>
      <c r="B172" s="28"/>
      <c r="C172" s="28"/>
      <c r="E172" s="28"/>
      <c r="F172" s="28"/>
      <c r="G172" s="28"/>
      <c r="H172" s="28"/>
    </row>
    <row r="174" spans="1:8" x14ac:dyDescent="0.4">
      <c r="A174" s="395" t="s">
        <v>1064</v>
      </c>
    </row>
  </sheetData>
  <phoneticPr fontId="34" type="noConversion"/>
  <hyperlinks>
    <hyperlink ref="A106" r:id="rId1" display="http://www.eia.gov/electricity/data/state/annual_generation_state.xls" xr:uid="{00000000-0004-0000-0F00-000001000000}"/>
    <hyperlink ref="A172" r:id="rId2" display="http://unfccc.int/national_reports/annex_i_ghg_inventories/national_inventories_submissions/items/8812.php" xr:uid="{D1588F5E-37DB-4E8F-9E93-5E66DEEC2DB4}"/>
    <hyperlink ref="A2" location="Contents!A1" display="Return to Contents tab" xr:uid="{DABF4AD6-B642-4C91-90FA-18F00DEA4377}"/>
    <hyperlink ref="A20" location="'Electricity Imports'!A28" display="Go to MA Electricity Import Emissions Tables for 1990-2000 (Columns A through DJ)" xr:uid="{007A4DA6-E247-4409-BCE2-A3B8E6459240}"/>
    <hyperlink ref="A26" location="'Electricity Imports'!A72" display="Go to MA Electricity Import Emissions 1990-2000 Supporting Tables" xr:uid="{2B2EA001-62B4-43CC-AA7B-980EE24ADE02}"/>
    <hyperlink ref="A105" r:id="rId3" display="https://www.iso-ne.com/isoexpress/web/reports/load-and-demand/-/tree/net-ener-peak-load" xr:uid="{B0DC3315-71A7-46B9-8C92-75CE1475D479}"/>
    <hyperlink ref="A4" location="'Electricity Imports'!A18" display="Go to Tables for 1990-2000 Data on Electricity Imports Worksheet" xr:uid="{6EC03172-F5B4-4E23-AEB0-1C7C5932A78F}"/>
    <hyperlink ref="A3" location="'Electricity Imports'!A6" display="Go to Electricity Import Summary Table" xr:uid="{FF86F655-6AC7-4586-A51F-EC78485724FF}"/>
  </hyperlinks>
  <pageMargins left="0.7" right="0.7" top="0.75" bottom="0.75" header="0.3" footer="0.3"/>
  <pageSetup scale="10" orientation="landscape" r:id="rId4"/>
  <headerFooter>
    <oddFooter>&amp;L&amp;F &amp;A &amp;RPage &amp;P of &amp;N</oddFooter>
  </headerFooter>
  <rowBreaks count="1" manualBreakCount="1">
    <brk id="12" max="16383" man="1"/>
  </rowBreaks>
  <colBreaks count="2" manualBreakCount="2">
    <brk id="58" max="1048575" man="1"/>
    <brk id="93" max="1048575" man="1"/>
  </colBreaks>
  <tableParts count="22">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K101"/>
  <sheetViews>
    <sheetView zoomScale="110" zoomScaleNormal="110" workbookViewId="0">
      <pane xSplit="1" topLeftCell="B1" activePane="topRight" state="frozen"/>
      <selection pane="topRight"/>
    </sheetView>
  </sheetViews>
  <sheetFormatPr defaultColWidth="8.81640625" defaultRowHeight="16" x14ac:dyDescent="0.4"/>
  <cols>
    <col min="1" max="1" width="65.26953125" style="3" customWidth="1"/>
    <col min="2" max="2" width="11.54296875" style="3" customWidth="1"/>
    <col min="3" max="37" width="11.81640625" style="3" customWidth="1"/>
    <col min="38" max="16384" width="8.81640625" style="3"/>
  </cols>
  <sheetData>
    <row r="1" spans="1:5" ht="24" x14ac:dyDescent="0.65">
      <c r="A1" s="52" t="s">
        <v>765</v>
      </c>
      <c r="E1" s="28"/>
    </row>
    <row r="2" spans="1:5" x14ac:dyDescent="0.4">
      <c r="A2" s="1011" t="s">
        <v>730</v>
      </c>
      <c r="E2" s="28"/>
    </row>
    <row r="3" spans="1:5" x14ac:dyDescent="0.4">
      <c r="A3" s="1265" t="s">
        <v>908</v>
      </c>
      <c r="E3" s="28"/>
    </row>
    <row r="4" spans="1:5" x14ac:dyDescent="0.4">
      <c r="A4" s="1011"/>
      <c r="E4" s="28"/>
    </row>
    <row r="5" spans="1:5" x14ac:dyDescent="0.4">
      <c r="A5" s="108" t="s">
        <v>1429</v>
      </c>
      <c r="E5" s="28"/>
    </row>
    <row r="6" spans="1:5" x14ac:dyDescent="0.4">
      <c r="A6" s="3" t="s">
        <v>887</v>
      </c>
      <c r="E6" s="28"/>
    </row>
    <row r="7" spans="1:5" x14ac:dyDescent="0.4">
      <c r="A7" s="1320" t="s">
        <v>1102</v>
      </c>
      <c r="E7" s="28"/>
    </row>
    <row r="8" spans="1:5" x14ac:dyDescent="0.4">
      <c r="A8" s="1320" t="s">
        <v>1103</v>
      </c>
      <c r="E8" s="28"/>
    </row>
    <row r="9" spans="1:5" x14ac:dyDescent="0.4">
      <c r="A9" s="1320"/>
      <c r="E9" s="28"/>
    </row>
    <row r="10" spans="1:5" x14ac:dyDescent="0.4">
      <c r="A10" s="1320"/>
      <c r="E10" s="28"/>
    </row>
    <row r="11" spans="1:5" x14ac:dyDescent="0.4">
      <c r="A11" s="1320"/>
      <c r="E11" s="28"/>
    </row>
    <row r="12" spans="1:5" x14ac:dyDescent="0.4">
      <c r="A12" s="1320"/>
      <c r="E12" s="28"/>
    </row>
    <row r="13" spans="1:5" x14ac:dyDescent="0.4">
      <c r="A13" s="1320"/>
      <c r="E13" s="28"/>
    </row>
    <row r="14" spans="1:5" x14ac:dyDescent="0.4">
      <c r="A14" s="1320"/>
      <c r="E14" s="28"/>
    </row>
    <row r="15" spans="1:5" x14ac:dyDescent="0.4">
      <c r="A15" s="1320"/>
      <c r="E15" s="28"/>
    </row>
    <row r="16" spans="1:5" x14ac:dyDescent="0.4">
      <c r="A16" s="1320"/>
      <c r="E16" s="28"/>
    </row>
    <row r="17" spans="1:5" x14ac:dyDescent="0.4">
      <c r="A17" s="1320"/>
      <c r="E17" s="28"/>
    </row>
    <row r="18" spans="1:5" x14ac:dyDescent="0.4">
      <c r="A18" s="1320"/>
      <c r="E18" s="28"/>
    </row>
    <row r="19" spans="1:5" x14ac:dyDescent="0.4">
      <c r="A19" s="1320"/>
      <c r="E19" s="28"/>
    </row>
    <row r="20" spans="1:5" x14ac:dyDescent="0.4">
      <c r="A20" s="1320"/>
      <c r="E20" s="28"/>
    </row>
    <row r="21" spans="1:5" x14ac:dyDescent="0.4">
      <c r="A21" s="1320"/>
      <c r="E21" s="28"/>
    </row>
    <row r="22" spans="1:5" x14ac:dyDescent="0.4">
      <c r="A22" s="1320"/>
      <c r="E22" s="28"/>
    </row>
    <row r="23" spans="1:5" x14ac:dyDescent="0.4">
      <c r="A23" s="108" t="s">
        <v>1428</v>
      </c>
      <c r="E23" s="28"/>
    </row>
    <row r="24" spans="1:5" ht="17" x14ac:dyDescent="0.45">
      <c r="A24" s="1403" t="s">
        <v>1591</v>
      </c>
      <c r="E24" s="28"/>
    </row>
    <row r="25" spans="1:5" ht="17" x14ac:dyDescent="0.45">
      <c r="A25" s="1403" t="s">
        <v>1590</v>
      </c>
      <c r="E25" s="28"/>
    </row>
    <row r="26" spans="1:5" x14ac:dyDescent="0.4">
      <c r="E26" s="28"/>
    </row>
    <row r="27" spans="1:5" x14ac:dyDescent="0.4">
      <c r="E27" s="28"/>
    </row>
    <row r="28" spans="1:5" x14ac:dyDescent="0.4">
      <c r="A28" s="402"/>
      <c r="E28" s="28"/>
    </row>
    <row r="29" spans="1:5" x14ac:dyDescent="0.4">
      <c r="A29" s="402"/>
      <c r="E29" s="28"/>
    </row>
    <row r="30" spans="1:5" x14ac:dyDescent="0.4">
      <c r="A30" s="402"/>
      <c r="E30" s="28"/>
    </row>
    <row r="31" spans="1:5" x14ac:dyDescent="0.4">
      <c r="A31" s="402"/>
      <c r="E31" s="28"/>
    </row>
    <row r="32" spans="1:5" x14ac:dyDescent="0.4">
      <c r="A32" s="402"/>
      <c r="E32" s="28"/>
    </row>
    <row r="33" spans="1:28" x14ac:dyDescent="0.4">
      <c r="A33" s="402"/>
      <c r="E33" s="28"/>
    </row>
    <row r="34" spans="1:28" x14ac:dyDescent="0.4">
      <c r="A34" s="402"/>
      <c r="E34" s="28"/>
    </row>
    <row r="35" spans="1:28" x14ac:dyDescent="0.4">
      <c r="A35" s="402"/>
      <c r="E35" s="28"/>
    </row>
    <row r="36" spans="1:28" x14ac:dyDescent="0.4">
      <c r="A36" s="402"/>
      <c r="E36" s="28"/>
    </row>
    <row r="37" spans="1:28" x14ac:dyDescent="0.4">
      <c r="A37" s="402"/>
      <c r="E37" s="28"/>
    </row>
    <row r="38" spans="1:28" x14ac:dyDescent="0.4">
      <c r="A38" s="402"/>
      <c r="E38" s="28"/>
    </row>
    <row r="39" spans="1:28" x14ac:dyDescent="0.4">
      <c r="A39" s="402"/>
      <c r="E39" s="28"/>
    </row>
    <row r="40" spans="1:28" x14ac:dyDescent="0.4">
      <c r="A40" s="402"/>
      <c r="E40" s="28"/>
    </row>
    <row r="41" spans="1:28" x14ac:dyDescent="0.4">
      <c r="A41" s="402"/>
      <c r="E41" s="28"/>
    </row>
    <row r="42" spans="1:28" x14ac:dyDescent="0.4">
      <c r="A42" s="402"/>
      <c r="E42" s="28"/>
      <c r="AB42" s="28"/>
    </row>
    <row r="43" spans="1:28" x14ac:dyDescent="0.4">
      <c r="A43" s="402"/>
      <c r="E43" s="28"/>
    </row>
    <row r="44" spans="1:28" x14ac:dyDescent="0.4">
      <c r="A44" s="402"/>
      <c r="E44" s="28"/>
    </row>
    <row r="45" spans="1:28" x14ac:dyDescent="0.4">
      <c r="A45" s="402"/>
      <c r="E45" s="28"/>
    </row>
    <row r="46" spans="1:28" x14ac:dyDescent="0.4">
      <c r="A46" s="402"/>
      <c r="E46" s="28"/>
    </row>
    <row r="47" spans="1:28" x14ac:dyDescent="0.4">
      <c r="A47" s="402"/>
      <c r="E47" s="28"/>
    </row>
    <row r="48" spans="1:28" x14ac:dyDescent="0.4">
      <c r="A48" s="402"/>
      <c r="E48" s="28"/>
    </row>
    <row r="49" spans="1:37" x14ac:dyDescent="0.4">
      <c r="A49" s="402"/>
      <c r="E49" s="28"/>
    </row>
    <row r="50" spans="1:37" x14ac:dyDescent="0.4">
      <c r="A50" s="402"/>
      <c r="E50" s="28"/>
    </row>
    <row r="51" spans="1:37" x14ac:dyDescent="0.4">
      <c r="A51" s="402"/>
      <c r="E51" s="28"/>
    </row>
    <row r="52" spans="1:37" x14ac:dyDescent="0.4">
      <c r="A52" s="402"/>
      <c r="E52" s="28"/>
    </row>
    <row r="53" spans="1:37" x14ac:dyDescent="0.4">
      <c r="A53" s="90" t="s">
        <v>1066</v>
      </c>
      <c r="E53" s="28"/>
    </row>
    <row r="54" spans="1:37" x14ac:dyDescent="0.4">
      <c r="A54" s="28" t="s">
        <v>482</v>
      </c>
      <c r="E54" s="28"/>
    </row>
    <row r="55" spans="1:37" x14ac:dyDescent="0.4">
      <c r="A55" s="402" t="s">
        <v>324</v>
      </c>
      <c r="E55" s="28"/>
    </row>
    <row r="56" spans="1:37" x14ac:dyDescent="0.4">
      <c r="E56" s="28"/>
    </row>
    <row r="57" spans="1:37" ht="17.5" thickBot="1" x14ac:dyDescent="0.5">
      <c r="A57" s="108" t="s">
        <v>1589</v>
      </c>
      <c r="U57" s="30"/>
      <c r="V57" s="30"/>
      <c r="W57" s="30"/>
      <c r="X57" s="30"/>
      <c r="AA57" s="12"/>
      <c r="AB57" s="12"/>
      <c r="AC57" s="12"/>
      <c r="AD57" s="12"/>
      <c r="AF57" s="12"/>
      <c r="AG57" s="12"/>
      <c r="AH57" s="12"/>
      <c r="AI57" s="12"/>
    </row>
    <row r="58" spans="1:37" s="60" customFormat="1" ht="16.5" thickBot="1" x14ac:dyDescent="0.45">
      <c r="A58" s="164" t="s">
        <v>685</v>
      </c>
      <c r="B58" s="141" t="s">
        <v>391</v>
      </c>
      <c r="C58" s="142" t="s">
        <v>392</v>
      </c>
      <c r="D58" s="142" t="s">
        <v>393</v>
      </c>
      <c r="E58" s="142" t="s">
        <v>394</v>
      </c>
      <c r="F58" s="142" t="s">
        <v>395</v>
      </c>
      <c r="G58" s="142" t="s">
        <v>396</v>
      </c>
      <c r="H58" s="142" t="s">
        <v>397</v>
      </c>
      <c r="I58" s="142" t="s">
        <v>398</v>
      </c>
      <c r="J58" s="142" t="s">
        <v>399</v>
      </c>
      <c r="K58" s="142" t="s">
        <v>400</v>
      </c>
      <c r="L58" s="142" t="s">
        <v>401</v>
      </c>
      <c r="M58" s="142" t="s">
        <v>402</v>
      </c>
      <c r="N58" s="142" t="s">
        <v>403</v>
      </c>
      <c r="O58" s="142" t="s">
        <v>404</v>
      </c>
      <c r="P58" s="142" t="s">
        <v>405</v>
      </c>
      <c r="Q58" s="142" t="s">
        <v>406</v>
      </c>
      <c r="R58" s="142" t="s">
        <v>407</v>
      </c>
      <c r="S58" s="142" t="s">
        <v>408</v>
      </c>
      <c r="T58" s="142" t="s">
        <v>409</v>
      </c>
      <c r="U58" s="142" t="s">
        <v>410</v>
      </c>
      <c r="V58" s="142" t="s">
        <v>411</v>
      </c>
      <c r="W58" s="142" t="s">
        <v>412</v>
      </c>
      <c r="X58" s="142" t="s">
        <v>413</v>
      </c>
      <c r="Y58" s="142" t="s">
        <v>414</v>
      </c>
      <c r="Z58" s="142" t="s">
        <v>415</v>
      </c>
      <c r="AA58" s="142" t="s">
        <v>416</v>
      </c>
      <c r="AB58" s="142" t="s">
        <v>417</v>
      </c>
      <c r="AC58" s="142" t="s">
        <v>418</v>
      </c>
      <c r="AD58" s="142" t="s">
        <v>419</v>
      </c>
      <c r="AE58" s="142" t="s">
        <v>420</v>
      </c>
      <c r="AF58" s="142" t="s">
        <v>421</v>
      </c>
      <c r="AG58" s="142" t="s">
        <v>422</v>
      </c>
      <c r="AH58" s="142" t="s">
        <v>423</v>
      </c>
      <c r="AI58" s="142" t="s">
        <v>424</v>
      </c>
      <c r="AJ58" s="3"/>
      <c r="AK58" s="3"/>
    </row>
    <row r="59" spans="1:37" x14ac:dyDescent="0.4">
      <c r="A59" s="108" t="s">
        <v>310</v>
      </c>
      <c r="B59" s="403">
        <f t="shared" ref="B59:AI59" si="0">B60+B63+B67+B71+B74+B79</f>
        <v>4.023102495032</v>
      </c>
      <c r="C59" s="404">
        <f t="shared" si="0"/>
        <v>4.1918063119199998</v>
      </c>
      <c r="D59" s="404">
        <f t="shared" si="0"/>
        <v>4.4068377200000004</v>
      </c>
      <c r="E59" s="404">
        <f t="shared" si="0"/>
        <v>4.6059215884000002</v>
      </c>
      <c r="F59" s="404">
        <f t="shared" si="0"/>
        <v>4.7134851492399994</v>
      </c>
      <c r="G59" s="404">
        <f t="shared" si="0"/>
        <v>4.7288968244960001</v>
      </c>
      <c r="H59" s="404">
        <f t="shared" si="0"/>
        <v>4.8741761452499999</v>
      </c>
      <c r="I59" s="404">
        <f t="shared" si="0"/>
        <v>4.3976659747999989</v>
      </c>
      <c r="J59" s="404">
        <f t="shared" si="0"/>
        <v>3.9845468648599995</v>
      </c>
      <c r="K59" s="404">
        <f t="shared" si="0"/>
        <v>3.9837948332949993</v>
      </c>
      <c r="L59" s="404">
        <f t="shared" si="0"/>
        <v>4.0771981592949995</v>
      </c>
      <c r="M59" s="404">
        <f t="shared" si="0"/>
        <v>4.1840196858295222</v>
      </c>
      <c r="N59" s="404">
        <f t="shared" si="0"/>
        <v>4.2035966563342475</v>
      </c>
      <c r="O59" s="404">
        <f t="shared" si="0"/>
        <v>3.8987152567270975</v>
      </c>
      <c r="P59" s="404">
        <f t="shared" si="0"/>
        <v>3.9796893356242489</v>
      </c>
      <c r="Q59" s="404">
        <f t="shared" si="0"/>
        <v>3.994936313523676</v>
      </c>
      <c r="R59" s="404">
        <f t="shared" si="0"/>
        <v>4.3647074360313312</v>
      </c>
      <c r="S59" s="404">
        <f t="shared" si="0"/>
        <v>5.4048166180469437</v>
      </c>
      <c r="T59" s="404">
        <f t="shared" si="0"/>
        <v>5.3678931354298234</v>
      </c>
      <c r="U59" s="404">
        <f t="shared" si="0"/>
        <v>5.9844778525641527</v>
      </c>
      <c r="V59" s="404">
        <f t="shared" si="0"/>
        <v>6.8848432853585591</v>
      </c>
      <c r="W59" s="404">
        <f t="shared" si="0"/>
        <v>6.7402528460674533</v>
      </c>
      <c r="X59" s="404">
        <f t="shared" si="0"/>
        <v>6.4140731934110917</v>
      </c>
      <c r="Y59" s="404">
        <f t="shared" si="0"/>
        <v>6.9001983679351513</v>
      </c>
      <c r="Z59" s="404">
        <f t="shared" si="0"/>
        <v>6.7490508439328538</v>
      </c>
      <c r="AA59" s="404">
        <f t="shared" si="0"/>
        <v>6.8548099409885959</v>
      </c>
      <c r="AB59" s="404">
        <f t="shared" si="0"/>
        <v>6.4205795008034707</v>
      </c>
      <c r="AC59" s="404">
        <f t="shared" si="0"/>
        <v>5.0695066388515846</v>
      </c>
      <c r="AD59" s="405">
        <f t="shared" si="0"/>
        <v>5.1701490549672746</v>
      </c>
      <c r="AE59" s="404">
        <f t="shared" si="0"/>
        <v>5.2502652170472768</v>
      </c>
      <c r="AF59" s="404">
        <f t="shared" si="0"/>
        <v>4.9442272350821286</v>
      </c>
      <c r="AG59" s="404">
        <f t="shared" si="0"/>
        <v>4.932108226650155</v>
      </c>
      <c r="AH59" s="404">
        <f t="shared" si="0"/>
        <v>5.2155568476104675</v>
      </c>
      <c r="AI59" s="404">
        <f t="shared" si="0"/>
        <v>5.1531544883255034</v>
      </c>
    </row>
    <row r="60" spans="1:37" x14ac:dyDescent="0.4">
      <c r="A60" s="406" t="s">
        <v>311</v>
      </c>
      <c r="B60" s="407">
        <f>B61+B62</f>
        <v>1.6956225999999999</v>
      </c>
      <c r="C60" s="407">
        <f t="shared" ref="C60:AI60" si="1">C61+C62</f>
        <v>1.7776038000000001</v>
      </c>
      <c r="D60" s="407">
        <f t="shared" si="1"/>
        <v>1.8650253999999999</v>
      </c>
      <c r="E60" s="407">
        <f t="shared" si="1"/>
        <v>1.9297473999999999</v>
      </c>
      <c r="F60" s="407">
        <f t="shared" si="1"/>
        <v>1.8317264</v>
      </c>
      <c r="G60" s="407">
        <f t="shared" si="1"/>
        <v>1.8317264</v>
      </c>
      <c r="H60" s="407">
        <f t="shared" si="1"/>
        <v>1.9021702</v>
      </c>
      <c r="I60" s="407">
        <f t="shared" si="1"/>
        <v>1.3628201999999998</v>
      </c>
      <c r="J60" s="407">
        <f t="shared" si="1"/>
        <v>1.2110517999999999</v>
      </c>
      <c r="K60" s="407">
        <f t="shared" si="1"/>
        <v>1.2429437999999999</v>
      </c>
      <c r="L60" s="407">
        <f t="shared" si="1"/>
        <v>1.3385259999999999</v>
      </c>
      <c r="M60" s="407">
        <f t="shared" si="1"/>
        <v>1.0788416799999998</v>
      </c>
      <c r="N60" s="407">
        <f t="shared" si="1"/>
        <v>1.0954582399999999</v>
      </c>
      <c r="O60" s="407">
        <f t="shared" si="1"/>
        <v>1.1529037599999998</v>
      </c>
      <c r="P60" s="407">
        <f t="shared" si="1"/>
        <v>1.1823649200000002</v>
      </c>
      <c r="Q60" s="407">
        <f t="shared" si="1"/>
        <v>0.34008371999999998</v>
      </c>
      <c r="R60" s="407">
        <f t="shared" si="1"/>
        <v>0.31047555999999993</v>
      </c>
      <c r="S60" s="407">
        <f t="shared" si="1"/>
        <v>0.34638283999999997</v>
      </c>
      <c r="T60" s="407">
        <f t="shared" si="1"/>
        <v>0.38302379999999997</v>
      </c>
      <c r="U60" s="407">
        <f t="shared" si="1"/>
        <v>0.97297387999999996</v>
      </c>
      <c r="V60" s="407">
        <f t="shared" si="1"/>
        <v>1.03935844</v>
      </c>
      <c r="W60" s="407">
        <f t="shared" si="1"/>
        <v>1.0391418399999999</v>
      </c>
      <c r="X60" s="407">
        <f t="shared" si="1"/>
        <v>0.87398403999999985</v>
      </c>
      <c r="Y60" s="407">
        <f t="shared" si="1"/>
        <v>1.1795117999999998</v>
      </c>
      <c r="Z60" s="407">
        <f t="shared" si="1"/>
        <v>1.1638631599999998</v>
      </c>
      <c r="AA60" s="407">
        <f t="shared" si="1"/>
        <v>1.0547287599999999</v>
      </c>
      <c r="AB60" s="407">
        <f t="shared" si="1"/>
        <v>0.89065439999999996</v>
      </c>
      <c r="AC60" s="407">
        <f t="shared" si="1"/>
        <v>0.86714708000000007</v>
      </c>
      <c r="AD60" s="407">
        <f t="shared" si="1"/>
        <v>0.85706191999999992</v>
      </c>
      <c r="AE60" s="407">
        <f t="shared" si="1"/>
        <v>1.0207363599999999</v>
      </c>
      <c r="AF60" s="407">
        <f t="shared" si="1"/>
        <v>0.95573976000000005</v>
      </c>
      <c r="AG60" s="407">
        <f t="shared" si="1"/>
        <v>0.9706554799999999</v>
      </c>
      <c r="AH60" s="407">
        <f t="shared" si="1"/>
        <v>1.2052124799999999</v>
      </c>
      <c r="AI60" s="407">
        <f t="shared" si="1"/>
        <v>1.05022532</v>
      </c>
    </row>
    <row r="61" spans="1:37" x14ac:dyDescent="0.4">
      <c r="A61" s="114" t="s">
        <v>358</v>
      </c>
      <c r="B61" s="434">
        <f>'Biogenic Combustion'!C160</f>
        <v>1.6956225999999999</v>
      </c>
      <c r="C61" s="434">
        <f>'Biogenic Combustion'!D160</f>
        <v>1.7776038000000001</v>
      </c>
      <c r="D61" s="434">
        <f>'Biogenic Combustion'!E160</f>
        <v>1.8650253999999999</v>
      </c>
      <c r="E61" s="434">
        <f>'Biogenic Combustion'!F160</f>
        <v>1.9297473999999999</v>
      </c>
      <c r="F61" s="434">
        <f>'Biogenic Combustion'!G160</f>
        <v>1.8317264</v>
      </c>
      <c r="G61" s="434">
        <f>'Biogenic Combustion'!H160</f>
        <v>1.8317264</v>
      </c>
      <c r="H61" s="434">
        <f>'Biogenic Combustion'!I160</f>
        <v>1.9021702</v>
      </c>
      <c r="I61" s="434">
        <f>'Biogenic Combustion'!J160</f>
        <v>1.3628201999999998</v>
      </c>
      <c r="J61" s="434">
        <f>'Biogenic Combustion'!K160</f>
        <v>1.2110517999999999</v>
      </c>
      <c r="K61" s="434">
        <f>'Biogenic Combustion'!L160</f>
        <v>1.2429437999999999</v>
      </c>
      <c r="L61" s="434">
        <f>'Biogenic Combustion'!M160</f>
        <v>1.3385259999999999</v>
      </c>
      <c r="M61" s="434">
        <f>'Biogenic Combustion'!N160</f>
        <v>1.0783247999999999</v>
      </c>
      <c r="N61" s="434">
        <f>'Biogenic Combustion'!O160</f>
        <v>1.094646</v>
      </c>
      <c r="O61" s="434">
        <f>'Biogenic Combustion'!P160</f>
        <v>1.1522391999999999</v>
      </c>
      <c r="P61" s="434">
        <f>'Biogenic Combustion'!Q160</f>
        <v>1.1810358000000001</v>
      </c>
      <c r="Q61" s="434">
        <f>'Biogenic Combustion'!R160</f>
        <v>0.33561639999999998</v>
      </c>
      <c r="R61" s="434">
        <f>'Biogenic Combustion'!S160</f>
        <v>0.29762739999999993</v>
      </c>
      <c r="S61" s="434">
        <f>'Biogenic Combustion'!T160</f>
        <v>0.32895659999999999</v>
      </c>
      <c r="T61" s="434">
        <f>'Biogenic Combustion'!U160</f>
        <v>0.36807119999999999</v>
      </c>
      <c r="U61" s="434">
        <f>'Biogenic Combustion'!V160</f>
        <v>0.95713519999999996</v>
      </c>
      <c r="V61" s="434">
        <f>'Biogenic Combustion'!W160</f>
        <v>1.0265472</v>
      </c>
      <c r="W61" s="434">
        <f>'Biogenic Combustion'!X160</f>
        <v>0.99568699999999988</v>
      </c>
      <c r="X61" s="434">
        <f>'Biogenic Combustion'!Y160</f>
        <v>0.83200599999999991</v>
      </c>
      <c r="Y61" s="434">
        <f>'Biogenic Combustion'!Z160</f>
        <v>1.0857349999999999</v>
      </c>
      <c r="Z61" s="434">
        <f>'Biogenic Combustion'!AA160</f>
        <v>1.0987731999999999</v>
      </c>
      <c r="AA61" s="434">
        <f>'Biogenic Combustion'!AB160</f>
        <v>0.98686979999999991</v>
      </c>
      <c r="AB61" s="434">
        <f>'Biogenic Combustion'!AC160</f>
        <v>0.78820139999999994</v>
      </c>
      <c r="AC61" s="434">
        <f>'Biogenic Combustion'!AD160</f>
        <v>0.78079120000000002</v>
      </c>
      <c r="AD61" s="434">
        <f>'Biogenic Combustion'!AE160</f>
        <v>0.78041599999999989</v>
      </c>
      <c r="AE61" s="434">
        <f>'Biogenic Combustion'!AF160</f>
        <v>0.95638479999999992</v>
      </c>
      <c r="AF61" s="434">
        <f>'Biogenic Combustion'!AG160</f>
        <v>0.88603480000000001</v>
      </c>
      <c r="AG61" s="434">
        <f>'Biogenic Combustion'!AH160</f>
        <v>0.91605079999999994</v>
      </c>
      <c r="AH61" s="434">
        <f>'Biogenic Combustion'!AI160</f>
        <v>1.1541151999999999</v>
      </c>
      <c r="AI61" s="434">
        <f>'Biogenic Combustion'!AJ160</f>
        <v>0.98114799999999991</v>
      </c>
    </row>
    <row r="62" spans="1:37" x14ac:dyDescent="0.4">
      <c r="A62" s="114" t="s">
        <v>359</v>
      </c>
      <c r="B62" s="434">
        <f>'Biogenic Combustion'!C171</f>
        <v>0</v>
      </c>
      <c r="C62" s="434">
        <f>'Biogenic Combustion'!D171</f>
        <v>0</v>
      </c>
      <c r="D62" s="434">
        <f>'Biogenic Combustion'!E171</f>
        <v>0</v>
      </c>
      <c r="E62" s="434">
        <f>'Biogenic Combustion'!F171</f>
        <v>0</v>
      </c>
      <c r="F62" s="434">
        <f>'Biogenic Combustion'!G171</f>
        <v>0</v>
      </c>
      <c r="G62" s="434">
        <f>'Biogenic Combustion'!H171</f>
        <v>0</v>
      </c>
      <c r="H62" s="434">
        <f>'Biogenic Combustion'!I171</f>
        <v>0</v>
      </c>
      <c r="I62" s="434">
        <f>'Biogenic Combustion'!J171</f>
        <v>0</v>
      </c>
      <c r="J62" s="434">
        <f>'Biogenic Combustion'!K171</f>
        <v>0</v>
      </c>
      <c r="K62" s="434">
        <f>'Biogenic Combustion'!L171</f>
        <v>0</v>
      </c>
      <c r="L62" s="434">
        <f>'Biogenic Combustion'!M171</f>
        <v>0</v>
      </c>
      <c r="M62" s="434">
        <f>'Biogenic Combustion'!N171</f>
        <v>5.1687999999999994E-4</v>
      </c>
      <c r="N62" s="434">
        <f>'Biogenic Combustion'!O171</f>
        <v>8.1223999999999988E-4</v>
      </c>
      <c r="O62" s="434">
        <f>'Biogenic Combustion'!P171</f>
        <v>6.6456000000000002E-4</v>
      </c>
      <c r="P62" s="434">
        <f>'Biogenic Combustion'!Q171</f>
        <v>1.32912E-3</v>
      </c>
      <c r="Q62" s="434">
        <f>'Biogenic Combustion'!R171</f>
        <v>4.4673199999999995E-3</v>
      </c>
      <c r="R62" s="434">
        <f>'Biogenic Combustion'!S171</f>
        <v>1.2848159999999999E-2</v>
      </c>
      <c r="S62" s="434">
        <f>'Biogenic Combustion'!T171</f>
        <v>1.7426239999999999E-2</v>
      </c>
      <c r="T62" s="434">
        <f>'Biogenic Combustion'!U171</f>
        <v>1.4952599999999998E-2</v>
      </c>
      <c r="U62" s="434">
        <f>'Biogenic Combustion'!V171</f>
        <v>1.5838679999999997E-2</v>
      </c>
      <c r="V62" s="434">
        <f>'Biogenic Combustion'!W171</f>
        <v>1.281124E-2</v>
      </c>
      <c r="W62" s="434">
        <f>'Biogenic Combustion'!X171</f>
        <v>4.3454840000000002E-2</v>
      </c>
      <c r="X62" s="434">
        <f>'Biogenic Combustion'!Y171</f>
        <v>4.1978039999999994E-2</v>
      </c>
      <c r="Y62" s="434">
        <f>'Biogenic Combustion'!Z171</f>
        <v>9.3776799999999993E-2</v>
      </c>
      <c r="Z62" s="434">
        <f>'Biogenic Combustion'!AA171</f>
        <v>6.5089959999999988E-2</v>
      </c>
      <c r="AA62" s="434">
        <f>'Biogenic Combustion'!AB171</f>
        <v>6.7858959999999996E-2</v>
      </c>
      <c r="AB62" s="434">
        <f>'Biogenic Combustion'!AC171</f>
        <v>0.10245299999999999</v>
      </c>
      <c r="AC62" s="434">
        <f>'Biogenic Combustion'!AD171</f>
        <v>8.6355879999999996E-2</v>
      </c>
      <c r="AD62" s="434">
        <f>'Biogenic Combustion'!AE171</f>
        <v>7.6645919999999992E-2</v>
      </c>
      <c r="AE62" s="434">
        <f>'Biogenic Combustion'!AF171</f>
        <v>6.4351560000000002E-2</v>
      </c>
      <c r="AF62" s="434">
        <f>'Biogenic Combustion'!AG171</f>
        <v>6.9704959999999996E-2</v>
      </c>
      <c r="AG62" s="434">
        <f>'Biogenic Combustion'!AH171</f>
        <v>5.4604679999999996E-2</v>
      </c>
      <c r="AH62" s="434">
        <f>'Biogenic Combustion'!AI171</f>
        <v>5.1097279999999995E-2</v>
      </c>
      <c r="AI62" s="434">
        <f>'Biogenic Combustion'!AJ171</f>
        <v>6.9077319999999998E-2</v>
      </c>
    </row>
    <row r="63" spans="1:37" x14ac:dyDescent="0.4">
      <c r="A63" s="1104" t="s">
        <v>312</v>
      </c>
      <c r="B63" s="408">
        <f>B64+B65+B66</f>
        <v>0.18534880000000001</v>
      </c>
      <c r="C63" s="409">
        <f>C64+C65+C66</f>
        <v>0.1935094</v>
      </c>
      <c r="D63" s="409">
        <f t="shared" ref="D63:AI63" si="2">D64+D65+D66</f>
        <v>0.204015</v>
      </c>
      <c r="E63" s="409">
        <f t="shared" si="2"/>
        <v>0.25973219999999997</v>
      </c>
      <c r="F63" s="409">
        <f t="shared" si="2"/>
        <v>0.2487576</v>
      </c>
      <c r="G63" s="409">
        <f t="shared" si="2"/>
        <v>0.25110259999999995</v>
      </c>
      <c r="H63" s="409">
        <f t="shared" si="2"/>
        <v>0.260764</v>
      </c>
      <c r="I63" s="409">
        <f t="shared" si="2"/>
        <v>0.22765259999999998</v>
      </c>
      <c r="J63" s="409">
        <f t="shared" si="2"/>
        <v>0.19885599999999998</v>
      </c>
      <c r="K63" s="409">
        <f t="shared" si="2"/>
        <v>0.20917399999999997</v>
      </c>
      <c r="L63" s="409">
        <f t="shared" si="2"/>
        <v>0.26186996999999995</v>
      </c>
      <c r="M63" s="409">
        <f t="shared" si="2"/>
        <v>0.22391532</v>
      </c>
      <c r="N63" s="409">
        <f t="shared" si="2"/>
        <v>0.23949828999999997</v>
      </c>
      <c r="O63" s="409">
        <f t="shared" si="2"/>
        <v>0.24163945000000001</v>
      </c>
      <c r="P63" s="409">
        <f t="shared" si="2"/>
        <v>0.28818201999999998</v>
      </c>
      <c r="Q63" s="409">
        <f t="shared" si="2"/>
        <v>0.10227489800035884</v>
      </c>
      <c r="R63" s="409">
        <f t="shared" si="2"/>
        <v>0.10254864257308312</v>
      </c>
      <c r="S63" s="409">
        <f t="shared" si="2"/>
        <v>0.10390854789095262</v>
      </c>
      <c r="T63" s="409">
        <f t="shared" si="2"/>
        <v>0.10713128972068067</v>
      </c>
      <c r="U63" s="409">
        <f t="shared" si="2"/>
        <v>0.18842451671705163</v>
      </c>
      <c r="V63" s="409">
        <f t="shared" si="2"/>
        <v>0.18316232256902812</v>
      </c>
      <c r="W63" s="409">
        <f t="shared" si="2"/>
        <v>0.18420758152010158</v>
      </c>
      <c r="X63" s="409">
        <f t="shared" si="2"/>
        <v>0.16404201454015915</v>
      </c>
      <c r="Y63" s="409">
        <f t="shared" si="2"/>
        <v>0.18451015529503584</v>
      </c>
      <c r="Z63" s="409">
        <f t="shared" si="2"/>
        <v>0.18492002610651809</v>
      </c>
      <c r="AA63" s="409">
        <f t="shared" si="2"/>
        <v>0.21887774576294372</v>
      </c>
      <c r="AB63" s="409">
        <f t="shared" si="2"/>
        <v>0.20936973854566643</v>
      </c>
      <c r="AC63" s="409">
        <f t="shared" si="2"/>
        <v>0.21398812569229841</v>
      </c>
      <c r="AD63" s="409">
        <f t="shared" si="2"/>
        <v>0.19128214880687142</v>
      </c>
      <c r="AE63" s="409">
        <f t="shared" si="2"/>
        <v>0.2104823806354893</v>
      </c>
      <c r="AF63" s="409">
        <f t="shared" si="2"/>
        <v>0.26173269245814385</v>
      </c>
      <c r="AG63" s="409">
        <f t="shared" si="2"/>
        <v>0.26218548540447728</v>
      </c>
      <c r="AH63" s="409">
        <f t="shared" si="2"/>
        <v>0.26423797179619885</v>
      </c>
      <c r="AI63" s="409">
        <f t="shared" si="2"/>
        <v>0.26467733507141133</v>
      </c>
    </row>
    <row r="64" spans="1:37" x14ac:dyDescent="0.4">
      <c r="A64" s="104" t="s">
        <v>364</v>
      </c>
      <c r="B64" s="435">
        <f>'Biogenic Combustion'!C101</f>
        <v>0</v>
      </c>
      <c r="C64" s="434">
        <f>'Biogenic Combustion'!D101</f>
        <v>0</v>
      </c>
      <c r="D64" s="434">
        <f>'Biogenic Combustion'!E101</f>
        <v>0</v>
      </c>
      <c r="E64" s="434">
        <f>'Biogenic Combustion'!F101</f>
        <v>0</v>
      </c>
      <c r="F64" s="434">
        <f>'Biogenic Combustion'!G101</f>
        <v>0</v>
      </c>
      <c r="G64" s="434">
        <f>'Biogenic Combustion'!H101</f>
        <v>0</v>
      </c>
      <c r="H64" s="434">
        <f>'Biogenic Combustion'!I101</f>
        <v>0</v>
      </c>
      <c r="I64" s="434">
        <f>'Biogenic Combustion'!J101</f>
        <v>0</v>
      </c>
      <c r="J64" s="434">
        <f>'Biogenic Combustion'!K101</f>
        <v>0</v>
      </c>
      <c r="K64" s="434">
        <f>'Biogenic Combustion'!L101</f>
        <v>0</v>
      </c>
      <c r="L64" s="434">
        <f>'Biogenic Combustion'!M101</f>
        <v>3.806317E-2</v>
      </c>
      <c r="M64" s="434">
        <f>'Biogenic Combustion'!N101</f>
        <v>3.4157920000000001E-2</v>
      </c>
      <c r="N64" s="434">
        <f>'Biogenic Combustion'!O101</f>
        <v>4.5144689999999994E-2</v>
      </c>
      <c r="O64" s="434">
        <f>'Biogenic Combustion'!P101</f>
        <v>3.9312850000000003E-2</v>
      </c>
      <c r="P64" s="434">
        <f>'Biogenic Combustion'!Q101</f>
        <v>9.0289379999999989E-2</v>
      </c>
      <c r="Q64" s="434">
        <f>'Biogenic Combustion'!R101</f>
        <v>4.8091498000358848E-2</v>
      </c>
      <c r="R64" s="434">
        <f>'Biogenic Combustion'!S101</f>
        <v>5.1321322573083125E-2</v>
      </c>
      <c r="S64" s="434">
        <f>'Biogenic Combustion'!T101</f>
        <v>4.9175187890952633E-2</v>
      </c>
      <c r="T64" s="434">
        <f>'Biogenic Combustion'!U101</f>
        <v>4.9695449720680664E-2</v>
      </c>
      <c r="U64" s="434">
        <f>'Biogenic Combustion'!V101</f>
        <v>5.1616156717051637E-2</v>
      </c>
      <c r="V64" s="434">
        <f>'Biogenic Combustion'!W101</f>
        <v>4.8453002569028146E-2</v>
      </c>
      <c r="W64" s="434">
        <f>'Biogenic Combustion'!X101</f>
        <v>5.2142701520101586E-2</v>
      </c>
      <c r="X64" s="434">
        <f>'Biogenic Combustion'!Y101</f>
        <v>5.0455414540159164E-2</v>
      </c>
      <c r="Y64" s="434">
        <f>'Biogenic Combustion'!Z101</f>
        <v>5.2870875295035827E-2</v>
      </c>
      <c r="Z64" s="434">
        <f>'Biogenic Combustion'!AA101</f>
        <v>5.3280746106518076E-2</v>
      </c>
      <c r="AA64" s="434">
        <f>'Biogenic Combustion'!AB101</f>
        <v>5.235666576294374E-2</v>
      </c>
      <c r="AB64" s="434">
        <f>'Biogenic Combustion'!AC101</f>
        <v>5.328581854566642E-2</v>
      </c>
      <c r="AC64" s="434">
        <f>'Biogenic Combustion'!AD101</f>
        <v>5.4380445692298433E-2</v>
      </c>
      <c r="AD64" s="434">
        <f>'Biogenic Combustion'!AE101</f>
        <v>5.4878508806871416E-2</v>
      </c>
      <c r="AE64" s="434">
        <f>'Biogenic Combustion'!AF101</f>
        <v>5.5060260635489307E-2</v>
      </c>
      <c r="AF64" s="434">
        <f>'Biogenic Combustion'!AG101</f>
        <v>4.9320812458143883E-2</v>
      </c>
      <c r="AG64" s="434">
        <f>'Biogenic Combustion'!AH101</f>
        <v>4.9089205404477324E-2</v>
      </c>
      <c r="AH64" s="434">
        <f>'Biogenic Combustion'!AI101</f>
        <v>4.6984571796198873E-2</v>
      </c>
      <c r="AI64" s="434">
        <f>'Biogenic Combustion'!AJ101</f>
        <v>4.9596295071411368E-2</v>
      </c>
    </row>
    <row r="65" spans="1:37" x14ac:dyDescent="0.4">
      <c r="A65" s="104" t="s">
        <v>362</v>
      </c>
      <c r="B65" s="435">
        <f>'Biogenic Combustion'!C76</f>
        <v>0.18534880000000001</v>
      </c>
      <c r="C65" s="434">
        <f>'Biogenic Combustion'!D76</f>
        <v>0.1935094</v>
      </c>
      <c r="D65" s="434">
        <f>'Biogenic Combustion'!E76</f>
        <v>0.204015</v>
      </c>
      <c r="E65" s="434">
        <f>'Biogenic Combustion'!F76</f>
        <v>0.25973219999999997</v>
      </c>
      <c r="F65" s="434">
        <f>'Biogenic Combustion'!G76</f>
        <v>0.2487576</v>
      </c>
      <c r="G65" s="434">
        <f>'Biogenic Combustion'!H76</f>
        <v>0.25110259999999995</v>
      </c>
      <c r="H65" s="434">
        <f>'Biogenic Combustion'!I76</f>
        <v>0.260764</v>
      </c>
      <c r="I65" s="434">
        <f>'Biogenic Combustion'!J76</f>
        <v>0.22765259999999998</v>
      </c>
      <c r="J65" s="434">
        <f>'Biogenic Combustion'!K76</f>
        <v>0.19885599999999998</v>
      </c>
      <c r="K65" s="434">
        <f>'Biogenic Combustion'!L76</f>
        <v>0.20917399999999997</v>
      </c>
      <c r="L65" s="434">
        <f>'Biogenic Combustion'!M76</f>
        <v>0.22380679999999997</v>
      </c>
      <c r="M65" s="434">
        <f>'Biogenic Combustion'!N76</f>
        <v>0.18975739999999999</v>
      </c>
      <c r="N65" s="434">
        <f>'Biogenic Combustion'!O76</f>
        <v>0.19435359999999999</v>
      </c>
      <c r="O65" s="434">
        <f>'Biogenic Combustion'!P76</f>
        <v>0.2023266</v>
      </c>
      <c r="P65" s="434">
        <f>'Biogenic Combustion'!Q76</f>
        <v>0.19782420000000001</v>
      </c>
      <c r="Q65" s="434">
        <f>'Biogenic Combustion'!R76</f>
        <v>5.3841199999999999E-2</v>
      </c>
      <c r="R65" s="434">
        <f>'Biogenic Combustion'!S76</f>
        <v>4.9995399999999995E-2</v>
      </c>
      <c r="S65" s="434">
        <f>'Biogenic Combustion'!T76</f>
        <v>5.3090799999999994E-2</v>
      </c>
      <c r="T65" s="434">
        <f>'Biogenic Combustion'!U76</f>
        <v>5.5998599999999996E-2</v>
      </c>
      <c r="U65" s="434">
        <f>'Biogenic Combustion'!V76</f>
        <v>0.1351658</v>
      </c>
      <c r="V65" s="434">
        <f>'Biogenic Combustion'!W76</f>
        <v>0.13347739999999997</v>
      </c>
      <c r="W65" s="434">
        <f>'Biogenic Combustion'!X76</f>
        <v>0.12850600000000001</v>
      </c>
      <c r="X65" s="434">
        <f>'Biogenic Combustion'!Y76</f>
        <v>0.11255999999999999</v>
      </c>
      <c r="Y65" s="434">
        <f>'Biogenic Combustion'!Z76</f>
        <v>0.1304758</v>
      </c>
      <c r="Z65" s="434">
        <f>'Biogenic Combustion'!AA76</f>
        <v>0.1304758</v>
      </c>
      <c r="AA65" s="434">
        <f>'Biogenic Combustion'!AB76</f>
        <v>0.13216419999999998</v>
      </c>
      <c r="AB65" s="434">
        <f>'Biogenic Combustion'!AC76</f>
        <v>0.12165859999999999</v>
      </c>
      <c r="AC65" s="434">
        <f>'Biogenic Combustion'!AD76</f>
        <v>0.12456639999999998</v>
      </c>
      <c r="AD65" s="434">
        <f>'Biogenic Combustion'!AE76</f>
        <v>0.101773</v>
      </c>
      <c r="AE65" s="434">
        <f>'Biogenic Combustion'!AF76</f>
        <v>0.11997019999999999</v>
      </c>
      <c r="AF65" s="434">
        <f>'Biogenic Combustion'!AG76</f>
        <v>0.17634399999999997</v>
      </c>
      <c r="AG65" s="434">
        <f>'Biogenic Combustion'!AH76</f>
        <v>0.17634399999999997</v>
      </c>
      <c r="AH65" s="434">
        <f>'Biogenic Combustion'!AI76</f>
        <v>0.17653159999999998</v>
      </c>
      <c r="AI65" s="434">
        <f>'Biogenic Combustion'!AJ76</f>
        <v>0.17634399999999997</v>
      </c>
    </row>
    <row r="66" spans="1:37" x14ac:dyDescent="0.4">
      <c r="A66" s="104" t="s">
        <v>363</v>
      </c>
      <c r="B66" s="435">
        <f>'Biogenic Combustion'!C87</f>
        <v>0</v>
      </c>
      <c r="C66" s="434">
        <f>'Biogenic Combustion'!D87</f>
        <v>0</v>
      </c>
      <c r="D66" s="434">
        <f>'Biogenic Combustion'!E87</f>
        <v>0</v>
      </c>
      <c r="E66" s="434">
        <f>'Biogenic Combustion'!F87</f>
        <v>0</v>
      </c>
      <c r="F66" s="434">
        <f>'Biogenic Combustion'!G87</f>
        <v>0</v>
      </c>
      <c r="G66" s="434">
        <f>'Biogenic Combustion'!H87</f>
        <v>0</v>
      </c>
      <c r="H66" s="434">
        <f>'Biogenic Combustion'!I87</f>
        <v>0</v>
      </c>
      <c r="I66" s="434">
        <f>'Biogenic Combustion'!J87</f>
        <v>0</v>
      </c>
      <c r="J66" s="434">
        <f>'Biogenic Combustion'!K87</f>
        <v>0</v>
      </c>
      <c r="K66" s="434">
        <f>'Biogenic Combustion'!L87</f>
        <v>0</v>
      </c>
      <c r="L66" s="434">
        <f>'Biogenic Combustion'!M87</f>
        <v>0</v>
      </c>
      <c r="M66" s="434">
        <f>'Biogenic Combustion'!N87</f>
        <v>0</v>
      </c>
      <c r="N66" s="434">
        <f>'Biogenic Combustion'!O87</f>
        <v>0</v>
      </c>
      <c r="O66" s="434">
        <f>'Biogenic Combustion'!P87</f>
        <v>0</v>
      </c>
      <c r="P66" s="434">
        <f>'Biogenic Combustion'!Q87</f>
        <v>6.8439999999999988E-5</v>
      </c>
      <c r="Q66" s="434">
        <f>'Biogenic Combustion'!R87</f>
        <v>3.4219999999999992E-4</v>
      </c>
      <c r="R66" s="434">
        <f>'Biogenic Combustion'!S87</f>
        <v>1.2319199999999998E-3</v>
      </c>
      <c r="S66" s="434">
        <f>'Biogenic Combustion'!T87</f>
        <v>1.6425599999999997E-3</v>
      </c>
      <c r="T66" s="434">
        <f>'Biogenic Combustion'!U87</f>
        <v>1.43724E-3</v>
      </c>
      <c r="U66" s="434">
        <f>'Biogenic Combustion'!V87</f>
        <v>1.6425599999999997E-3</v>
      </c>
      <c r="V66" s="434">
        <f>'Biogenic Combustion'!W87</f>
        <v>1.2319199999999998E-3</v>
      </c>
      <c r="W66" s="434">
        <f>'Biogenic Combustion'!X87</f>
        <v>3.5588799999999995E-3</v>
      </c>
      <c r="X66" s="434">
        <f>'Biogenic Combustion'!Y87</f>
        <v>1.0265999999999999E-3</v>
      </c>
      <c r="Y66" s="434">
        <f>'Biogenic Combustion'!Z87</f>
        <v>1.1634799999999999E-3</v>
      </c>
      <c r="Z66" s="434">
        <f>'Biogenic Combustion'!AA87</f>
        <v>1.1634799999999999E-3</v>
      </c>
      <c r="AA66" s="434">
        <f>'Biogenic Combustion'!AB87</f>
        <v>3.4356879999999999E-2</v>
      </c>
      <c r="AB66" s="434">
        <f>'Biogenic Combustion'!AC87</f>
        <v>3.4425319999999995E-2</v>
      </c>
      <c r="AC66" s="434">
        <f>'Biogenic Combustion'!AD87</f>
        <v>3.5041279999999994E-2</v>
      </c>
      <c r="AD66" s="434">
        <f>'Biogenic Combustion'!AE87</f>
        <v>3.4630639999999997E-2</v>
      </c>
      <c r="AE66" s="434">
        <f>'Biogenic Combustion'!AF87</f>
        <v>3.5451919999999991E-2</v>
      </c>
      <c r="AF66" s="434">
        <f>'Biogenic Combustion'!AG87</f>
        <v>3.6067879999999997E-2</v>
      </c>
      <c r="AG66" s="434">
        <f>'Biogenic Combustion'!AH87</f>
        <v>3.6752279999999998E-2</v>
      </c>
      <c r="AH66" s="434">
        <f>'Biogenic Combustion'!AI87</f>
        <v>4.0721799999999989E-2</v>
      </c>
      <c r="AI66" s="434">
        <f>'Biogenic Combustion'!AJ87</f>
        <v>3.8737039999999993E-2</v>
      </c>
    </row>
    <row r="67" spans="1:37" x14ac:dyDescent="0.4">
      <c r="A67" s="247" t="s">
        <v>1293</v>
      </c>
      <c r="B67" s="410">
        <f>B68+B69+B70</f>
        <v>0.68227650103199999</v>
      </c>
      <c r="C67" s="411">
        <f>C68+C69+C70</f>
        <v>0.69405338691999996</v>
      </c>
      <c r="D67" s="411">
        <f t="shared" ref="D67:AG67" si="3">D68+D69+D70</f>
        <v>0.69158107199999996</v>
      </c>
      <c r="E67" s="411">
        <f t="shared" si="3"/>
        <v>0.66793132639999997</v>
      </c>
      <c r="F67" s="411">
        <f t="shared" si="3"/>
        <v>0.72294081523999998</v>
      </c>
      <c r="G67" s="411">
        <f t="shared" si="3"/>
        <v>0.81555899549600008</v>
      </c>
      <c r="H67" s="411">
        <f t="shared" si="3"/>
        <v>0.81953060299999991</v>
      </c>
      <c r="I67" s="411">
        <f t="shared" si="3"/>
        <v>0.87065974999999995</v>
      </c>
      <c r="J67" s="411">
        <f t="shared" si="3"/>
        <v>0.65099919800000006</v>
      </c>
      <c r="K67" s="411">
        <f t="shared" si="3"/>
        <v>0.63904305999999989</v>
      </c>
      <c r="L67" s="411">
        <f t="shared" si="3"/>
        <v>0.61064637599999994</v>
      </c>
      <c r="M67" s="411">
        <f t="shared" si="3"/>
        <v>0.46465139999999999</v>
      </c>
      <c r="N67" s="411">
        <f t="shared" si="3"/>
        <v>0.30349843999999998</v>
      </c>
      <c r="O67" s="411">
        <f t="shared" si="3"/>
        <v>0.30868223999999994</v>
      </c>
      <c r="P67" s="411">
        <f t="shared" si="3"/>
        <v>0.32675119999999996</v>
      </c>
      <c r="Q67" s="411">
        <f t="shared" si="3"/>
        <v>0.33605028000000003</v>
      </c>
      <c r="R67" s="411">
        <f t="shared" si="3"/>
        <v>0.39946616000000001</v>
      </c>
      <c r="S67" s="411">
        <f t="shared" si="3"/>
        <v>0.42032837999999995</v>
      </c>
      <c r="T67" s="411">
        <f t="shared" si="3"/>
        <v>0.40263215999999996</v>
      </c>
      <c r="U67" s="411">
        <f t="shared" si="3"/>
        <v>0.37123425999999993</v>
      </c>
      <c r="V67" s="411">
        <f t="shared" si="3"/>
        <v>0.54393298000000001</v>
      </c>
      <c r="W67" s="411">
        <f t="shared" si="3"/>
        <v>0.72034959999999981</v>
      </c>
      <c r="X67" s="411">
        <f t="shared" si="3"/>
        <v>0.71491311999999985</v>
      </c>
      <c r="Y67" s="411">
        <f t="shared" si="3"/>
        <v>0.71637317999999983</v>
      </c>
      <c r="Z67" s="411">
        <f t="shared" si="3"/>
        <v>0.68942389999999998</v>
      </c>
      <c r="AA67" s="411">
        <f t="shared" si="3"/>
        <v>0.69121518000000004</v>
      </c>
      <c r="AB67" s="411">
        <f t="shared" si="3"/>
        <v>0.68929881999999998</v>
      </c>
      <c r="AC67" s="411">
        <f t="shared" si="3"/>
        <v>0.32029995999999994</v>
      </c>
      <c r="AD67" s="411">
        <f t="shared" si="3"/>
        <v>0.30491501999999998</v>
      </c>
      <c r="AE67" s="411">
        <f t="shared" si="3"/>
        <v>0.32161964000000004</v>
      </c>
      <c r="AF67" s="411">
        <f t="shared" si="3"/>
        <v>0.31596079999999999</v>
      </c>
      <c r="AG67" s="411">
        <f t="shared" si="3"/>
        <v>0.30179099999999998</v>
      </c>
      <c r="AH67" s="411">
        <f t="shared" ref="AH67" si="4">AH68+AH69+AH70</f>
        <v>0.32842458000000002</v>
      </c>
      <c r="AI67" s="411">
        <f>AI68+AI69</f>
        <v>0.32023308</v>
      </c>
    </row>
    <row r="68" spans="1:37" x14ac:dyDescent="0.4">
      <c r="A68" s="28" t="s">
        <v>366</v>
      </c>
      <c r="B68" s="435">
        <f>'Biogenic Combustion'!C145</f>
        <v>0</v>
      </c>
      <c r="C68" s="434">
        <f>'Biogenic Combustion'!D145</f>
        <v>0</v>
      </c>
      <c r="D68" s="434">
        <f>'Biogenic Combustion'!E145</f>
        <v>0</v>
      </c>
      <c r="E68" s="434">
        <f>'Biogenic Combustion'!F145</f>
        <v>0</v>
      </c>
      <c r="F68" s="434">
        <f>'Biogenic Combustion'!G145</f>
        <v>0</v>
      </c>
      <c r="G68" s="434">
        <f>'Biogenic Combustion'!H145</f>
        <v>0</v>
      </c>
      <c r="H68" s="434">
        <f>'Biogenic Combustion'!I145</f>
        <v>0</v>
      </c>
      <c r="I68" s="434">
        <f>'Biogenic Combustion'!J145</f>
        <v>0</v>
      </c>
      <c r="J68" s="434">
        <f>'Biogenic Combustion'!K145</f>
        <v>0</v>
      </c>
      <c r="K68" s="434">
        <f>'Biogenic Combustion'!L145</f>
        <v>0</v>
      </c>
      <c r="L68" s="434">
        <f>'Biogenic Combustion'!M145</f>
        <v>0</v>
      </c>
      <c r="M68" s="434">
        <f>'Biogenic Combustion'!N145</f>
        <v>0</v>
      </c>
      <c r="N68" s="434">
        <f>'Biogenic Combustion'!O145</f>
        <v>6.8439999999999988E-5</v>
      </c>
      <c r="O68" s="434">
        <f>'Biogenic Combustion'!P145</f>
        <v>6.8439999999999988E-5</v>
      </c>
      <c r="P68" s="434">
        <f>'Biogenic Combustion'!Q145</f>
        <v>6.8439999999999983E-4</v>
      </c>
      <c r="Q68" s="434">
        <f>'Biogenic Combustion'!R145</f>
        <v>5.6120799999999993E-3</v>
      </c>
      <c r="R68" s="434">
        <f>'Biogenic Combustion'!S145</f>
        <v>1.5330559999999997E-2</v>
      </c>
      <c r="S68" s="434">
        <f>'Biogenic Combustion'!T145</f>
        <v>1.622028E-2</v>
      </c>
      <c r="T68" s="434">
        <f>'Biogenic Combustion'!U145</f>
        <v>1.2935159999999999E-2</v>
      </c>
      <c r="U68" s="434">
        <f>'Biogenic Combustion'!V145</f>
        <v>1.3961759999999998E-2</v>
      </c>
      <c r="V68" s="434">
        <f>'Biogenic Combustion'!W145</f>
        <v>2.2722079999999995E-2</v>
      </c>
      <c r="W68" s="434">
        <f>'Biogenic Combustion'!X145</f>
        <v>2.3269599999999998E-2</v>
      </c>
      <c r="X68" s="434">
        <f>'Biogenic Combustion'!Y145</f>
        <v>2.2106119999999996E-2</v>
      </c>
      <c r="Y68" s="434">
        <f>'Biogenic Combustion'!Z145</f>
        <v>2.3406479999999997E-2</v>
      </c>
      <c r="Z68" s="434">
        <f>'Biogenic Combustion'!AA145</f>
        <v>1.8820999999999997E-2</v>
      </c>
      <c r="AA68" s="434">
        <f>'Biogenic Combustion'!AB145</f>
        <v>1.8615679999999999E-2</v>
      </c>
      <c r="AB68" s="434">
        <f>'Biogenic Combustion'!AC145</f>
        <v>1.8684119999999995E-2</v>
      </c>
      <c r="AC68" s="434">
        <f>'Biogenic Combustion'!AD145</f>
        <v>1.9094759999999999E-2</v>
      </c>
      <c r="AD68" s="434">
        <f>'Biogenic Combustion'!AE145</f>
        <v>1.9368519999999997E-2</v>
      </c>
      <c r="AE68" s="434">
        <f>'Biogenic Combustion'!AF145</f>
        <v>1.9916039999999999E-2</v>
      </c>
      <c r="AF68" s="434">
        <f>'Biogenic Combustion'!AG145</f>
        <v>2.0189799999999997E-2</v>
      </c>
      <c r="AG68" s="434">
        <f>'Biogenic Combustion'!AH145</f>
        <v>2.0189799999999997E-2</v>
      </c>
      <c r="AH68" s="434">
        <f>'Biogenic Combustion'!AI145</f>
        <v>2.1011079999999998E-2</v>
      </c>
      <c r="AI68" s="434">
        <f>'Biogenic Combustion'!AJ145</f>
        <v>2.1011079999999998E-2</v>
      </c>
    </row>
    <row r="69" spans="1:37" x14ac:dyDescent="0.4">
      <c r="A69" s="958" t="s">
        <v>365</v>
      </c>
      <c r="B69" s="435">
        <f>'Biogenic Combustion'!C119</f>
        <v>0.50370599999999999</v>
      </c>
      <c r="C69" s="434">
        <f>'Biogenic Combustion'!D119</f>
        <v>0.53025139999999993</v>
      </c>
      <c r="D69" s="434">
        <f>'Biogenic Combustion'!E119</f>
        <v>0.47744199999999998</v>
      </c>
      <c r="E69" s="434">
        <f>'Biogenic Combustion'!F119</f>
        <v>0.49901599999999996</v>
      </c>
      <c r="F69" s="434">
        <f>'Biogenic Combustion'!G119</f>
        <v>0.54319580000000001</v>
      </c>
      <c r="G69" s="434">
        <f>'Biogenic Combustion'!H119</f>
        <v>0.64956500000000006</v>
      </c>
      <c r="H69" s="434">
        <f>'Biogenic Combustion'!I119</f>
        <v>0.64309279999999991</v>
      </c>
      <c r="I69" s="434">
        <f>'Biogenic Combustion'!J119</f>
        <v>0.69937279999999991</v>
      </c>
      <c r="J69" s="434">
        <f>'Biogenic Combustion'!K119</f>
        <v>0.59103380000000005</v>
      </c>
      <c r="K69" s="434">
        <f>'Biogenic Combustion'!L119</f>
        <v>0.61166979999999993</v>
      </c>
      <c r="L69" s="434">
        <f>'Biogenic Combustion'!M119</f>
        <v>0.58981439999999996</v>
      </c>
      <c r="M69" s="434">
        <f>'Biogenic Combustion'!N119</f>
        <v>0.43072959999999999</v>
      </c>
      <c r="N69" s="434">
        <f>'Biogenic Combustion'!O119</f>
        <v>0.2838388</v>
      </c>
      <c r="O69" s="434">
        <f>'Biogenic Combustion'!P119</f>
        <v>0.28974819999999996</v>
      </c>
      <c r="P69" s="434">
        <f>'Biogenic Combustion'!Q119</f>
        <v>0.30738260000000001</v>
      </c>
      <c r="Q69" s="434">
        <f>'Biogenic Combustion'!R119</f>
        <v>0.31066559999999999</v>
      </c>
      <c r="R69" s="434">
        <f>'Biogenic Combustion'!S119</f>
        <v>0.32173400000000002</v>
      </c>
      <c r="S69" s="434">
        <f>'Biogenic Combustion'!T119</f>
        <v>0.3332714</v>
      </c>
      <c r="T69" s="434">
        <f>'Biogenic Combustion'!U119</f>
        <v>0.31985799999999998</v>
      </c>
      <c r="U69" s="434">
        <f>'Biogenic Combustion'!V119</f>
        <v>0.28008679999999997</v>
      </c>
      <c r="V69" s="434">
        <f>'Biogenic Combustion'!W119</f>
        <v>0.47744199999999998</v>
      </c>
      <c r="W69" s="434">
        <f>'Biogenic Combustion'!X119</f>
        <v>0.65378599999999987</v>
      </c>
      <c r="X69" s="434">
        <f>'Biogenic Combustion'!Y119</f>
        <v>0.65378599999999987</v>
      </c>
      <c r="Y69" s="434">
        <f>'Biogenic Combustion'!Z119</f>
        <v>0.65378599999999987</v>
      </c>
      <c r="Z69" s="434">
        <f>'Biogenic Combustion'!AA119</f>
        <v>0.63596399999999997</v>
      </c>
      <c r="AA69" s="434">
        <f>'Biogenic Combustion'!AB119</f>
        <v>0.63596399999999997</v>
      </c>
      <c r="AB69" s="434">
        <f>'Biogenic Combustion'!AC119</f>
        <v>0.63596399999999997</v>
      </c>
      <c r="AC69" s="434">
        <f>'Biogenic Combustion'!AD119</f>
        <v>0.26301519999999995</v>
      </c>
      <c r="AD69" s="434">
        <f>'Biogenic Combustion'!AE119</f>
        <v>0.260295</v>
      </c>
      <c r="AE69" s="434">
        <f>'Biogenic Combustion'!AF119</f>
        <v>0.260295</v>
      </c>
      <c r="AF69" s="434">
        <f>'Biogenic Combustion'!AG119</f>
        <v>0.260295</v>
      </c>
      <c r="AG69" s="434">
        <f>'Biogenic Combustion'!AH119</f>
        <v>0.260295</v>
      </c>
      <c r="AH69" s="434">
        <f>'Biogenic Combustion'!AI119</f>
        <v>0.29922199999999999</v>
      </c>
      <c r="AI69" s="434">
        <f>'Biogenic Combustion'!AJ119</f>
        <v>0.29922199999999999</v>
      </c>
    </row>
    <row r="70" spans="1:37" x14ac:dyDescent="0.4">
      <c r="A70" s="958" t="s">
        <v>367</v>
      </c>
      <c r="B70" s="435">
        <f>'Biogenic Combustion'!C131</f>
        <v>0.17857050103200001</v>
      </c>
      <c r="C70" s="434">
        <f>'Biogenic Combustion'!D131</f>
        <v>0.16380198692000003</v>
      </c>
      <c r="D70" s="434">
        <f>'Biogenic Combustion'!E131</f>
        <v>0.21413907199999999</v>
      </c>
      <c r="E70" s="434">
        <f>'Biogenic Combustion'!F131</f>
        <v>0.16891532639999998</v>
      </c>
      <c r="F70" s="434">
        <f>'Biogenic Combustion'!G131</f>
        <v>0.17974501524</v>
      </c>
      <c r="G70" s="434">
        <f>'Biogenic Combustion'!H131</f>
        <v>0.165993995496</v>
      </c>
      <c r="H70" s="434">
        <f>'Biogenic Combustion'!I131</f>
        <v>0.176437803</v>
      </c>
      <c r="I70" s="434">
        <f>'Biogenic Combustion'!J131</f>
        <v>0.17128695000000002</v>
      </c>
      <c r="J70" s="434">
        <f>'Biogenic Combustion'!K131</f>
        <v>5.9965398000000003E-2</v>
      </c>
      <c r="K70" s="434">
        <f>'Biogenic Combustion'!L131</f>
        <v>2.737326E-2</v>
      </c>
      <c r="L70" s="434">
        <f>'Biogenic Combustion'!M131</f>
        <v>2.0831975999999999E-2</v>
      </c>
      <c r="M70" s="434">
        <f>'Biogenic Combustion'!N131</f>
        <v>3.3921799999999995E-2</v>
      </c>
      <c r="N70" s="434">
        <f>'Biogenic Combustion'!O131</f>
        <v>1.95912E-2</v>
      </c>
      <c r="O70" s="434">
        <f>'Biogenic Combustion'!P131</f>
        <v>1.88656E-2</v>
      </c>
      <c r="P70" s="434">
        <f>'Biogenic Combustion'!Q131</f>
        <v>1.8684200000000002E-2</v>
      </c>
      <c r="Q70" s="434">
        <f>'Biogenic Combustion'!R131</f>
        <v>1.9772600000000001E-2</v>
      </c>
      <c r="R70" s="434">
        <f>'Biogenic Combustion'!S131</f>
        <v>6.2401599999999995E-2</v>
      </c>
      <c r="S70" s="434">
        <f>'Biogenic Combustion'!T131</f>
        <v>7.0836700000000002E-2</v>
      </c>
      <c r="T70" s="434">
        <f>'Biogenic Combustion'!U131</f>
        <v>6.9838999999999998E-2</v>
      </c>
      <c r="U70" s="434">
        <f>'Biogenic Combustion'!V131</f>
        <v>7.7185699999999996E-2</v>
      </c>
      <c r="V70" s="434">
        <f>'Biogenic Combustion'!W131</f>
        <v>4.3768899999999999E-2</v>
      </c>
      <c r="W70" s="434">
        <f>'Biogenic Combustion'!X131</f>
        <v>4.3293999999999999E-2</v>
      </c>
      <c r="X70" s="434">
        <f>'Biogenic Combustion'!Y131</f>
        <v>3.9021E-2</v>
      </c>
      <c r="Y70" s="434">
        <f>'Biogenic Combustion'!Z131</f>
        <v>3.9180699999999999E-2</v>
      </c>
      <c r="Z70" s="434">
        <f>'Biogenic Combustion'!AA131</f>
        <v>3.46389E-2</v>
      </c>
      <c r="AA70" s="434">
        <f>'Biogenic Combustion'!AB131</f>
        <v>3.6635500000000001E-2</v>
      </c>
      <c r="AB70" s="434">
        <f>'Biogenic Combustion'!AC131</f>
        <v>3.46507E-2</v>
      </c>
      <c r="AC70" s="434">
        <f>'Biogenic Combustion'!AD131</f>
        <v>3.8190000000000002E-2</v>
      </c>
      <c r="AD70" s="434">
        <f>'Biogenic Combustion'!AE131</f>
        <v>2.52515E-2</v>
      </c>
      <c r="AE70" s="434">
        <f>'Biogenic Combustion'!AF131</f>
        <v>4.1408599999999997E-2</v>
      </c>
      <c r="AF70" s="434">
        <f>'Biogenic Combustion'!AG131</f>
        <v>3.5476000000000001E-2</v>
      </c>
      <c r="AG70" s="434">
        <f>'Biogenic Combustion'!AH131</f>
        <v>2.1306200000000001E-2</v>
      </c>
      <c r="AH70" s="434">
        <f>'Biogenic Combustion'!AI131</f>
        <v>8.1915000000000009E-3</v>
      </c>
      <c r="AI70" s="1041" t="s">
        <v>32</v>
      </c>
    </row>
    <row r="71" spans="1:37" x14ac:dyDescent="0.4">
      <c r="A71" s="957" t="s">
        <v>313</v>
      </c>
      <c r="B71" s="960">
        <f>B72+B73</f>
        <v>0</v>
      </c>
      <c r="C71" s="412">
        <f t="shared" ref="C71:AI71" si="5">C72+C73</f>
        <v>0</v>
      </c>
      <c r="D71" s="412">
        <f t="shared" si="5"/>
        <v>0</v>
      </c>
      <c r="E71" s="412">
        <f t="shared" si="5"/>
        <v>0</v>
      </c>
      <c r="F71" s="412">
        <f t="shared" si="5"/>
        <v>0</v>
      </c>
      <c r="G71" s="412">
        <f t="shared" si="5"/>
        <v>0</v>
      </c>
      <c r="H71" s="412">
        <f t="shared" si="5"/>
        <v>0</v>
      </c>
      <c r="I71" s="412">
        <f t="shared" si="5"/>
        <v>0</v>
      </c>
      <c r="J71" s="412">
        <f t="shared" si="5"/>
        <v>0</v>
      </c>
      <c r="K71" s="412">
        <f t="shared" si="5"/>
        <v>0</v>
      </c>
      <c r="L71" s="412">
        <f t="shared" si="5"/>
        <v>0</v>
      </c>
      <c r="M71" s="412">
        <f t="shared" si="5"/>
        <v>5.1687999999999994E-4</v>
      </c>
      <c r="N71" s="412">
        <f t="shared" si="5"/>
        <v>5.7399199999999991E-3</v>
      </c>
      <c r="O71" s="412">
        <f t="shared" si="5"/>
        <v>5.5922399999999992E-3</v>
      </c>
      <c r="P71" s="412">
        <f t="shared" si="5"/>
        <v>4.8142079999999997E-2</v>
      </c>
      <c r="Q71" s="412">
        <f t="shared" si="5"/>
        <v>0.41633923999999994</v>
      </c>
      <c r="R71" s="412">
        <f t="shared" si="5"/>
        <v>1.1260932000000001</v>
      </c>
      <c r="S71" s="412">
        <f t="shared" si="5"/>
        <v>1.4485750799999999</v>
      </c>
      <c r="T71" s="412">
        <f t="shared" si="5"/>
        <v>1.2084777599999998</v>
      </c>
      <c r="U71" s="412">
        <f t="shared" si="5"/>
        <v>1.3382363599999998</v>
      </c>
      <c r="V71" s="412">
        <f t="shared" si="5"/>
        <v>1.6657056799999996</v>
      </c>
      <c r="W71" s="412">
        <f t="shared" si="5"/>
        <v>1.6355745599999998</v>
      </c>
      <c r="X71" s="412">
        <f t="shared" si="5"/>
        <v>1.5910489999999999</v>
      </c>
      <c r="Y71" s="412">
        <f t="shared" si="5"/>
        <v>1.6668017599999998</v>
      </c>
      <c r="Z71" s="412">
        <f t="shared" si="5"/>
        <v>1.6304496399999997</v>
      </c>
      <c r="AA71" s="412">
        <f t="shared" si="5"/>
        <v>1.6568304399999996</v>
      </c>
      <c r="AB71" s="412">
        <f t="shared" si="5"/>
        <v>1.6997741599999996</v>
      </c>
      <c r="AC71" s="412">
        <f t="shared" si="5"/>
        <v>1.6654035599999999</v>
      </c>
      <c r="AD71" s="412">
        <f t="shared" si="5"/>
        <v>1.6577468</v>
      </c>
      <c r="AE71" s="412">
        <f t="shared" si="5"/>
        <v>1.6435361199999998</v>
      </c>
      <c r="AF71" s="412">
        <f t="shared" si="5"/>
        <v>1.3300959999999997</v>
      </c>
      <c r="AG71" s="412">
        <f t="shared" si="5"/>
        <v>1.4812364799999997</v>
      </c>
      <c r="AH71" s="412">
        <f t="shared" si="5"/>
        <v>1.4798507199999997</v>
      </c>
      <c r="AI71" s="412">
        <f t="shared" si="5"/>
        <v>1.5148038800000001</v>
      </c>
    </row>
    <row r="72" spans="1:37" x14ac:dyDescent="0.4">
      <c r="A72" s="958" t="s">
        <v>360</v>
      </c>
      <c r="B72" s="435">
        <f>'Biogenic Combustion'!C189</f>
        <v>0</v>
      </c>
      <c r="C72" s="436">
        <f>'Biogenic Combustion'!D189</f>
        <v>0</v>
      </c>
      <c r="D72" s="436">
        <f>'Biogenic Combustion'!E189</f>
        <v>0</v>
      </c>
      <c r="E72" s="436">
        <f>'Biogenic Combustion'!F189</f>
        <v>0</v>
      </c>
      <c r="F72" s="436">
        <f>'Biogenic Combustion'!G189</f>
        <v>0</v>
      </c>
      <c r="G72" s="436">
        <f>'Biogenic Combustion'!H189</f>
        <v>0</v>
      </c>
      <c r="H72" s="436">
        <f>'Biogenic Combustion'!I189</f>
        <v>0</v>
      </c>
      <c r="I72" s="436">
        <f>'Biogenic Combustion'!J189</f>
        <v>0</v>
      </c>
      <c r="J72" s="436">
        <f>'Biogenic Combustion'!K189</f>
        <v>0</v>
      </c>
      <c r="K72" s="436">
        <f>'Biogenic Combustion'!L189</f>
        <v>0</v>
      </c>
      <c r="L72" s="436">
        <f>'Biogenic Combustion'!M189</f>
        <v>0</v>
      </c>
      <c r="M72" s="436">
        <f>'Biogenic Combustion'!N189</f>
        <v>0</v>
      </c>
      <c r="N72" s="436">
        <f>'Biogenic Combustion'!O189</f>
        <v>4.9276799999999994E-3</v>
      </c>
      <c r="O72" s="436">
        <f>'Biogenic Combustion'!P189</f>
        <v>4.9276799999999994E-3</v>
      </c>
      <c r="P72" s="436">
        <f>'Biogenic Combustion'!Q189</f>
        <v>4.6812959999999994E-2</v>
      </c>
      <c r="Q72" s="436">
        <f>'Biogenic Combustion'!R189</f>
        <v>0.41187191999999995</v>
      </c>
      <c r="R72" s="436">
        <f>'Biogenic Combustion'!S189</f>
        <v>1.11324504</v>
      </c>
      <c r="S72" s="436">
        <f>'Biogenic Combustion'!T189</f>
        <v>1.4311488399999999</v>
      </c>
      <c r="T72" s="436">
        <f>'Biogenic Combustion'!U189</f>
        <v>1.1935251599999999</v>
      </c>
      <c r="U72" s="436">
        <f>'Biogenic Combustion'!V189</f>
        <v>1.3223976799999997</v>
      </c>
      <c r="V72" s="436">
        <f>'Biogenic Combustion'!W189</f>
        <v>1.6528944399999996</v>
      </c>
      <c r="W72" s="436">
        <f>'Biogenic Combustion'!X189</f>
        <v>1.5921197199999997</v>
      </c>
      <c r="X72" s="436">
        <f>'Biogenic Combustion'!Y189</f>
        <v>1.5490709599999999</v>
      </c>
      <c r="Y72" s="436">
        <f>'Biogenic Combustion'!Z189</f>
        <v>1.5730249599999999</v>
      </c>
      <c r="Z72" s="436">
        <f>'Biogenic Combustion'!AA189</f>
        <v>1.5653596799999998</v>
      </c>
      <c r="AA72" s="436">
        <f>'Biogenic Combustion'!AB189</f>
        <v>1.5889714799999997</v>
      </c>
      <c r="AB72" s="436">
        <f>'Biogenic Combustion'!AC189</f>
        <v>1.5973211599999997</v>
      </c>
      <c r="AC72" s="436">
        <f>'Biogenic Combustion'!AD189</f>
        <v>1.57904768</v>
      </c>
      <c r="AD72" s="436">
        <f>'Biogenic Combustion'!AE189</f>
        <v>1.5811008799999999</v>
      </c>
      <c r="AE72" s="436">
        <f>'Biogenic Combustion'!AF189</f>
        <v>1.5791845599999998</v>
      </c>
      <c r="AF72" s="436">
        <f>'Biogenic Combustion'!AG189</f>
        <v>1.2603910399999998</v>
      </c>
      <c r="AG72" s="436">
        <f>'Biogenic Combustion'!AH189</f>
        <v>1.4266317999999998</v>
      </c>
      <c r="AH72" s="436">
        <f>'Biogenic Combustion'!AI189</f>
        <v>1.4287534399999997</v>
      </c>
      <c r="AI72" s="436">
        <f>'Biogenic Combustion'!AJ189</f>
        <v>1.44572656</v>
      </c>
    </row>
    <row r="73" spans="1:37" x14ac:dyDescent="0.4">
      <c r="A73" s="958" t="s">
        <v>361</v>
      </c>
      <c r="B73" s="435">
        <f>'Biogenic Combustion'!C200</f>
        <v>0</v>
      </c>
      <c r="C73" s="436">
        <f>'Biogenic Combustion'!D200</f>
        <v>0</v>
      </c>
      <c r="D73" s="436">
        <f>'Biogenic Combustion'!E200</f>
        <v>0</v>
      </c>
      <c r="E73" s="436">
        <f>'Biogenic Combustion'!F200</f>
        <v>0</v>
      </c>
      <c r="F73" s="436">
        <f>'Biogenic Combustion'!G200</f>
        <v>0</v>
      </c>
      <c r="G73" s="436">
        <f>'Biogenic Combustion'!H200</f>
        <v>0</v>
      </c>
      <c r="H73" s="436">
        <f>'Biogenic Combustion'!I200</f>
        <v>0</v>
      </c>
      <c r="I73" s="436">
        <f>'Biogenic Combustion'!J200</f>
        <v>0</v>
      </c>
      <c r="J73" s="436">
        <f>'Biogenic Combustion'!K200</f>
        <v>0</v>
      </c>
      <c r="K73" s="436">
        <f>'Biogenic Combustion'!L200</f>
        <v>0</v>
      </c>
      <c r="L73" s="436">
        <f>'Biogenic Combustion'!M200</f>
        <v>0</v>
      </c>
      <c r="M73" s="436">
        <f>'Biogenic Combustion'!N200</f>
        <v>5.1687999999999994E-4</v>
      </c>
      <c r="N73" s="436">
        <f>'Biogenic Combustion'!O200</f>
        <v>8.1223999999999988E-4</v>
      </c>
      <c r="O73" s="436">
        <f>'Biogenic Combustion'!P200</f>
        <v>6.6456000000000002E-4</v>
      </c>
      <c r="P73" s="436">
        <f>'Biogenic Combustion'!Q200</f>
        <v>1.32912E-3</v>
      </c>
      <c r="Q73" s="436">
        <f>'Biogenic Combustion'!R200</f>
        <v>4.4673199999999995E-3</v>
      </c>
      <c r="R73" s="436">
        <f>'Biogenic Combustion'!S200</f>
        <v>1.2848159999999999E-2</v>
      </c>
      <c r="S73" s="436">
        <f>'Biogenic Combustion'!T200</f>
        <v>1.7426239999999999E-2</v>
      </c>
      <c r="T73" s="436">
        <f>'Biogenic Combustion'!U200</f>
        <v>1.4952599999999998E-2</v>
      </c>
      <c r="U73" s="436">
        <f>'Biogenic Combustion'!V200</f>
        <v>1.5838679999999997E-2</v>
      </c>
      <c r="V73" s="436">
        <f>'Biogenic Combustion'!W200</f>
        <v>1.281124E-2</v>
      </c>
      <c r="W73" s="436">
        <f>'Biogenic Combustion'!X200</f>
        <v>4.3454840000000002E-2</v>
      </c>
      <c r="X73" s="436">
        <f>'Biogenic Combustion'!Y200</f>
        <v>4.1978039999999994E-2</v>
      </c>
      <c r="Y73" s="436">
        <f>'Biogenic Combustion'!Z200</f>
        <v>9.3776799999999993E-2</v>
      </c>
      <c r="Z73" s="436">
        <f>'Biogenic Combustion'!AA200</f>
        <v>6.5089959999999988E-2</v>
      </c>
      <c r="AA73" s="436">
        <f>'Biogenic Combustion'!AB200</f>
        <v>6.7858959999999996E-2</v>
      </c>
      <c r="AB73" s="436">
        <f>'Biogenic Combustion'!AC200</f>
        <v>0.10245299999999999</v>
      </c>
      <c r="AC73" s="436">
        <f>'Biogenic Combustion'!AD200</f>
        <v>8.6355879999999996E-2</v>
      </c>
      <c r="AD73" s="436">
        <f>'Biogenic Combustion'!AE200</f>
        <v>7.6645919999999992E-2</v>
      </c>
      <c r="AE73" s="436">
        <f>'Biogenic Combustion'!AF200</f>
        <v>6.4351560000000002E-2</v>
      </c>
      <c r="AF73" s="436">
        <f>'Biogenic Combustion'!AG200</f>
        <v>6.9704959999999996E-2</v>
      </c>
      <c r="AG73" s="436">
        <f>'Biogenic Combustion'!AH200</f>
        <v>5.4604679999999996E-2</v>
      </c>
      <c r="AH73" s="436">
        <f>'Biogenic Combustion'!AI200</f>
        <v>5.1097279999999995E-2</v>
      </c>
      <c r="AI73" s="436">
        <f>'Biogenic Combustion'!AJ200</f>
        <v>6.9077319999999998E-2</v>
      </c>
    </row>
    <row r="74" spans="1:37" x14ac:dyDescent="0.4">
      <c r="A74" s="959" t="s">
        <v>314</v>
      </c>
      <c r="B74" s="413">
        <f>B75+B76++B77</f>
        <v>1.4598545940000001</v>
      </c>
      <c r="C74" s="414">
        <f t="shared" ref="C74:L74" si="6">C75+C76++C77</f>
        <v>1.5266397250000001</v>
      </c>
      <c r="D74" s="414">
        <f t="shared" si="6"/>
        <v>1.646216248</v>
      </c>
      <c r="E74" s="414">
        <f t="shared" si="6"/>
        <v>1.7485106620000002</v>
      </c>
      <c r="F74" s="414">
        <f t="shared" si="6"/>
        <v>1.910060334</v>
      </c>
      <c r="G74" s="414">
        <f t="shared" si="6"/>
        <v>1.830508829</v>
      </c>
      <c r="H74" s="414">
        <f t="shared" si="6"/>
        <v>1.89171134225</v>
      </c>
      <c r="I74" s="414">
        <f t="shared" si="6"/>
        <v>1.9365334247999999</v>
      </c>
      <c r="J74" s="414">
        <f t="shared" si="6"/>
        <v>1.9236398668599997</v>
      </c>
      <c r="K74" s="414">
        <f t="shared" si="6"/>
        <v>1.8926339732949997</v>
      </c>
      <c r="L74" s="414">
        <f t="shared" si="6"/>
        <v>1.8661558132949998</v>
      </c>
      <c r="M74" s="414">
        <f t="shared" ref="M74:AA74" si="7">M75+M76+M77+M78</f>
        <v>2.4160944058295222</v>
      </c>
      <c r="N74" s="414">
        <f t="shared" si="7"/>
        <v>2.5594017663342474</v>
      </c>
      <c r="O74" s="414">
        <f t="shared" si="7"/>
        <v>2.1898975667270975</v>
      </c>
      <c r="P74" s="414">
        <f t="shared" si="7"/>
        <v>2.1342491156242485</v>
      </c>
      <c r="Q74" s="414">
        <f t="shared" si="7"/>
        <v>2.7961652352009967</v>
      </c>
      <c r="R74" s="414">
        <f t="shared" si="7"/>
        <v>2.4240198388235594</v>
      </c>
      <c r="S74" s="414">
        <f t="shared" si="7"/>
        <v>3.0844169355471314</v>
      </c>
      <c r="T74" s="414">
        <f t="shared" si="7"/>
        <v>3.2657280891448561</v>
      </c>
      <c r="U74" s="414">
        <f t="shared" si="7"/>
        <v>3.1127777982653111</v>
      </c>
      <c r="V74" s="414">
        <f t="shared" si="7"/>
        <v>3.3256453469697895</v>
      </c>
      <c r="W74" s="414">
        <f t="shared" si="7"/>
        <v>3.0452483606855165</v>
      </c>
      <c r="X74" s="414">
        <f t="shared" si="7"/>
        <v>2.9641930025587442</v>
      </c>
      <c r="Y74" s="414">
        <f t="shared" si="7"/>
        <v>3.0398850769147376</v>
      </c>
      <c r="Z74" s="414">
        <f t="shared" si="7"/>
        <v>2.9895505353429255</v>
      </c>
      <c r="AA74" s="414">
        <f t="shared" si="7"/>
        <v>3.2079502160504116</v>
      </c>
      <c r="AB74" s="414">
        <f t="shared" ref="AB74:AG74" si="8">AB75+AB76+AB77+AB78</f>
        <v>2.8992057147162047</v>
      </c>
      <c r="AC74" s="414">
        <f t="shared" si="8"/>
        <v>1.9722075297188426</v>
      </c>
      <c r="AD74" s="415">
        <f t="shared" si="8"/>
        <v>2.1299674967706905</v>
      </c>
      <c r="AE74" s="414">
        <f t="shared" si="8"/>
        <v>2.02613831769062</v>
      </c>
      <c r="AF74" s="414">
        <f t="shared" si="8"/>
        <v>2.0517079667553473</v>
      </c>
      <c r="AG74" s="414">
        <f t="shared" si="8"/>
        <v>1.8870578390119175</v>
      </c>
      <c r="AH74" s="414">
        <f t="shared" ref="AH74:AI74" si="9">AH75+AH76+AH77+AH78</f>
        <v>1.9105986135582551</v>
      </c>
      <c r="AI74" s="414">
        <f t="shared" si="9"/>
        <v>1.9844392405460916</v>
      </c>
    </row>
    <row r="75" spans="1:37" x14ac:dyDescent="0.4">
      <c r="A75" s="958" t="s">
        <v>315</v>
      </c>
      <c r="B75" s="435">
        <f>'Biogenic Combustion'!C28</f>
        <v>0</v>
      </c>
      <c r="C75" s="434">
        <f>'Biogenic Combustion'!D28</f>
        <v>0</v>
      </c>
      <c r="D75" s="434">
        <f>'Biogenic Combustion'!E28</f>
        <v>0.11659339999999999</v>
      </c>
      <c r="E75" s="434">
        <f>'Biogenic Combustion'!F28</f>
        <v>0.12813079999999999</v>
      </c>
      <c r="F75" s="434">
        <f>'Biogenic Combustion'!G28</f>
        <v>0.148673</v>
      </c>
      <c r="G75" s="434">
        <f>'Biogenic Combustion'!H28</f>
        <v>0.16452519999999998</v>
      </c>
      <c r="H75" s="434">
        <f>'Biogenic Combustion'!I28</f>
        <v>0.16930899999999999</v>
      </c>
      <c r="I75" s="434">
        <f>'Biogenic Combustion'!J28</f>
        <v>0.17324859999999997</v>
      </c>
      <c r="J75" s="434">
        <f>'Biogenic Combustion'!K28</f>
        <v>0.23487519999999998</v>
      </c>
      <c r="K75" s="434">
        <f>'Biogenic Combustion'!L28</f>
        <v>0.130382</v>
      </c>
      <c r="L75" s="434">
        <f>'Biogenic Combustion'!M28</f>
        <v>0.1602104</v>
      </c>
      <c r="M75" s="434">
        <f>'Biogenic Combustion'!N28</f>
        <v>0.15880339999999998</v>
      </c>
      <c r="N75" s="434">
        <f>'Biogenic Combustion'!O28</f>
        <v>0.14482719999999999</v>
      </c>
      <c r="O75" s="434">
        <f>'Biogenic Combustion'!P28</f>
        <v>0.17709439999999999</v>
      </c>
      <c r="P75" s="434">
        <f>'Biogenic Combustion'!Q28</f>
        <v>0.1664012</v>
      </c>
      <c r="Q75" s="434">
        <f>'Biogenic Combustion'!R28</f>
        <v>0.17596880000000001</v>
      </c>
      <c r="R75" s="434">
        <f>'Biogenic Combustion'!S28</f>
        <v>0.17765719999999999</v>
      </c>
      <c r="S75" s="434">
        <f>'Biogenic Combustion'!T28</f>
        <v>0.16733919999999999</v>
      </c>
      <c r="T75" s="434">
        <f>'Biogenic Combustion'!U28</f>
        <v>0.17202919999999999</v>
      </c>
      <c r="U75" s="434">
        <f>'Biogenic Combustion'!V28</f>
        <v>0.15448859999999998</v>
      </c>
      <c r="V75" s="434">
        <f>'Biogenic Combustion'!W28</f>
        <v>0.14121590000000001</v>
      </c>
      <c r="W75" s="434">
        <f>'Biogenic Combustion'!X28</f>
        <v>0.14506169999999999</v>
      </c>
      <c r="X75" s="434">
        <f>'Biogenic Combustion'!Y28</f>
        <v>0.14360780000000001</v>
      </c>
      <c r="Y75" s="434">
        <f>'Biogenic Combustion'!Z28</f>
        <v>0.12520761679999998</v>
      </c>
      <c r="Z75" s="434">
        <f>'Biogenic Combustion'!AA28</f>
        <v>0.21133852879999998</v>
      </c>
      <c r="AA75" s="434">
        <f>'Biogenic Combustion'!AB28</f>
        <v>0.18680814039999999</v>
      </c>
      <c r="AB75" s="434">
        <f>'Biogenic Combustion'!AC28</f>
        <v>0.21047003459999997</v>
      </c>
      <c r="AC75" s="434">
        <f>'Biogenic Combustion'!AD28</f>
        <v>0.21208283179999998</v>
      </c>
      <c r="AD75" s="437">
        <f>'Biogenic Combustion'!AE28</f>
        <v>0.18445976359999999</v>
      </c>
      <c r="AE75" s="434">
        <f>'Biogenic Combustion'!AF28</f>
        <v>0.17060597259999999</v>
      </c>
      <c r="AF75" s="434">
        <f>'Biogenic Combustion'!AG28</f>
        <v>0.19508101899999999</v>
      </c>
      <c r="AG75" s="434">
        <f>'Biogenic Combustion'!AH28</f>
        <v>0.13148621359999998</v>
      </c>
      <c r="AH75" s="434">
        <f>'Biogenic Combustion'!AI28</f>
        <v>8.2290083399999991E-2</v>
      </c>
      <c r="AI75" s="434">
        <f>'Biogenic Combustion'!AJ28</f>
        <v>6.9425132000000001E-2</v>
      </c>
    </row>
    <row r="76" spans="1:37" x14ac:dyDescent="0.4">
      <c r="A76" s="958" t="s">
        <v>316</v>
      </c>
      <c r="B76" s="435">
        <f>'Biogenic Combustion'!C42</f>
        <v>1.4598545940000001</v>
      </c>
      <c r="C76" s="434">
        <f>'Biogenic Combustion'!D42</f>
        <v>1.5266397250000001</v>
      </c>
      <c r="D76" s="434">
        <f>'Biogenic Combustion'!E42</f>
        <v>1.529622848</v>
      </c>
      <c r="E76" s="434">
        <f>'Biogenic Combustion'!F42</f>
        <v>1.6165787520000001</v>
      </c>
      <c r="F76" s="434">
        <f>'Biogenic Combustion'!G42</f>
        <v>1.7524573289999998</v>
      </c>
      <c r="G76" s="434">
        <f>'Biogenic Combustion'!H42</f>
        <v>1.653617004</v>
      </c>
      <c r="H76" s="434">
        <f>'Biogenic Combustion'!I42</f>
        <v>1.707225239</v>
      </c>
      <c r="I76" s="434">
        <f>'Biogenic Combustion'!J42</f>
        <v>1.72201206</v>
      </c>
      <c r="J76" s="434">
        <f>'Biogenic Combustion'!K42</f>
        <v>1.6366270799999996</v>
      </c>
      <c r="K76" s="434">
        <f>'Biogenic Combustion'!L42</f>
        <v>1.6891967999999997</v>
      </c>
      <c r="L76" s="434">
        <f>'Biogenic Combustion'!M42</f>
        <v>1.6328902399999998</v>
      </c>
      <c r="M76" s="434">
        <f>'Biogenic Combustion'!N42</f>
        <v>1.6047225359789996</v>
      </c>
      <c r="N76" s="434">
        <f>'Biogenic Combustion'!O42</f>
        <v>1.4925689883439999</v>
      </c>
      <c r="O76" s="434">
        <f>'Biogenic Combustion'!P42</f>
        <v>1.514645534325</v>
      </c>
      <c r="P76" s="434">
        <f>'Biogenic Combustion'!Q42</f>
        <v>1.550569019835</v>
      </c>
      <c r="Q76" s="434">
        <f>'Biogenic Combustion'!R42</f>
        <v>1.5733601076720001</v>
      </c>
      <c r="R76" s="434">
        <f>'Biogenic Combustion'!S42</f>
        <v>1.5726315182000001</v>
      </c>
      <c r="S76" s="434">
        <f>'Biogenic Combustion'!T42</f>
        <v>1.4950538127999999</v>
      </c>
      <c r="T76" s="434">
        <f>'Biogenic Combustion'!U42</f>
        <v>1.6206373049</v>
      </c>
      <c r="U76" s="434">
        <f>'Biogenic Combustion'!V42</f>
        <v>1.5927308196000001</v>
      </c>
      <c r="V76" s="434">
        <f>'Biogenic Combustion'!W42</f>
        <v>1.7429429999999999</v>
      </c>
      <c r="W76" s="434">
        <f>'Biogenic Combustion'!X42</f>
        <v>1.7277246000000002</v>
      </c>
      <c r="X76" s="434">
        <f>'Biogenic Combustion'!Y42</f>
        <v>1.618303</v>
      </c>
      <c r="Y76" s="434">
        <f>'Biogenic Combustion'!Z42</f>
        <v>1.7030479999999999</v>
      </c>
      <c r="Z76" s="434">
        <f>'Biogenic Combustion'!AA42</f>
        <v>1.7152989999999999</v>
      </c>
      <c r="AA76" s="434">
        <f>'Biogenic Combustion'!AB42</f>
        <v>1.6561053999999999</v>
      </c>
      <c r="AB76" s="434">
        <f>'Biogenic Combustion'!AC42</f>
        <v>1.6287308999999999</v>
      </c>
      <c r="AC76" s="434">
        <f>'Biogenic Combustion'!AD42</f>
        <v>1.6707406</v>
      </c>
      <c r="AD76" s="434">
        <f>'Biogenic Combustion'!AE42</f>
        <v>1.6940913999999998</v>
      </c>
      <c r="AE76" s="434">
        <f>'Biogenic Combustion'!AF42</f>
        <v>1.7387703000000001</v>
      </c>
      <c r="AF76" s="434">
        <f>'Biogenic Combustion'!AG42</f>
        <v>1.5934241</v>
      </c>
      <c r="AG76" s="434">
        <f>'Biogenic Combustion'!AH42</f>
        <v>1.6504923</v>
      </c>
      <c r="AH76" s="434">
        <f>'Biogenic Combustion'!AI42</f>
        <v>1.7101503</v>
      </c>
      <c r="AI76" s="434">
        <f>'Biogenic Combustion'!AJ42</f>
        <v>1.67208</v>
      </c>
    </row>
    <row r="77" spans="1:37" x14ac:dyDescent="0.4">
      <c r="A77" s="958" t="s">
        <v>317</v>
      </c>
      <c r="B77" s="435">
        <f>'Biogenic Combustion'!C56</f>
        <v>0</v>
      </c>
      <c r="C77" s="434">
        <f>'Biogenic Combustion'!D56</f>
        <v>0</v>
      </c>
      <c r="D77" s="434">
        <f>'Biogenic Combustion'!E56</f>
        <v>0</v>
      </c>
      <c r="E77" s="434">
        <f>'Biogenic Combustion'!F56</f>
        <v>3.8011099999999999E-3</v>
      </c>
      <c r="F77" s="434">
        <f>'Biogenic Combustion'!G56</f>
        <v>8.9300049999999995E-3</v>
      </c>
      <c r="G77" s="434">
        <f>'Biogenic Combustion'!H56</f>
        <v>1.2366625000000001E-2</v>
      </c>
      <c r="H77" s="434">
        <f>'Biogenic Combustion'!I56</f>
        <v>1.5177103249999999E-2</v>
      </c>
      <c r="I77" s="434">
        <f>'Biogenic Combustion'!J56</f>
        <v>4.12727648E-2</v>
      </c>
      <c r="J77" s="434">
        <f>'Biogenic Combustion'!K56</f>
        <v>5.2137586860000001E-2</v>
      </c>
      <c r="K77" s="434">
        <f>'Biogenic Combustion'!L56</f>
        <v>7.3055173294999998E-2</v>
      </c>
      <c r="L77" s="434">
        <f>'Biogenic Combustion'!M56</f>
        <v>7.3055173294999998E-2</v>
      </c>
      <c r="M77" s="434">
        <f>'Biogenic Combustion'!N56</f>
        <v>9.3972759729999994E-2</v>
      </c>
      <c r="N77" s="434">
        <f>'Biogenic Combustion'!O56</f>
        <v>8.0305426129999996E-2</v>
      </c>
      <c r="O77" s="434">
        <f>'Biogenic Combustion'!P56</f>
        <v>9.6511328439999988E-2</v>
      </c>
      <c r="P77" s="434">
        <f>'Biogenic Combustion'!Q56</f>
        <v>8.8254276119999989E-2</v>
      </c>
      <c r="Q77" s="434">
        <f>'Biogenic Combustion'!R56</f>
        <v>9.7741117699999991E-2</v>
      </c>
      <c r="R77" s="434">
        <f>'Biogenic Combustion'!S56</f>
        <v>9.0510677499999984E-2</v>
      </c>
      <c r="S77" s="434">
        <f>'Biogenic Combustion'!T56</f>
        <v>9.5263887450000001E-2</v>
      </c>
      <c r="T77" s="434">
        <f>'Biogenic Combustion'!U56</f>
        <v>0.1033709261</v>
      </c>
      <c r="U77" s="434">
        <f>'Biogenic Combustion'!V56</f>
        <v>9.0570922489999997E-2</v>
      </c>
      <c r="V77" s="434">
        <f>'Biogenic Combustion'!W56</f>
        <v>9.3187648269999993E-2</v>
      </c>
      <c r="W77" s="434">
        <f>'Biogenic Combustion'!X56</f>
        <v>9.3507878769999997E-2</v>
      </c>
      <c r="X77" s="434">
        <f>'Biogenic Combustion'!Y56</f>
        <v>9.2718809989999984E-2</v>
      </c>
      <c r="Y77" s="434">
        <f>'Biogenic Combustion'!Z56</f>
        <v>9.6968138549999985E-2</v>
      </c>
      <c r="Z77" s="434">
        <f>'Biogenic Combustion'!AA56</f>
        <v>0.10777599603</v>
      </c>
      <c r="AA77" s="434">
        <f>'Biogenic Combustion'!AB56</f>
        <v>9.6462382639999997E-2</v>
      </c>
      <c r="AB77" s="434">
        <f>'Biogenic Combustion'!AC56</f>
        <v>0.10938646905999999</v>
      </c>
      <c r="AC77" s="434">
        <f>'Biogenic Combustion'!AD56</f>
        <v>9.3115166829999998E-2</v>
      </c>
      <c r="AD77" s="434">
        <f>'Biogenic Combustion'!AE56</f>
        <v>0.10268334175</v>
      </c>
      <c r="AE77" s="434">
        <f>'Biogenic Combustion'!AF56</f>
        <v>9.2484130499999997E-2</v>
      </c>
      <c r="AF77" s="434">
        <f>'Biogenic Combustion'!AG56</f>
        <v>9.2132814209999997E-2</v>
      </c>
      <c r="AG77" s="434">
        <f>'Biogenic Combustion'!AH56</f>
        <v>8.3574328660000002E-2</v>
      </c>
      <c r="AH77" s="434">
        <f>'Biogenic Combustion'!AI56</f>
        <v>6.5374926399999991E-2</v>
      </c>
      <c r="AI77" s="434">
        <f>'Biogenic Combustion'!AJ56</f>
        <v>5.4510312619999994E-2</v>
      </c>
    </row>
    <row r="78" spans="1:37" x14ac:dyDescent="0.4">
      <c r="A78" s="28" t="s">
        <v>318</v>
      </c>
      <c r="B78" s="178" t="str">
        <f>'Electricity Imports'!B11</f>
        <v>N/A</v>
      </c>
      <c r="C78" s="32" t="str">
        <f>'Electricity Imports'!C11</f>
        <v>N/A</v>
      </c>
      <c r="D78" s="32" t="str">
        <f>'Electricity Imports'!D11</f>
        <v>N/A</v>
      </c>
      <c r="E78" s="32" t="str">
        <f>'Electricity Imports'!E11</f>
        <v>N/A</v>
      </c>
      <c r="F78" s="32" t="str">
        <f>'Electricity Imports'!F11</f>
        <v>N/A</v>
      </c>
      <c r="G78" s="32" t="str">
        <f>'Electricity Imports'!G11</f>
        <v>N/A</v>
      </c>
      <c r="H78" s="32" t="str">
        <f>'Electricity Imports'!H11</f>
        <v>N/A</v>
      </c>
      <c r="I78" s="32" t="str">
        <f>'Electricity Imports'!I11</f>
        <v>N/A</v>
      </c>
      <c r="J78" s="32" t="str">
        <f>'Electricity Imports'!J11</f>
        <v>N/A</v>
      </c>
      <c r="K78" s="32" t="str">
        <f>'Electricity Imports'!K11</f>
        <v>N/A</v>
      </c>
      <c r="L78" s="32" t="str">
        <f>'Electricity Imports'!L11</f>
        <v>N/A</v>
      </c>
      <c r="M78" s="964">
        <f>'Electricity Imports'!M11</f>
        <v>0.55859571012052256</v>
      </c>
      <c r="N78" s="964">
        <f>'Electricity Imports'!N11</f>
        <v>0.84170015186024771</v>
      </c>
      <c r="O78" s="964">
        <f>'Electricity Imports'!O11</f>
        <v>0.40164630396209744</v>
      </c>
      <c r="P78" s="964">
        <f>'Electricity Imports'!P11</f>
        <v>0.32902461966924834</v>
      </c>
      <c r="Q78" s="964">
        <f>'Electricity Imports'!Q11</f>
        <v>0.94909520982899687</v>
      </c>
      <c r="R78" s="964">
        <f>'Electricity Imports'!R11</f>
        <v>0.58322044312355947</v>
      </c>
      <c r="S78" s="964">
        <f>'Electricity Imports'!S11</f>
        <v>1.3267600352971316</v>
      </c>
      <c r="T78" s="964">
        <f>'Electricity Imports'!T11</f>
        <v>1.369690658144856</v>
      </c>
      <c r="U78" s="964">
        <f>'Electricity Imports'!U11</f>
        <v>1.2749874561753112</v>
      </c>
      <c r="V78" s="964">
        <f>'Electricity Imports'!V11</f>
        <v>1.3482987986997899</v>
      </c>
      <c r="W78" s="964">
        <f>'Electricity Imports'!W11</f>
        <v>1.0789541819155164</v>
      </c>
      <c r="X78" s="964">
        <f>'Electricity Imports'!X11</f>
        <v>1.1095633925687443</v>
      </c>
      <c r="Y78" s="964">
        <f>'Electricity Imports'!Y11</f>
        <v>1.1146613215647374</v>
      </c>
      <c r="Z78" s="964">
        <f>'Electricity Imports'!Z11</f>
        <v>0.95513701051292543</v>
      </c>
      <c r="AA78" s="964">
        <f>'Electricity Imports'!AA11</f>
        <v>1.268574293010412</v>
      </c>
      <c r="AB78" s="964">
        <f>'Electricity Imports'!AB11</f>
        <v>0.95061831105620487</v>
      </c>
      <c r="AC78" s="964">
        <f>'Electricity Imports'!AC11</f>
        <v>-3.7310689111573763E-3</v>
      </c>
      <c r="AD78" s="964">
        <f>'Electricity Imports'!AD11</f>
        <v>0.14873299142069088</v>
      </c>
      <c r="AE78" s="964">
        <f>'Electricity Imports'!AE11</f>
        <v>2.4277914590619825E-2</v>
      </c>
      <c r="AF78" s="964">
        <f>'Electricity Imports'!AF11</f>
        <v>0.17107003354534717</v>
      </c>
      <c r="AG78" s="964">
        <f>'Electricity Imports'!AG11</f>
        <v>2.1504996751917593E-2</v>
      </c>
      <c r="AH78" s="964">
        <f>'Electricity Imports'!AH11</f>
        <v>5.2783303758255067E-2</v>
      </c>
      <c r="AI78" s="964">
        <f>'Electricity Imports'!AI11</f>
        <v>0.18842379592609182</v>
      </c>
    </row>
    <row r="79" spans="1:37" s="42" customFormat="1" x14ac:dyDescent="0.4">
      <c r="A79" s="416" t="s">
        <v>319</v>
      </c>
      <c r="B79" s="961">
        <f t="shared" ref="B79:T79" si="10">B81</f>
        <v>0</v>
      </c>
      <c r="C79" s="962">
        <f t="shared" si="10"/>
        <v>0</v>
      </c>
      <c r="D79" s="962">
        <f t="shared" si="10"/>
        <v>0</v>
      </c>
      <c r="E79" s="962">
        <f t="shared" si="10"/>
        <v>0</v>
      </c>
      <c r="F79" s="962">
        <f t="shared" si="10"/>
        <v>0</v>
      </c>
      <c r="G79" s="962">
        <f t="shared" si="10"/>
        <v>0</v>
      </c>
      <c r="H79" s="962">
        <f t="shared" si="10"/>
        <v>0</v>
      </c>
      <c r="I79" s="962">
        <f t="shared" si="10"/>
        <v>0</v>
      </c>
      <c r="J79" s="962">
        <f t="shared" si="10"/>
        <v>0</v>
      </c>
      <c r="K79" s="962">
        <f t="shared" si="10"/>
        <v>0</v>
      </c>
      <c r="L79" s="962">
        <f t="shared" si="10"/>
        <v>0</v>
      </c>
      <c r="M79" s="962">
        <f t="shared" si="10"/>
        <v>0</v>
      </c>
      <c r="N79" s="962">
        <f t="shared" si="10"/>
        <v>0</v>
      </c>
      <c r="O79" s="962">
        <f t="shared" si="10"/>
        <v>0</v>
      </c>
      <c r="P79" s="962">
        <f t="shared" si="10"/>
        <v>0</v>
      </c>
      <c r="Q79" s="962">
        <f t="shared" si="10"/>
        <v>4.0229403223204334E-3</v>
      </c>
      <c r="R79" s="962">
        <f t="shared" si="10"/>
        <v>2.1040346346893218E-3</v>
      </c>
      <c r="S79" s="962">
        <f t="shared" si="10"/>
        <v>1.2048346088596121E-3</v>
      </c>
      <c r="T79" s="962">
        <f t="shared" si="10"/>
        <v>9.0003656428651346E-4</v>
      </c>
      <c r="U79" s="962">
        <f>U81</f>
        <v>8.3103758178955595E-4</v>
      </c>
      <c r="V79" s="962">
        <f t="shared" ref="V79:X79" si="11">V80+V81</f>
        <v>0.12703851581974127</v>
      </c>
      <c r="W79" s="962">
        <f t="shared" si="11"/>
        <v>0.11573090386183542</v>
      </c>
      <c r="X79" s="962">
        <f t="shared" si="11"/>
        <v>0.10589201631218839</v>
      </c>
      <c r="Y79" s="962">
        <f t="shared" ref="Y79:AD79" si="12">Y80+Y81</f>
        <v>0.11311639572537842</v>
      </c>
      <c r="Z79" s="962">
        <f t="shared" si="12"/>
        <v>9.0843582483410942E-2</v>
      </c>
      <c r="AA79" s="962">
        <f t="shared" si="12"/>
        <v>2.5207599175241079E-2</v>
      </c>
      <c r="AB79" s="962">
        <f t="shared" si="12"/>
        <v>3.2276667541599829E-2</v>
      </c>
      <c r="AC79" s="962">
        <f t="shared" si="12"/>
        <v>3.0460383440444098E-2</v>
      </c>
      <c r="AD79" s="963">
        <f t="shared" si="12"/>
        <v>2.9175669389713256E-2</v>
      </c>
      <c r="AE79" s="962">
        <f t="shared" ref="AE79:AF79" si="13">AE80+AE81</f>
        <v>2.7752398721167956E-2</v>
      </c>
      <c r="AF79" s="962">
        <f t="shared" si="13"/>
        <v>2.8990015868637017E-2</v>
      </c>
      <c r="AG79" s="962">
        <f t="shared" ref="AG79:AH79" si="14">AG80+AG81</f>
        <v>2.9181942233760409E-2</v>
      </c>
      <c r="AH79" s="962">
        <f t="shared" si="14"/>
        <v>2.7232482256013157E-2</v>
      </c>
      <c r="AI79" s="962">
        <f t="shared" ref="AI79" si="15">AI80+AI81</f>
        <v>1.8775632707999999E-2</v>
      </c>
      <c r="AJ79" s="3"/>
      <c r="AK79" s="3"/>
    </row>
    <row r="80" spans="1:37" x14ac:dyDescent="0.4">
      <c r="A80" s="28" t="s">
        <v>998</v>
      </c>
      <c r="B80" s="178" t="str">
        <f>'Solid Waste'!B37</f>
        <v>N/A</v>
      </c>
      <c r="C80" s="198" t="str">
        <f>'Solid Waste'!C37</f>
        <v>N/A</v>
      </c>
      <c r="D80" s="198" t="str">
        <f>'Solid Waste'!D37</f>
        <v>N/A</v>
      </c>
      <c r="E80" s="198" t="str">
        <f>'Solid Waste'!E37</f>
        <v>N/A</v>
      </c>
      <c r="F80" s="198" t="str">
        <f>'Solid Waste'!F37</f>
        <v>N/A</v>
      </c>
      <c r="G80" s="198" t="str">
        <f>'Solid Waste'!G37</f>
        <v>N/A</v>
      </c>
      <c r="H80" s="198" t="str">
        <f>'Solid Waste'!H37</f>
        <v>N/A</v>
      </c>
      <c r="I80" s="198" t="str">
        <f>'Solid Waste'!I37</f>
        <v>N/A</v>
      </c>
      <c r="J80" s="198" t="str">
        <f>'Solid Waste'!J37</f>
        <v>N/A</v>
      </c>
      <c r="K80" s="198" t="str">
        <f>'Solid Waste'!K37</f>
        <v>N/A</v>
      </c>
      <c r="L80" s="198" t="str">
        <f>'Solid Waste'!L37</f>
        <v>N/A</v>
      </c>
      <c r="M80" s="198" t="str">
        <f>'Solid Waste'!M37</f>
        <v>N/A</v>
      </c>
      <c r="N80" s="198" t="str">
        <f>'Solid Waste'!N37</f>
        <v>N/A</v>
      </c>
      <c r="O80" s="198" t="str">
        <f>'Solid Waste'!O37</f>
        <v>N/A</v>
      </c>
      <c r="P80" s="198" t="str">
        <f>'Solid Waste'!P37</f>
        <v>N/A</v>
      </c>
      <c r="Q80" s="32" t="str">
        <f>'Solid Waste'!Q37</f>
        <v>N/A</v>
      </c>
      <c r="R80" s="32" t="str">
        <f>'Solid Waste'!R37</f>
        <v>N/A</v>
      </c>
      <c r="S80" s="32" t="str">
        <f>'Solid Waste'!S37</f>
        <v>N/A</v>
      </c>
      <c r="T80" s="32" t="str">
        <f>'Solid Waste'!T37</f>
        <v>N/A</v>
      </c>
      <c r="U80" s="32" t="str">
        <f>'Solid Waste'!U37</f>
        <v>N/A</v>
      </c>
      <c r="V80" s="422">
        <f>'Solid Waste'!V37</f>
        <v>0.12526950000000001</v>
      </c>
      <c r="W80" s="422">
        <f>'Solid Waste'!W37</f>
        <v>0.11466989999999999</v>
      </c>
      <c r="X80" s="422">
        <f>'Solid Waste'!X37</f>
        <v>0.10458160000000001</v>
      </c>
      <c r="Y80" s="422">
        <f>'Solid Waste'!Y37</f>
        <v>0.11190853491</v>
      </c>
      <c r="Z80" s="422">
        <f>'Solid Waste'!Z37</f>
        <v>8.9273399999999989E-2</v>
      </c>
      <c r="AA80" s="422">
        <f>'Solid Waste'!AA37</f>
        <v>2.4317800000000001E-2</v>
      </c>
      <c r="AB80" s="422">
        <f>'Solid Waste'!AB37</f>
        <v>3.08101E-2</v>
      </c>
      <c r="AC80" s="422">
        <f>'Solid Waste'!AC37</f>
        <v>2.9499000000000001E-2</v>
      </c>
      <c r="AD80" s="438">
        <f>'Solid Waste'!AD37</f>
        <v>2.8656999999999998E-2</v>
      </c>
      <c r="AE80" s="422">
        <f>'Solid Waste'!AE37</f>
        <v>2.6148000000000001E-2</v>
      </c>
      <c r="AF80" s="422">
        <f>'Solid Waste'!AF37</f>
        <v>2.8234099999999998E-2</v>
      </c>
      <c r="AG80" s="422">
        <f>'Solid Waste'!AG37</f>
        <v>2.8145799999999999E-2</v>
      </c>
      <c r="AH80" s="422">
        <f>'Solid Waste'!AH37</f>
        <v>2.6423499999999999E-2</v>
      </c>
      <c r="AI80" s="422">
        <f>'Solid Waste'!AI37</f>
        <v>1.8073499999999999E-2</v>
      </c>
    </row>
    <row r="81" spans="1:37" ht="16.5" thickBot="1" x14ac:dyDescent="0.45">
      <c r="A81" s="94" t="s">
        <v>320</v>
      </c>
      <c r="B81" s="187">
        <f>'Biogenic Combustion'!C211</f>
        <v>0</v>
      </c>
      <c r="C81" s="161">
        <f>'Biogenic Combustion'!D211</f>
        <v>0</v>
      </c>
      <c r="D81" s="161">
        <f>'Biogenic Combustion'!E211</f>
        <v>0</v>
      </c>
      <c r="E81" s="161">
        <f>'Biogenic Combustion'!F211</f>
        <v>0</v>
      </c>
      <c r="F81" s="161">
        <f>'Biogenic Combustion'!G211</f>
        <v>0</v>
      </c>
      <c r="G81" s="161">
        <f>'Biogenic Combustion'!H211</f>
        <v>0</v>
      </c>
      <c r="H81" s="161">
        <f>'Biogenic Combustion'!I211</f>
        <v>0</v>
      </c>
      <c r="I81" s="161">
        <f>'Biogenic Combustion'!J211</f>
        <v>0</v>
      </c>
      <c r="J81" s="161">
        <f>'Biogenic Combustion'!K211</f>
        <v>0</v>
      </c>
      <c r="K81" s="161">
        <f>'Biogenic Combustion'!L211</f>
        <v>0</v>
      </c>
      <c r="L81" s="161">
        <f>'Biogenic Combustion'!M211</f>
        <v>0</v>
      </c>
      <c r="M81" s="161">
        <f>'Biogenic Combustion'!N211</f>
        <v>0</v>
      </c>
      <c r="N81" s="161">
        <f>'Biogenic Combustion'!O211</f>
        <v>0</v>
      </c>
      <c r="O81" s="161">
        <f>'Biogenic Combustion'!P211</f>
        <v>0</v>
      </c>
      <c r="P81" s="161">
        <f>'Biogenic Combustion'!Q211</f>
        <v>0</v>
      </c>
      <c r="Q81" s="439">
        <f>'Biogenic Combustion'!R211</f>
        <v>4.0229403223204334E-3</v>
      </c>
      <c r="R81" s="439">
        <f>'Biogenic Combustion'!S211</f>
        <v>2.1040346346893218E-3</v>
      </c>
      <c r="S81" s="439">
        <f>'Biogenic Combustion'!T211</f>
        <v>1.2048346088596121E-3</v>
      </c>
      <c r="T81" s="439">
        <f>'Biogenic Combustion'!U211</f>
        <v>9.0003656428651346E-4</v>
      </c>
      <c r="U81" s="439">
        <f>'Biogenic Combustion'!V211</f>
        <v>8.3103758178955595E-4</v>
      </c>
      <c r="V81" s="439">
        <f>'Biogenic Combustion'!W211</f>
        <v>1.7690158197412563E-3</v>
      </c>
      <c r="W81" s="439">
        <f>'Biogenic Combustion'!X211</f>
        <v>1.0610038618354221E-3</v>
      </c>
      <c r="X81" s="439">
        <f>'Biogenic Combustion'!Y211</f>
        <v>1.3104163121883841E-3</v>
      </c>
      <c r="Y81" s="439">
        <f>'Biogenic Combustion'!Z211</f>
        <v>1.2078608153784198E-3</v>
      </c>
      <c r="Z81" s="439">
        <f>'Biogenic Combustion'!AA211</f>
        <v>1.5701824834109515E-3</v>
      </c>
      <c r="AA81" s="439">
        <f>'Biogenic Combustion'!AB211</f>
        <v>8.8979917524108004E-4</v>
      </c>
      <c r="AB81" s="439">
        <f>'Biogenic Combustion'!AC211</f>
        <v>1.4665675415998316E-3</v>
      </c>
      <c r="AC81" s="439">
        <f>'Biogenic Combustion'!AD211</f>
        <v>9.6138344044409765E-4</v>
      </c>
      <c r="AD81" s="440">
        <f>'Biogenic Combustion'!AE211</f>
        <v>5.1866938971325855E-4</v>
      </c>
      <c r="AE81" s="439">
        <f>'Biogenic Combustion'!AF211</f>
        <v>1.6043987211679543E-3</v>
      </c>
      <c r="AF81" s="439">
        <f>'Biogenic Combustion'!AG211</f>
        <v>7.5591586863701888E-4</v>
      </c>
      <c r="AG81" s="439">
        <f>'Biogenic Combustion'!AH211</f>
        <v>1.0361422337604115E-3</v>
      </c>
      <c r="AH81" s="439">
        <f>'Biogenic Combustion'!AI211</f>
        <v>8.0898225601315715E-4</v>
      </c>
      <c r="AI81" s="439">
        <f>'Biogenic Combustion'!AJ211</f>
        <v>7.0213270799999994E-4</v>
      </c>
    </row>
    <row r="82" spans="1:37" s="28" customFormat="1" x14ac:dyDescent="0.4">
      <c r="A82" s="108" t="s">
        <v>321</v>
      </c>
      <c r="B82" s="417">
        <f t="shared" ref="B82:Y82" si="16">B83</f>
        <v>1.0045260009169705E-2</v>
      </c>
      <c r="C82" s="418">
        <f t="shared" si="16"/>
        <v>1.034217540746387E-2</v>
      </c>
      <c r="D82" s="418">
        <f t="shared" si="16"/>
        <v>9.8943075985457995E-3</v>
      </c>
      <c r="E82" s="418">
        <f t="shared" si="16"/>
        <v>9.3713726985963832E-3</v>
      </c>
      <c r="F82" s="418">
        <f t="shared" si="16"/>
        <v>9.2998837348837807E-3</v>
      </c>
      <c r="G82" s="418">
        <f t="shared" si="16"/>
        <v>9.3495665095286243E-3</v>
      </c>
      <c r="H82" s="418">
        <f t="shared" si="16"/>
        <v>7.6487437083537693E-3</v>
      </c>
      <c r="I82" s="418">
        <f t="shared" si="16"/>
        <v>5.5731254919646972E-3</v>
      </c>
      <c r="J82" s="418">
        <f t="shared" si="16"/>
        <v>5.2028231388299307E-3</v>
      </c>
      <c r="K82" s="418">
        <f t="shared" si="16"/>
        <v>5.2350752641609263E-3</v>
      </c>
      <c r="L82" s="418">
        <f t="shared" si="16"/>
        <v>3.5761025597463867E-3</v>
      </c>
      <c r="M82" s="418">
        <f t="shared" si="16"/>
        <v>2.0433256422017344E-3</v>
      </c>
      <c r="N82" s="418">
        <f t="shared" si="16"/>
        <v>3.7284451447588828E-3</v>
      </c>
      <c r="O82" s="418">
        <f t="shared" si="16"/>
        <v>5.8823913511462491E-3</v>
      </c>
      <c r="P82" s="418">
        <f t="shared" si="16"/>
        <v>5.0475372021645017E-3</v>
      </c>
      <c r="Q82" s="418">
        <f t="shared" si="16"/>
        <v>5.0911462141383272E-3</v>
      </c>
      <c r="R82" s="418">
        <f t="shared" si="16"/>
        <v>4.2730718656465412E-3</v>
      </c>
      <c r="S82" s="418">
        <f t="shared" si="16"/>
        <v>3.9093853918171183E-3</v>
      </c>
      <c r="T82" s="418">
        <f t="shared" si="16"/>
        <v>3.9544994119445126E-3</v>
      </c>
      <c r="U82" s="418">
        <f t="shared" si="16"/>
        <v>4.1547326310133305E-3</v>
      </c>
      <c r="V82" s="418">
        <f t="shared" si="16"/>
        <v>9.9247600000000005E-2</v>
      </c>
      <c r="W82" s="418">
        <f t="shared" si="16"/>
        <v>4.8098000000000002E-2</v>
      </c>
      <c r="X82" s="418">
        <f t="shared" si="16"/>
        <v>4.8571000000000003E-2</v>
      </c>
      <c r="Y82" s="418">
        <f t="shared" si="16"/>
        <v>6.4255371800000002E-2</v>
      </c>
      <c r="Z82" s="418">
        <f>Z83</f>
        <v>6.8777600000000008E-2</v>
      </c>
      <c r="AA82" s="418">
        <f t="shared" ref="AA82:AI82" si="17">AA83</f>
        <v>1.4437439999999998E-3</v>
      </c>
      <c r="AB82" s="418">
        <f t="shared" si="17"/>
        <v>1.3063872000000001E-3</v>
      </c>
      <c r="AC82" s="418">
        <f t="shared" si="17"/>
        <v>1.2408720000000001E-3</v>
      </c>
      <c r="AD82" s="418">
        <f t="shared" si="17"/>
        <v>1.217632E-3</v>
      </c>
      <c r="AE82" s="418">
        <f t="shared" si="17"/>
        <v>1.2165279999999999E-3</v>
      </c>
      <c r="AF82" s="418">
        <f t="shared" si="17"/>
        <v>1.0889880000000002E-3</v>
      </c>
      <c r="AG82" s="418">
        <f t="shared" si="17"/>
        <v>7.0847200000000003E-4</v>
      </c>
      <c r="AH82" s="418">
        <f t="shared" si="17"/>
        <v>6.5674000000000006E-4</v>
      </c>
      <c r="AI82" s="418">
        <f t="shared" si="17"/>
        <v>5.9945199999999999E-4</v>
      </c>
      <c r="AJ82" s="3"/>
      <c r="AK82" s="3"/>
    </row>
    <row r="83" spans="1:37" s="28" customFormat="1" x14ac:dyDescent="0.4">
      <c r="A83" s="419" t="s">
        <v>322</v>
      </c>
      <c r="B83" s="420">
        <f>'Solid Waste'!B36</f>
        <v>1.0045260009169705E-2</v>
      </c>
      <c r="C83" s="421">
        <f>'Solid Waste'!C36</f>
        <v>1.034217540746387E-2</v>
      </c>
      <c r="D83" s="421">
        <f>'Solid Waste'!D36</f>
        <v>9.8943075985457995E-3</v>
      </c>
      <c r="E83" s="421">
        <f>'Solid Waste'!E36</f>
        <v>9.3713726985963832E-3</v>
      </c>
      <c r="F83" s="421">
        <f>'Solid Waste'!F36</f>
        <v>9.2998837348837807E-3</v>
      </c>
      <c r="G83" s="421">
        <f>'Solid Waste'!G36</f>
        <v>9.3495665095286243E-3</v>
      </c>
      <c r="H83" s="421">
        <f>'Solid Waste'!H36</f>
        <v>7.6487437083537693E-3</v>
      </c>
      <c r="I83" s="421">
        <f>'Solid Waste'!I36</f>
        <v>5.5731254919646972E-3</v>
      </c>
      <c r="J83" s="421">
        <f>'Solid Waste'!J36</f>
        <v>5.2028231388299307E-3</v>
      </c>
      <c r="K83" s="421">
        <f>'Solid Waste'!K36</f>
        <v>5.2350752641609263E-3</v>
      </c>
      <c r="L83" s="421">
        <f>'Solid Waste'!L36</f>
        <v>3.5761025597463867E-3</v>
      </c>
      <c r="M83" s="421">
        <f>'Solid Waste'!M36</f>
        <v>2.0433256422017344E-3</v>
      </c>
      <c r="N83" s="421">
        <f>'Solid Waste'!N36</f>
        <v>3.7284451447588828E-3</v>
      </c>
      <c r="O83" s="421">
        <f>'Solid Waste'!O36</f>
        <v>5.8823913511462491E-3</v>
      </c>
      <c r="P83" s="421">
        <f>'Solid Waste'!P36</f>
        <v>5.0475372021645017E-3</v>
      </c>
      <c r="Q83" s="421">
        <f>'Solid Waste'!Q36</f>
        <v>5.0911462141383272E-3</v>
      </c>
      <c r="R83" s="421">
        <f>'Solid Waste'!R36</f>
        <v>4.2730718656465412E-3</v>
      </c>
      <c r="S83" s="421">
        <f>'Solid Waste'!S36</f>
        <v>3.9093853918171183E-3</v>
      </c>
      <c r="T83" s="421">
        <f>'Solid Waste'!T36</f>
        <v>3.9544994119445126E-3</v>
      </c>
      <c r="U83" s="421">
        <f>'Solid Waste'!U36</f>
        <v>4.1547326310133305E-3</v>
      </c>
      <c r="V83" s="421">
        <f>'Solid Waste'!V36</f>
        <v>9.9247600000000005E-2</v>
      </c>
      <c r="W83" s="421">
        <f>'Solid Waste'!W36</f>
        <v>4.8098000000000002E-2</v>
      </c>
      <c r="X83" s="421">
        <f>'Solid Waste'!X36</f>
        <v>4.8571000000000003E-2</v>
      </c>
      <c r="Y83" s="421">
        <f>'Solid Waste'!Y36</f>
        <v>6.4255371800000002E-2</v>
      </c>
      <c r="Z83" s="421">
        <f>'Solid Waste'!Z36</f>
        <v>6.8777600000000008E-2</v>
      </c>
      <c r="AA83" s="421">
        <f>'Solid Waste'!AA36</f>
        <v>1.4437439999999998E-3</v>
      </c>
      <c r="AB83" s="421">
        <f>'Solid Waste'!AB36</f>
        <v>1.3063872000000001E-3</v>
      </c>
      <c r="AC83" s="421">
        <f>'Solid Waste'!AC36</f>
        <v>1.2408720000000001E-3</v>
      </c>
      <c r="AD83" s="421">
        <f>'Solid Waste'!AD36</f>
        <v>1.217632E-3</v>
      </c>
      <c r="AE83" s="421">
        <f>'Solid Waste'!AE36</f>
        <v>1.2165279999999999E-3</v>
      </c>
      <c r="AF83" s="421">
        <f>'Solid Waste'!AF36</f>
        <v>1.0889880000000002E-3</v>
      </c>
      <c r="AG83" s="421">
        <f>'Solid Waste'!AG36</f>
        <v>7.0847200000000003E-4</v>
      </c>
      <c r="AH83" s="421">
        <f>'Solid Waste'!AH36</f>
        <v>6.5674000000000006E-4</v>
      </c>
      <c r="AI83" s="421">
        <f>'Solid Waste'!AI36</f>
        <v>5.9945199999999999E-4</v>
      </c>
      <c r="AJ83" s="3"/>
      <c r="AK83" s="3"/>
    </row>
    <row r="84" spans="1:37" x14ac:dyDescent="0.4">
      <c r="A84" s="108" t="s">
        <v>323</v>
      </c>
      <c r="B84" s="435">
        <f t="shared" ref="B84:AI84" si="18">B59+B82</f>
        <v>4.0331477550411696</v>
      </c>
      <c r="C84" s="434">
        <f t="shared" si="18"/>
        <v>4.2021484873274639</v>
      </c>
      <c r="D84" s="434">
        <f t="shared" si="18"/>
        <v>4.4167320275985462</v>
      </c>
      <c r="E84" s="434">
        <f t="shared" si="18"/>
        <v>4.6152929610985964</v>
      </c>
      <c r="F84" s="434">
        <f t="shared" si="18"/>
        <v>4.7227850329748833</v>
      </c>
      <c r="G84" s="434">
        <f t="shared" si="18"/>
        <v>4.7382463910055286</v>
      </c>
      <c r="H84" s="434">
        <f t="shared" si="18"/>
        <v>4.881824888958354</v>
      </c>
      <c r="I84" s="434">
        <f t="shared" si="18"/>
        <v>4.4032391002919633</v>
      </c>
      <c r="J84" s="434">
        <f t="shared" si="18"/>
        <v>3.9897496879988297</v>
      </c>
      <c r="K84" s="434">
        <f t="shared" si="18"/>
        <v>3.9890299085591603</v>
      </c>
      <c r="L84" s="434">
        <f t="shared" si="18"/>
        <v>4.0807742618547458</v>
      </c>
      <c r="M84" s="434">
        <f t="shared" si="18"/>
        <v>4.1860630114717239</v>
      </c>
      <c r="N84" s="434">
        <f t="shared" si="18"/>
        <v>4.2073251014790065</v>
      </c>
      <c r="O84" s="434">
        <f t="shared" si="18"/>
        <v>3.9045976480782438</v>
      </c>
      <c r="P84" s="434">
        <f t="shared" si="18"/>
        <v>3.9847368728264132</v>
      </c>
      <c r="Q84" s="434">
        <f t="shared" si="18"/>
        <v>4.0000274597378143</v>
      </c>
      <c r="R84" s="434">
        <f t="shared" si="18"/>
        <v>4.3689805078969774</v>
      </c>
      <c r="S84" s="434">
        <f t="shared" si="18"/>
        <v>5.408726003438761</v>
      </c>
      <c r="T84" s="434">
        <f t="shared" si="18"/>
        <v>5.3718476348417683</v>
      </c>
      <c r="U84" s="434">
        <f t="shared" si="18"/>
        <v>5.9886325851951661</v>
      </c>
      <c r="V84" s="434">
        <f t="shared" si="18"/>
        <v>6.984090885358559</v>
      </c>
      <c r="W84" s="434">
        <f t="shared" si="18"/>
        <v>6.7883508460674538</v>
      </c>
      <c r="X84" s="434">
        <f t="shared" si="18"/>
        <v>6.4626441934110916</v>
      </c>
      <c r="Y84" s="434">
        <f t="shared" si="18"/>
        <v>6.9644537397351511</v>
      </c>
      <c r="Z84" s="434">
        <f t="shared" si="18"/>
        <v>6.8178284439328536</v>
      </c>
      <c r="AA84" s="434">
        <f t="shared" si="18"/>
        <v>6.8562536849885962</v>
      </c>
      <c r="AB84" s="434">
        <f t="shared" si="18"/>
        <v>6.4218858880034704</v>
      </c>
      <c r="AC84" s="434">
        <f t="shared" si="18"/>
        <v>5.0707475108515849</v>
      </c>
      <c r="AD84" s="437">
        <f t="shared" si="18"/>
        <v>5.171366686967275</v>
      </c>
      <c r="AE84" s="434">
        <f t="shared" si="18"/>
        <v>5.2514817450472764</v>
      </c>
      <c r="AF84" s="434">
        <f t="shared" si="18"/>
        <v>4.9453162230821288</v>
      </c>
      <c r="AG84" s="434">
        <f t="shared" si="18"/>
        <v>4.9328166986501554</v>
      </c>
      <c r="AH84" s="434">
        <f t="shared" si="18"/>
        <v>5.2162135876104676</v>
      </c>
      <c r="AI84" s="434">
        <f t="shared" si="18"/>
        <v>5.1537539403255037</v>
      </c>
    </row>
    <row r="85" spans="1:37" x14ac:dyDescent="0.4">
      <c r="A85" s="422" t="s">
        <v>1063</v>
      </c>
      <c r="B85" s="422"/>
      <c r="C85" s="422"/>
      <c r="D85" s="422"/>
      <c r="E85" s="422"/>
      <c r="F85" s="422"/>
      <c r="G85" s="422"/>
      <c r="H85" s="422"/>
      <c r="I85" s="422"/>
      <c r="J85" s="422"/>
      <c r="K85" s="422"/>
      <c r="L85" s="422"/>
      <c r="M85" s="422"/>
      <c r="N85" s="422"/>
      <c r="O85" s="422"/>
      <c r="P85" s="422"/>
      <c r="Q85" s="422"/>
      <c r="R85" s="422"/>
      <c r="S85" s="422"/>
      <c r="T85" s="422"/>
      <c r="U85" s="422"/>
      <c r="V85" s="422"/>
      <c r="W85" s="422"/>
      <c r="X85" s="422"/>
      <c r="Y85" s="422"/>
      <c r="Z85" s="422"/>
      <c r="AA85" s="422"/>
    </row>
    <row r="86" spans="1:37" x14ac:dyDescent="0.4">
      <c r="A86" s="108"/>
      <c r="B86" s="422"/>
      <c r="C86" s="422"/>
      <c r="D86" s="422"/>
      <c r="E86" s="422"/>
      <c r="F86" s="422"/>
      <c r="G86" s="422"/>
      <c r="H86" s="422"/>
      <c r="I86" s="422"/>
      <c r="J86" s="422"/>
      <c r="K86" s="422"/>
      <c r="L86" s="422"/>
      <c r="M86" s="422"/>
      <c r="N86" s="422"/>
      <c r="O86" s="422"/>
      <c r="P86" s="422"/>
      <c r="Q86" s="422"/>
      <c r="R86" s="422"/>
      <c r="S86" s="422"/>
      <c r="T86" s="422"/>
      <c r="U86" s="422"/>
      <c r="V86" s="422"/>
      <c r="W86" s="422"/>
      <c r="X86" s="422"/>
      <c r="Y86" s="422"/>
      <c r="Z86" s="422"/>
      <c r="AA86" s="422"/>
    </row>
    <row r="87" spans="1:37" x14ac:dyDescent="0.4">
      <c r="A87" s="402" t="s">
        <v>950</v>
      </c>
      <c r="B87" s="422"/>
      <c r="C87" s="422"/>
      <c r="D87" s="422"/>
      <c r="E87" s="422"/>
      <c r="F87" s="422"/>
      <c r="G87" s="422"/>
      <c r="H87" s="422"/>
      <c r="I87" s="422"/>
      <c r="J87" s="422"/>
      <c r="K87" s="422"/>
      <c r="L87" s="422"/>
      <c r="M87" s="422"/>
      <c r="N87" s="422"/>
      <c r="O87" s="422"/>
      <c r="P87" s="422"/>
      <c r="Q87" s="422"/>
      <c r="R87" s="422"/>
      <c r="S87" s="422"/>
      <c r="T87" s="422"/>
      <c r="U87" s="422"/>
      <c r="V87" s="422"/>
      <c r="W87" s="422"/>
      <c r="X87" s="422"/>
      <c r="Y87" s="422"/>
      <c r="Z87" s="422"/>
      <c r="AA87" s="422"/>
    </row>
    <row r="88" spans="1:37" x14ac:dyDescent="0.4">
      <c r="A88" s="108"/>
      <c r="B88" s="422"/>
      <c r="C88" s="422"/>
      <c r="D88" s="422"/>
      <c r="E88" s="422"/>
      <c r="F88" s="422"/>
      <c r="G88" s="422"/>
      <c r="H88" s="422"/>
      <c r="I88" s="422"/>
      <c r="J88" s="422"/>
      <c r="K88" s="422"/>
      <c r="L88" s="422"/>
      <c r="M88" s="422"/>
      <c r="N88" s="422"/>
      <c r="O88" s="422"/>
      <c r="P88" s="422"/>
      <c r="Q88" s="422"/>
      <c r="R88" s="422"/>
      <c r="S88" s="422"/>
      <c r="T88" s="422"/>
      <c r="U88" s="422"/>
      <c r="V88" s="422"/>
      <c r="W88" s="422"/>
      <c r="X88" s="422"/>
      <c r="Y88" s="422"/>
      <c r="Z88" s="422"/>
      <c r="AA88" s="422"/>
    </row>
    <row r="89" spans="1:37" ht="21" customHeight="1" thickBot="1" x14ac:dyDescent="0.5">
      <c r="A89" s="90" t="s">
        <v>1588</v>
      </c>
      <c r="B89" s="422"/>
      <c r="C89" s="422"/>
      <c r="D89" s="422"/>
      <c r="E89" s="422"/>
      <c r="F89" s="422"/>
      <c r="G89" s="422"/>
      <c r="H89" s="422"/>
      <c r="I89" s="422"/>
      <c r="J89" s="422"/>
      <c r="K89" s="422"/>
      <c r="L89" s="422"/>
      <c r="M89" s="422"/>
      <c r="N89" s="422"/>
      <c r="O89" s="422"/>
      <c r="P89" s="422"/>
      <c r="Q89" s="422"/>
      <c r="R89" s="422"/>
      <c r="S89" s="422"/>
      <c r="T89" s="422"/>
      <c r="U89" s="422"/>
      <c r="V89" s="422"/>
      <c r="W89" s="422"/>
      <c r="X89" s="422"/>
      <c r="Y89" s="422"/>
      <c r="Z89" s="422"/>
      <c r="AA89" s="422"/>
    </row>
    <row r="90" spans="1:37" s="60" customFormat="1" ht="15.75" customHeight="1" thickBot="1" x14ac:dyDescent="0.45">
      <c r="A90" s="443" t="s">
        <v>670</v>
      </c>
      <c r="B90" s="141" t="s">
        <v>391</v>
      </c>
      <c r="C90" s="142" t="s">
        <v>392</v>
      </c>
      <c r="D90" s="142" t="s">
        <v>393</v>
      </c>
      <c r="E90" s="142" t="s">
        <v>394</v>
      </c>
      <c r="F90" s="142" t="s">
        <v>395</v>
      </c>
      <c r="G90" s="142" t="s">
        <v>396</v>
      </c>
      <c r="H90" s="142" t="s">
        <v>397</v>
      </c>
      <c r="I90" s="142" t="s">
        <v>398</v>
      </c>
      <c r="J90" s="142" t="s">
        <v>399</v>
      </c>
      <c r="K90" s="142" t="s">
        <v>400</v>
      </c>
      <c r="L90" s="142" t="s">
        <v>401</v>
      </c>
      <c r="M90" s="142" t="s">
        <v>402</v>
      </c>
      <c r="N90" s="142" t="s">
        <v>403</v>
      </c>
      <c r="O90" s="142" t="s">
        <v>404</v>
      </c>
      <c r="P90" s="142" t="s">
        <v>405</v>
      </c>
      <c r="Q90" s="142" t="s">
        <v>406</v>
      </c>
      <c r="R90" s="142" t="s">
        <v>407</v>
      </c>
      <c r="S90" s="142" t="s">
        <v>408</v>
      </c>
      <c r="T90" s="142" t="s">
        <v>409</v>
      </c>
      <c r="U90" s="142" t="s">
        <v>410</v>
      </c>
      <c r="V90" s="142" t="s">
        <v>411</v>
      </c>
      <c r="W90" s="142" t="s">
        <v>412</v>
      </c>
      <c r="X90" s="142" t="s">
        <v>413</v>
      </c>
      <c r="Y90" s="142" t="s">
        <v>414</v>
      </c>
      <c r="Z90" s="142" t="s">
        <v>415</v>
      </c>
      <c r="AA90" s="142" t="s">
        <v>416</v>
      </c>
      <c r="AB90" s="142" t="s">
        <v>417</v>
      </c>
      <c r="AC90" s="142" t="s">
        <v>418</v>
      </c>
      <c r="AD90" s="142" t="s">
        <v>419</v>
      </c>
      <c r="AE90" s="142" t="s">
        <v>420</v>
      </c>
      <c r="AF90" s="142" t="s">
        <v>421</v>
      </c>
      <c r="AG90" s="142" t="s">
        <v>422</v>
      </c>
      <c r="AH90" s="142" t="s">
        <v>423</v>
      </c>
      <c r="AI90" s="142" t="s">
        <v>424</v>
      </c>
    </row>
    <row r="91" spans="1:37" x14ac:dyDescent="0.4">
      <c r="A91" s="423" t="s">
        <v>325</v>
      </c>
      <c r="B91" s="424">
        <f>'Natural and Working Lands'!B13</f>
        <v>-4.9273993984964948</v>
      </c>
      <c r="C91" s="424">
        <f>'Natural and Working Lands'!C13</f>
        <v>-4.9777432601710014</v>
      </c>
      <c r="D91" s="424">
        <f>'Natural and Working Lands'!D13</f>
        <v>-5.0281875778790006</v>
      </c>
      <c r="E91" s="424">
        <f>'Natural and Working Lands'!E13</f>
        <v>-5.1832791320092335</v>
      </c>
      <c r="F91" s="424">
        <f>'Natural and Working Lands'!F13</f>
        <v>-5.236243712739733</v>
      </c>
      <c r="G91" s="424">
        <f>'Natural and Working Lands'!G13</f>
        <v>-5.2891686637701296</v>
      </c>
      <c r="H91" s="424">
        <f>'Natural and Working Lands'!H13</f>
        <v>-5.3419756368673044</v>
      </c>
      <c r="I91" s="424">
        <f>'Natural and Working Lands'!I13</f>
        <v>-5.3949116912978026</v>
      </c>
      <c r="J91" s="424">
        <f>'Natural and Working Lands'!J13</f>
        <v>-5.4477804022615812</v>
      </c>
      <c r="K91" s="424">
        <f>'Natural and Working Lands'!K13</f>
        <v>-5.5005045812919793</v>
      </c>
      <c r="L91" s="424">
        <f>'Natural and Working Lands'!L13</f>
        <v>-5.5550936531233672</v>
      </c>
      <c r="M91" s="424">
        <f>'Natural and Working Lands'!M13</f>
        <v>-5.6096077301852878</v>
      </c>
      <c r="N91" s="424">
        <f>'Natural and Working Lands'!N13</f>
        <v>-5.6639668016740883</v>
      </c>
      <c r="O91" s="424">
        <f>'Natural and Working Lands'!O13</f>
        <v>-5.7186213709090463</v>
      </c>
      <c r="P91" s="424">
        <f>'Natural and Working Lands'!P13</f>
        <v>-5.7730735711376466</v>
      </c>
      <c r="Q91" s="424">
        <f>'Natural and Working Lands'!Q13</f>
        <v>-5.8265167762938166</v>
      </c>
      <c r="R91" s="424">
        <f>'Natural and Working Lands'!R13</f>
        <v>-5.8825843616134303</v>
      </c>
      <c r="S91" s="424">
        <f>'Natural and Working Lands'!S13</f>
        <v>-5.9372547977079275</v>
      </c>
      <c r="T91" s="424">
        <f>'Natural and Working Lands'!T13</f>
        <v>-5.99121679449825</v>
      </c>
      <c r="U91" s="424">
        <f>'Natural and Working Lands'!U13</f>
        <v>-6.0467690533634286</v>
      </c>
      <c r="V91" s="424">
        <f>'Natural and Working Lands'!V13</f>
        <v>-6.1017079985671678</v>
      </c>
      <c r="W91" s="424">
        <f>'Natural and Working Lands'!W13</f>
        <v>-6.1565133098523583</v>
      </c>
      <c r="X91" s="424">
        <f>'Natural and Working Lands'!X13</f>
        <v>-6.1906882178408615</v>
      </c>
      <c r="Y91" s="424">
        <f>'Natural and Working Lands'!Y13</f>
        <v>-6.2247269732618369</v>
      </c>
      <c r="Z91" s="424">
        <f>'Natural and Working Lands'!Z13</f>
        <v>-6.2590810594604633</v>
      </c>
      <c r="AA91" s="424">
        <f>'Natural and Working Lands'!AA13</f>
        <v>-6.2931339337591403</v>
      </c>
      <c r="AB91" s="424">
        <f>'Natural and Working Lands'!AB13</f>
        <v>-6.3272675232904092</v>
      </c>
      <c r="AC91" s="424">
        <f>'Natural and Working Lands'!AC13</f>
        <v>-6.3614525354872704</v>
      </c>
      <c r="AD91" s="424">
        <f>'Natural and Working Lands'!AD13</f>
        <v>-6.3700367798177648</v>
      </c>
      <c r="AE91" s="424">
        <f>'Natural and Working Lands'!AE13</f>
        <v>-6.3789262738108237</v>
      </c>
      <c r="AF91" s="424">
        <f>'Natural and Working Lands'!AF13</f>
        <v>-6.3876452450338537</v>
      </c>
      <c r="AG91" s="424">
        <f>'Natural and Working Lands'!AG13</f>
        <v>-6.3935728605273381</v>
      </c>
      <c r="AH91" s="424">
        <f>'Natural and Working Lands'!AH13</f>
        <v>-6.401118995065902</v>
      </c>
      <c r="AI91" s="424">
        <f>'Natural and Working Lands'!AI13</f>
        <v>-6.4125244825157317</v>
      </c>
    </row>
    <row r="92" spans="1:37" x14ac:dyDescent="0.4">
      <c r="A92" s="425" t="s">
        <v>999</v>
      </c>
      <c r="B92" s="426">
        <f>'Natural and Working Lands'!B20</f>
        <v>0.21319720656562058</v>
      </c>
      <c r="C92" s="426">
        <f>'Natural and Working Lands'!C20</f>
        <v>0.23010002413992994</v>
      </c>
      <c r="D92" s="426">
        <f>'Natural and Working Lands'!D20</f>
        <v>0.24887856046681037</v>
      </c>
      <c r="E92" s="426">
        <f>'Natural and Working Lands'!E20</f>
        <v>0.25468209537868225</v>
      </c>
      <c r="F92" s="426">
        <f>'Natural and Working Lands'!F20</f>
        <v>0.18482884263873298</v>
      </c>
      <c r="G92" s="426">
        <f>'Natural and Working Lands'!G20</f>
        <v>0.21746851263085828</v>
      </c>
      <c r="H92" s="426">
        <f>'Natural and Working Lands'!H20</f>
        <v>0.16042660774600079</v>
      </c>
      <c r="I92" s="426">
        <f>'Natural and Working Lands'!I20</f>
        <v>0.17038503598269733</v>
      </c>
      <c r="J92" s="426">
        <f>'Natural and Working Lands'!J20</f>
        <v>0.11812282619103506</v>
      </c>
      <c r="K92" s="426">
        <f>'Natural and Working Lands'!K20</f>
        <v>0.17971160144671461</v>
      </c>
      <c r="L92" s="426">
        <f>'Natural and Working Lands'!L20</f>
        <v>0.2254283031988423</v>
      </c>
      <c r="M92" s="426">
        <f>'Natural and Working Lands'!M20</f>
        <v>0.17375028936480125</v>
      </c>
      <c r="N92" s="426">
        <f>'Natural and Working Lands'!N20</f>
        <v>0.16843549980377148</v>
      </c>
      <c r="O92" s="426">
        <f>'Natural and Working Lands'!O20</f>
        <v>0.18407252728810369</v>
      </c>
      <c r="P92" s="426">
        <f>'Natural and Working Lands'!P20</f>
        <v>0.14544241600782642</v>
      </c>
      <c r="Q92" s="426">
        <f>'Natural and Working Lands'!Q20</f>
        <v>0.13126040170137451</v>
      </c>
      <c r="R92" s="426">
        <f>'Natural and Working Lands'!R20</f>
        <v>0.13474807848118053</v>
      </c>
      <c r="S92" s="426">
        <f>'Natural and Working Lands'!S20</f>
        <v>0.18067545503984375</v>
      </c>
      <c r="T92" s="426">
        <f>'Natural and Working Lands'!T20</f>
        <v>0.11492496014993503</v>
      </c>
      <c r="U92" s="426">
        <f>'Natural and Working Lands'!U20</f>
        <v>0.14437902080490037</v>
      </c>
      <c r="V92" s="426">
        <f>'Natural and Working Lands'!V20</f>
        <v>0.15938522021236376</v>
      </c>
      <c r="W92" s="426">
        <f>'Natural and Working Lands'!W20</f>
        <v>0.13176335983968038</v>
      </c>
      <c r="X92" s="426">
        <f>'Natural and Working Lands'!X20</f>
        <v>0.15408990791965141</v>
      </c>
      <c r="Y92" s="426">
        <f>'Natural and Working Lands'!Y20</f>
        <v>0.17775599338035469</v>
      </c>
      <c r="Z92" s="426">
        <f>'Natural and Working Lands'!Z20</f>
        <v>0.13645450550419352</v>
      </c>
      <c r="AA92" s="426">
        <f>'Natural and Working Lands'!AA20</f>
        <v>0.15046201803872061</v>
      </c>
      <c r="AB92" s="426">
        <f>'Natural and Working Lands'!AB20</f>
        <v>0.15602681548490049</v>
      </c>
      <c r="AC92" s="426">
        <f>'Natural and Working Lands'!AC20</f>
        <v>0.18704335152069007</v>
      </c>
      <c r="AD92" s="426">
        <f>'Natural and Working Lands'!AD20</f>
        <v>0.21769565253601897</v>
      </c>
      <c r="AE92" s="426">
        <f>'Natural and Working Lands'!AE20</f>
        <v>0.19829473769084352</v>
      </c>
      <c r="AF92" s="426">
        <f>'Natural and Working Lands'!AF20</f>
        <v>0.19472667536236887</v>
      </c>
      <c r="AG92" s="426">
        <f>'Natural and Working Lands'!AG20</f>
        <v>0.21761815732341824</v>
      </c>
      <c r="AH92" s="426">
        <f>'Natural and Working Lands'!AH20</f>
        <v>0.22370130141959635</v>
      </c>
      <c r="AI92" s="426">
        <f>'Natural and Working Lands'!AI20</f>
        <v>0.22323511702156631</v>
      </c>
    </row>
    <row r="93" spans="1:37" x14ac:dyDescent="0.4">
      <c r="A93" s="427" t="s">
        <v>326</v>
      </c>
      <c r="B93" s="428">
        <f>'Natural and Working Lands'!B27</f>
        <v>0.13270929615455257</v>
      </c>
      <c r="C93" s="428">
        <f>'Natural and Working Lands'!C27</f>
        <v>0.12919528491255294</v>
      </c>
      <c r="D93" s="428">
        <f>'Natural and Working Lands'!D27</f>
        <v>0.12704172557383192</v>
      </c>
      <c r="E93" s="428">
        <f>'Natural and Working Lands'!E27</f>
        <v>0.12730840543076535</v>
      </c>
      <c r="F93" s="428">
        <f>'Natural and Working Lands'!F27</f>
        <v>0.12573226379587785</v>
      </c>
      <c r="G93" s="428">
        <f>'Natural and Working Lands'!G27</f>
        <v>0.12816135038675164</v>
      </c>
      <c r="H93" s="428">
        <f>'Natural and Working Lands'!H27</f>
        <v>0.12366980778830872</v>
      </c>
      <c r="I93" s="428">
        <f>'Natural and Working Lands'!I27</f>
        <v>0.12799450267397128</v>
      </c>
      <c r="J93" s="428">
        <f>'Natural and Working Lands'!J27</f>
        <v>0.127695451904138</v>
      </c>
      <c r="K93" s="428">
        <f>'Natural and Working Lands'!K27</f>
        <v>0.1288830079313025</v>
      </c>
      <c r="L93" s="428">
        <f>'Natural and Working Lands'!L27</f>
        <v>0.13026260570930107</v>
      </c>
      <c r="M93" s="428">
        <f>'Natural and Working Lands'!M27</f>
        <v>0.13249764348861598</v>
      </c>
      <c r="N93" s="428">
        <f>'Natural and Working Lands'!N27</f>
        <v>0.12889878964701995</v>
      </c>
      <c r="O93" s="428">
        <f>'Natural and Working Lands'!O27</f>
        <v>0.12767642755350805</v>
      </c>
      <c r="P93" s="428">
        <f>'Natural and Working Lands'!P27</f>
        <v>0.12944285034180353</v>
      </c>
      <c r="Q93" s="428">
        <f>'Natural and Working Lands'!Q27</f>
        <v>0.12866086261786064</v>
      </c>
      <c r="R93" s="428">
        <f>'Natural and Working Lands'!R27</f>
        <v>0.1315931696496116</v>
      </c>
      <c r="S93" s="428">
        <f>'Natural and Working Lands'!S27</f>
        <v>0.13522202820363036</v>
      </c>
      <c r="T93" s="428">
        <f>'Natural and Working Lands'!T27</f>
        <v>0.13464273863210144</v>
      </c>
      <c r="U93" s="428">
        <f>'Natural and Working Lands'!U27</f>
        <v>0.13628151593765736</v>
      </c>
      <c r="V93" s="428">
        <f>'Natural and Working Lands'!V27</f>
        <v>0.13701263661366742</v>
      </c>
      <c r="W93" s="428">
        <f>'Natural and Working Lands'!W27</f>
        <v>0.12546817654960735</v>
      </c>
      <c r="X93" s="428">
        <f>'Natural and Working Lands'!X27</f>
        <v>0.12508645809999874</v>
      </c>
      <c r="Y93" s="428">
        <f>'Natural and Working Lands'!Y27</f>
        <v>0.12593056558027216</v>
      </c>
      <c r="Z93" s="428">
        <f>'Natural and Working Lands'!Z27</f>
        <v>0.12608368943874382</v>
      </c>
      <c r="AA93" s="428">
        <f>'Natural and Working Lands'!AA27</f>
        <v>0.12564758462832751</v>
      </c>
      <c r="AB93" s="428">
        <f>'Natural and Working Lands'!AB27</f>
        <v>0.12516125756664748</v>
      </c>
      <c r="AC93" s="428">
        <f>'Natural and Working Lands'!AC27</f>
        <v>0.12700579554124819</v>
      </c>
      <c r="AD93" s="428">
        <f>'Natural and Working Lands'!AD27</f>
        <v>0.12321573873771155</v>
      </c>
      <c r="AE93" s="428">
        <f>'Natural and Working Lands'!AE27</f>
        <v>0.12231734303782878</v>
      </c>
      <c r="AF93" s="428">
        <f>'Natural and Working Lands'!AF27</f>
        <v>0.121828018998516</v>
      </c>
      <c r="AG93" s="428">
        <f>'Natural and Working Lands'!AG27</f>
        <v>0.12095261660868496</v>
      </c>
      <c r="AH93" s="428">
        <f>'Natural and Working Lands'!AH27</f>
        <v>0.12161812314732903</v>
      </c>
      <c r="AI93" s="428">
        <f>'Natural and Working Lands'!AI27</f>
        <v>0.12175878682448034</v>
      </c>
    </row>
    <row r="94" spans="1:37" x14ac:dyDescent="0.4">
      <c r="A94" s="429" t="s">
        <v>327</v>
      </c>
      <c r="B94" s="430">
        <f>'Natural and Working Lands'!B37</f>
        <v>-0.76729488721680872</v>
      </c>
      <c r="C94" s="430">
        <f>'Natural and Working Lands'!C37</f>
        <v>-0.70988641959844301</v>
      </c>
      <c r="D94" s="430">
        <f>'Natural and Working Lands'!D37</f>
        <v>-0.71621212880859542</v>
      </c>
      <c r="E94" s="430">
        <f>'Natural and Working Lands'!E37</f>
        <v>-0.68563765002587884</v>
      </c>
      <c r="F94" s="430">
        <f>'Natural and Working Lands'!F37</f>
        <v>-0.68198761528335994</v>
      </c>
      <c r="G94" s="430">
        <f>'Natural and Working Lands'!G37</f>
        <v>-0.65165059037062834</v>
      </c>
      <c r="H94" s="430">
        <f>'Natural and Working Lands'!H37</f>
        <v>-0.67521939571796097</v>
      </c>
      <c r="I94" s="430">
        <f>'Natural and Working Lands'!I37</f>
        <v>-0.65924042172704556</v>
      </c>
      <c r="J94" s="430">
        <f>'Natural and Working Lands'!J37</f>
        <v>-0.71249781492904407</v>
      </c>
      <c r="K94" s="430">
        <f>'Natural and Working Lands'!K37</f>
        <v>-0.70666548709797627</v>
      </c>
      <c r="L94" s="430">
        <f>'Natural and Working Lands'!L37</f>
        <v>-0.72994715586245384</v>
      </c>
      <c r="M94" s="430">
        <f>'Natural and Working Lands'!M37</f>
        <v>-0.74596134125877478</v>
      </c>
      <c r="N94" s="430">
        <f>'Natural and Working Lands'!N37</f>
        <v>-0.75606209146360592</v>
      </c>
      <c r="O94" s="430">
        <f>'Natural and Working Lands'!O37</f>
        <v>-0.78124094396805588</v>
      </c>
      <c r="P94" s="430">
        <f>'Natural and Working Lands'!P37</f>
        <v>-0.79513583942692956</v>
      </c>
      <c r="Q94" s="430">
        <f>'Natural and Working Lands'!Q37</f>
        <v>-0.79582515678085919</v>
      </c>
      <c r="R94" s="430">
        <f>'Natural and Working Lands'!R37</f>
        <v>-0.82325166606787403</v>
      </c>
      <c r="S94" s="430">
        <f>'Natural and Working Lands'!S37</f>
        <v>-0.83737145927255674</v>
      </c>
      <c r="T94" s="430">
        <f>'Natural and Working Lands'!T37</f>
        <v>-0.86668381433872743</v>
      </c>
      <c r="U94" s="430">
        <f>'Natural and Working Lands'!U37</f>
        <v>-0.88753010380221486</v>
      </c>
      <c r="V94" s="430">
        <f>'Natural and Working Lands'!V37</f>
        <v>-0.92065233902311017</v>
      </c>
      <c r="W94" s="430">
        <f>'Natural and Working Lands'!W37</f>
        <v>-0.91681974770689412</v>
      </c>
      <c r="X94" s="430">
        <f>'Natural and Working Lands'!X37</f>
        <v>-0.92733035179237377</v>
      </c>
      <c r="Y94" s="430">
        <f>'Natural and Working Lands'!Y37</f>
        <v>-0.91438719828564718</v>
      </c>
      <c r="Z94" s="430">
        <f>'Natural and Working Lands'!Z37</f>
        <v>-0.95403721509898154</v>
      </c>
      <c r="AA94" s="430">
        <f>'Natural and Working Lands'!AA37</f>
        <v>-0.95969839315733296</v>
      </c>
      <c r="AB94" s="430">
        <f>'Natural and Working Lands'!AB37</f>
        <v>-0.95775781749807509</v>
      </c>
      <c r="AC94" s="430">
        <f>'Natural and Working Lands'!AC37</f>
        <v>-1.0282466891011015</v>
      </c>
      <c r="AD94" s="430">
        <f>'Natural and Working Lands'!AD37</f>
        <v>-1.0264432171356892</v>
      </c>
      <c r="AE94" s="430">
        <f>'Natural and Working Lands'!AE37</f>
        <v>-1.0370332194928062</v>
      </c>
      <c r="AF94" s="430">
        <f>'Natural and Working Lands'!AF37</f>
        <v>-1.0311503906037851</v>
      </c>
      <c r="AG94" s="430">
        <f>'Natural and Working Lands'!AG37</f>
        <v>-1.0007430019470203</v>
      </c>
      <c r="AH94" s="430">
        <f>'Natural and Working Lands'!AH37</f>
        <v>-0.97971047954174084</v>
      </c>
      <c r="AI94" s="430">
        <f>'Natural and Working Lands'!AI37</f>
        <v>-0.94733588009053216</v>
      </c>
    </row>
    <row r="95" spans="1:37" x14ac:dyDescent="0.4">
      <c r="A95" s="431" t="s">
        <v>328</v>
      </c>
      <c r="B95" s="432">
        <f>'Natural and Working Lands'!B45</f>
        <v>0</v>
      </c>
      <c r="C95" s="432">
        <f>'Natural and Working Lands'!C45</f>
        <v>0</v>
      </c>
      <c r="D95" s="432">
        <f>'Natural and Working Lands'!D45</f>
        <v>0</v>
      </c>
      <c r="E95" s="432">
        <f>'Natural and Working Lands'!E45</f>
        <v>0</v>
      </c>
      <c r="F95" s="432">
        <f>'Natural and Working Lands'!F45</f>
        <v>0</v>
      </c>
      <c r="G95" s="432">
        <f>'Natural and Working Lands'!G45</f>
        <v>0</v>
      </c>
      <c r="H95" s="432">
        <f>'Natural and Working Lands'!H45</f>
        <v>0</v>
      </c>
      <c r="I95" s="432">
        <f>'Natural and Working Lands'!I45</f>
        <v>0</v>
      </c>
      <c r="J95" s="432">
        <f>'Natural and Working Lands'!J45</f>
        <v>0</v>
      </c>
      <c r="K95" s="432">
        <f>'Natural and Working Lands'!K45</f>
        <v>0</v>
      </c>
      <c r="L95" s="432">
        <f>'Natural and Working Lands'!L45</f>
        <v>0</v>
      </c>
      <c r="M95" s="432">
        <f>'Natural and Working Lands'!M45</f>
        <v>0</v>
      </c>
      <c r="N95" s="432">
        <f>'Natural and Working Lands'!N45</f>
        <v>0</v>
      </c>
      <c r="O95" s="432">
        <f>'Natural and Working Lands'!O45</f>
        <v>0</v>
      </c>
      <c r="P95" s="432">
        <f>'Natural and Working Lands'!P45</f>
        <v>0</v>
      </c>
      <c r="Q95" s="432">
        <f>'Natural and Working Lands'!Q45</f>
        <v>0</v>
      </c>
      <c r="R95" s="432">
        <f>'Natural and Working Lands'!R45</f>
        <v>0</v>
      </c>
      <c r="S95" s="432">
        <f>'Natural and Working Lands'!S45</f>
        <v>0</v>
      </c>
      <c r="T95" s="432">
        <f>'Natural and Working Lands'!T45</f>
        <v>0</v>
      </c>
      <c r="U95" s="432">
        <f>'Natural and Working Lands'!U45</f>
        <v>0</v>
      </c>
      <c r="V95" s="432">
        <f>'Natural and Working Lands'!V45</f>
        <v>0</v>
      </c>
      <c r="W95" s="432">
        <f>'Natural and Working Lands'!W45</f>
        <v>0</v>
      </c>
      <c r="X95" s="432">
        <f>'Natural and Working Lands'!X45</f>
        <v>0</v>
      </c>
      <c r="Y95" s="432">
        <f>'Natural and Working Lands'!Y45</f>
        <v>0</v>
      </c>
      <c r="Z95" s="432">
        <f>'Natural and Working Lands'!Z45</f>
        <v>0</v>
      </c>
      <c r="AA95" s="432">
        <f>'Natural and Working Lands'!AA45</f>
        <v>0</v>
      </c>
      <c r="AB95" s="432">
        <f>'Natural and Working Lands'!AB45</f>
        <v>0</v>
      </c>
      <c r="AC95" s="432">
        <f>'Natural and Working Lands'!AC45</f>
        <v>0</v>
      </c>
      <c r="AD95" s="432">
        <f>'Natural and Working Lands'!AD45</f>
        <v>0</v>
      </c>
      <c r="AE95" s="432">
        <f>'Natural and Working Lands'!AE45</f>
        <v>0</v>
      </c>
      <c r="AF95" s="432">
        <f>'Natural and Working Lands'!AF45</f>
        <v>0</v>
      </c>
      <c r="AG95" s="432">
        <f>'Natural and Working Lands'!AG45</f>
        <v>0</v>
      </c>
      <c r="AH95" s="432">
        <f>'Natural and Working Lands'!AH45</f>
        <v>0</v>
      </c>
      <c r="AI95" s="432">
        <f>'Natural and Working Lands'!AI45</f>
        <v>0</v>
      </c>
    </row>
    <row r="96" spans="1:37" x14ac:dyDescent="0.4">
      <c r="A96" s="441" t="s">
        <v>329</v>
      </c>
      <c r="B96" s="442">
        <f>'Natural and Working Lands'!B46</f>
        <v>-5.3487877829931305</v>
      </c>
      <c r="C96" s="442">
        <f>'Natural and Working Lands'!C46</f>
        <v>-5.328334370716961</v>
      </c>
      <c r="D96" s="442">
        <f>'Natural and Working Lands'!D46</f>
        <v>-5.3684794206469535</v>
      </c>
      <c r="E96" s="442">
        <f>'Natural and Working Lands'!E46</f>
        <v>-5.4869262812256645</v>
      </c>
      <c r="F96" s="442">
        <f>'Natural and Working Lands'!F46</f>
        <v>-5.6076702215884824</v>
      </c>
      <c r="G96" s="442">
        <f>'Natural and Working Lands'!G46</f>
        <v>-5.5951893911231476</v>
      </c>
      <c r="H96" s="442">
        <f>'Natural and Working Lands'!H46</f>
        <v>-5.7330986170509561</v>
      </c>
      <c r="I96" s="442">
        <f>'Natural and Working Lands'!I46</f>
        <v>-5.75577257436818</v>
      </c>
      <c r="J96" s="442">
        <f>'Natural and Working Lands'!J46</f>
        <v>-5.914459939095452</v>
      </c>
      <c r="K96" s="442">
        <f>'Natural and Working Lands'!K46</f>
        <v>-5.8985754590119379</v>
      </c>
      <c r="L96" s="442">
        <f>'Natural and Working Lands'!L46</f>
        <v>-5.9293499000776775</v>
      </c>
      <c r="M96" s="442">
        <f>'Natural and Working Lands'!M46</f>
        <v>-6.0493211385906447</v>
      </c>
      <c r="N96" s="442">
        <f>'Natural and Working Lands'!N46</f>
        <v>-6.1226946036869023</v>
      </c>
      <c r="O96" s="442">
        <f>'Natural and Working Lands'!O46</f>
        <v>-6.1881133600354907</v>
      </c>
      <c r="P96" s="442">
        <f>'Natural and Working Lands'!P46</f>
        <v>-6.2933241442149468</v>
      </c>
      <c r="Q96" s="442">
        <f>'Natural and Working Lands'!Q46</f>
        <v>-6.3624206687554405</v>
      </c>
      <c r="R96" s="442">
        <f>'Natural and Working Lands'!R46</f>
        <v>-6.439494779550512</v>
      </c>
      <c r="S96" s="442">
        <f>'Natural and Working Lands'!S46</f>
        <v>-6.4587287737370103</v>
      </c>
      <c r="T96" s="442">
        <f>'Natural and Working Lands'!T46</f>
        <v>-6.6083329100549406</v>
      </c>
      <c r="U96" s="442">
        <f>'Natural and Working Lands'!U46</f>
        <v>-6.6536386204230853</v>
      </c>
      <c r="V96" s="442">
        <f>'Natural and Working Lands'!V46</f>
        <v>-6.725962480764248</v>
      </c>
      <c r="W96" s="442">
        <f>'Natural and Working Lands'!W46</f>
        <v>-6.8161015211699647</v>
      </c>
      <c r="X96" s="442">
        <f>'Natural and Working Lands'!X46</f>
        <v>-6.8388422036135852</v>
      </c>
      <c r="Y96" s="442">
        <f>'Natural and Working Lands'!Y46</f>
        <v>-6.8354276125868578</v>
      </c>
      <c r="Z96" s="442">
        <f>'Natural and Working Lands'!Z46</f>
        <v>-6.9505800796165076</v>
      </c>
      <c r="AA96" s="442">
        <f>'Natural and Working Lands'!AA46</f>
        <v>-6.9767227242494245</v>
      </c>
      <c r="AB96" s="442">
        <f>'Natural and Working Lands'!AB46</f>
        <v>-7.0038372677369365</v>
      </c>
      <c r="AC96" s="442">
        <f>'Natural and Working Lands'!AC46</f>
        <v>-7.0756500775264337</v>
      </c>
      <c r="AD96" s="442">
        <f>'Natural and Working Lands'!AD46</f>
        <v>-7.0555686056797233</v>
      </c>
      <c r="AE96" s="442">
        <f>'Natural and Working Lands'!AE46</f>
        <v>-7.0953474125749576</v>
      </c>
      <c r="AF96" s="442">
        <f>'Natural and Working Lands'!AF46</f>
        <v>-7.1022409412767535</v>
      </c>
      <c r="AG96" s="442">
        <f>'Natural and Working Lands'!AG46</f>
        <v>-7.0557450885422552</v>
      </c>
      <c r="AH96" s="442">
        <f>'Natural and Working Lands'!AH46</f>
        <v>-7.0355100500407168</v>
      </c>
      <c r="AI96" s="442">
        <f>'Natural and Working Lands'!AI46</f>
        <v>-7.014866458760217</v>
      </c>
    </row>
    <row r="97" spans="1:33" x14ac:dyDescent="0.4">
      <c r="A97" s="28" t="s">
        <v>1063</v>
      </c>
      <c r="B97" s="433"/>
      <c r="C97" s="433"/>
      <c r="D97" s="433"/>
      <c r="E97" s="433"/>
      <c r="F97" s="433"/>
      <c r="G97" s="433"/>
      <c r="H97" s="433"/>
      <c r="I97" s="433"/>
      <c r="J97" s="433"/>
      <c r="K97" s="433"/>
      <c r="L97" s="433"/>
      <c r="M97" s="433"/>
      <c r="N97" s="433"/>
      <c r="O97" s="433"/>
      <c r="P97" s="433"/>
      <c r="Q97" s="433"/>
      <c r="R97" s="433"/>
      <c r="S97" s="433"/>
      <c r="T97" s="433"/>
      <c r="U97" s="433"/>
      <c r="V97" s="433"/>
      <c r="W97" s="433"/>
      <c r="X97" s="433"/>
      <c r="Y97" s="433"/>
      <c r="Z97" s="433"/>
      <c r="AA97" s="433"/>
      <c r="AB97" s="433"/>
      <c r="AC97" s="433"/>
      <c r="AD97" s="433"/>
      <c r="AE97" s="433"/>
      <c r="AF97" s="433"/>
      <c r="AG97" s="433"/>
    </row>
    <row r="98" spans="1:33" x14ac:dyDescent="0.4">
      <c r="A98" s="28"/>
      <c r="B98" s="433"/>
      <c r="C98" s="433"/>
      <c r="D98" s="433"/>
      <c r="E98" s="433"/>
      <c r="F98" s="433"/>
      <c r="G98" s="433"/>
      <c r="H98" s="433"/>
      <c r="I98" s="433"/>
      <c r="J98" s="433"/>
      <c r="K98" s="433"/>
      <c r="L98" s="433"/>
      <c r="M98" s="433"/>
      <c r="N98" s="433"/>
      <c r="O98" s="433"/>
      <c r="P98" s="433"/>
      <c r="Q98" s="433"/>
      <c r="R98" s="433"/>
      <c r="S98" s="433"/>
      <c r="T98" s="433"/>
      <c r="U98" s="433"/>
      <c r="V98" s="433"/>
      <c r="W98" s="433"/>
      <c r="X98" s="433"/>
      <c r="Y98" s="433"/>
      <c r="Z98" s="433"/>
      <c r="AA98" s="433"/>
      <c r="AB98" s="433"/>
      <c r="AC98" s="433"/>
      <c r="AD98" s="433"/>
      <c r="AE98" s="433"/>
      <c r="AF98" s="433"/>
      <c r="AG98" s="433"/>
    </row>
    <row r="99" spans="1:33" ht="17" x14ac:dyDescent="0.45">
      <c r="A99" s="1403" t="s">
        <v>1587</v>
      </c>
      <c r="R99" s="12"/>
    </row>
    <row r="100" spans="1:33" x14ac:dyDescent="0.4">
      <c r="D100" s="12"/>
    </row>
    <row r="101" spans="1:33" x14ac:dyDescent="0.4">
      <c r="A101" s="395" t="s">
        <v>1064</v>
      </c>
    </row>
  </sheetData>
  <phoneticPr fontId="38" type="noConversion"/>
  <hyperlinks>
    <hyperlink ref="A2" location="Contents!A1" display="Return to Contents tab" xr:uid="{1E416623-9C6D-4B2C-AF51-C735D3CEB4F2}"/>
    <hyperlink ref="A3" location="'Biogenic Summary'!A53" display="Go to Biogenic Summary Data" xr:uid="{3E3E7987-21B2-45CE-80DF-604FBB04B5B3}"/>
  </hyperlinks>
  <pageMargins left="0.7" right="0.7" top="0.75" bottom="0.75" header="0.3" footer="0.3"/>
  <pageSetup scale="24" orientation="landscape" r:id="rId1"/>
  <headerFooter>
    <oddFooter>&amp;L&amp;F&amp;A&amp;RPage &amp;P of &amp;N</oddFooter>
  </headerFooter>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C023F-0AED-4B82-912E-F6630FB4D93E}">
  <sheetPr>
    <pageSetUpPr fitToPage="1"/>
  </sheetPr>
  <dimension ref="A1:A53"/>
  <sheetViews>
    <sheetView zoomScaleNormal="100" workbookViewId="0"/>
  </sheetViews>
  <sheetFormatPr defaultColWidth="8.7265625" defaultRowHeight="16" x14ac:dyDescent="0.4"/>
  <cols>
    <col min="1" max="1" width="12.453125" style="1320" customWidth="1"/>
    <col min="2" max="16384" width="8.7265625" style="1320"/>
  </cols>
  <sheetData>
    <row r="1" spans="1:1" ht="21" x14ac:dyDescent="0.5">
      <c r="A1" s="401" t="s">
        <v>1097</v>
      </c>
    </row>
    <row r="2" spans="1:1" x14ac:dyDescent="0.4">
      <c r="A2" s="1011" t="s">
        <v>730</v>
      </c>
    </row>
    <row r="3" spans="1:1" x14ac:dyDescent="0.4">
      <c r="A3" s="1403" t="s">
        <v>1420</v>
      </c>
    </row>
    <row r="4" spans="1:1" ht="17" x14ac:dyDescent="0.45">
      <c r="A4" s="1403" t="s">
        <v>1548</v>
      </c>
    </row>
    <row r="53" spans="1:1" x14ac:dyDescent="0.4">
      <c r="A53" s="1321" t="s">
        <v>1064</v>
      </c>
    </row>
  </sheetData>
  <hyperlinks>
    <hyperlink ref="A2" location="Contents!A1" display="Return to Contents tab" xr:uid="{BE441CD9-EC82-4618-BEA2-D634EC9CF7C4}"/>
  </hyperlinks>
  <pageMargins left="0.7" right="0.7" top="0.75" bottom="0.75" header="0.3" footer="0.3"/>
  <pageSetup scale="5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S253"/>
  <sheetViews>
    <sheetView zoomScaleNormal="100" zoomScaleSheetLayoutView="100" workbookViewId="0">
      <pane xSplit="1" topLeftCell="B1" activePane="topRight" state="frozen"/>
      <selection pane="topRight"/>
    </sheetView>
  </sheetViews>
  <sheetFormatPr defaultColWidth="8.81640625" defaultRowHeight="16" x14ac:dyDescent="0.4"/>
  <cols>
    <col min="1" max="1" width="62.7265625" style="3" customWidth="1"/>
    <col min="2" max="2" width="17.453125" style="3" customWidth="1"/>
    <col min="3" max="37" width="19.54296875" style="3" customWidth="1"/>
    <col min="38" max="38" width="16.54296875" style="3" customWidth="1"/>
    <col min="39" max="39" width="12.453125" style="3" customWidth="1"/>
    <col min="40" max="40" width="13" style="3" customWidth="1"/>
    <col min="41" max="41" width="13.1796875" style="3" customWidth="1"/>
    <col min="42" max="42" width="12.54296875" style="3" customWidth="1"/>
    <col min="43" max="43" width="11.81640625" style="3" customWidth="1"/>
    <col min="44" max="46" width="12.453125" style="3" customWidth="1"/>
    <col min="47" max="47" width="12.81640625" style="3" customWidth="1"/>
    <col min="48" max="48" width="13.54296875" style="3" customWidth="1"/>
    <col min="49" max="49" width="12.453125" style="3" customWidth="1"/>
    <col min="50" max="50" width="11.1796875" style="3" customWidth="1"/>
    <col min="51" max="51" width="12.54296875" style="3" customWidth="1"/>
    <col min="52" max="16384" width="8.81640625" style="3"/>
  </cols>
  <sheetData>
    <row r="1" spans="1:25" ht="21" x14ac:dyDescent="0.4">
      <c r="A1" s="263" t="s">
        <v>589</v>
      </c>
      <c r="B1" s="238"/>
      <c r="C1" s="238"/>
      <c r="D1" s="238"/>
      <c r="E1" s="238"/>
      <c r="F1" s="238"/>
      <c r="G1" s="238"/>
      <c r="H1" s="238"/>
      <c r="I1" s="238"/>
      <c r="J1" s="238"/>
      <c r="K1" s="238"/>
    </row>
    <row r="2" spans="1:25" x14ac:dyDescent="0.4">
      <c r="A2" s="1011" t="s">
        <v>730</v>
      </c>
      <c r="B2" s="238"/>
      <c r="C2" s="238"/>
      <c r="D2" s="238"/>
      <c r="E2" s="238"/>
      <c r="F2" s="238"/>
      <c r="G2" s="238"/>
      <c r="H2" s="238"/>
      <c r="I2" s="238"/>
      <c r="J2" s="238"/>
      <c r="K2" s="238"/>
    </row>
    <row r="3" spans="1:25" x14ac:dyDescent="0.4">
      <c r="A3" s="1265" t="s">
        <v>909</v>
      </c>
      <c r="B3" s="238"/>
      <c r="C3" s="238"/>
      <c r="D3" s="238"/>
      <c r="E3" s="238"/>
      <c r="F3" s="238"/>
      <c r="G3" s="238"/>
      <c r="H3" s="238"/>
      <c r="I3" s="238"/>
      <c r="J3" s="238"/>
      <c r="K3" s="238"/>
    </row>
    <row r="4" spans="1:25" x14ac:dyDescent="0.4">
      <c r="A4" s="1052"/>
      <c r="B4" s="238"/>
      <c r="C4" s="238"/>
      <c r="D4" s="238"/>
      <c r="E4" s="238"/>
      <c r="F4" s="238"/>
      <c r="G4" s="238"/>
      <c r="H4" s="238"/>
      <c r="I4" s="238"/>
      <c r="J4" s="238"/>
      <c r="K4" s="238"/>
    </row>
    <row r="5" spans="1:25" x14ac:dyDescent="0.4">
      <c r="A5" s="1111" t="s">
        <v>1087</v>
      </c>
      <c r="B5" s="238"/>
      <c r="C5" s="238"/>
      <c r="D5" s="238"/>
      <c r="E5" s="238"/>
      <c r="F5" s="238"/>
      <c r="G5" s="238"/>
      <c r="H5" s="238"/>
      <c r="I5" s="238"/>
      <c r="J5" s="238"/>
      <c r="K5" s="238"/>
    </row>
    <row r="6" spans="1:25" x14ac:dyDescent="0.4">
      <c r="A6" s="54" t="s">
        <v>590</v>
      </c>
      <c r="B6" s="264"/>
      <c r="C6" s="264"/>
      <c r="D6" s="264"/>
      <c r="E6" s="264"/>
      <c r="F6" s="264"/>
      <c r="G6" s="264"/>
      <c r="H6" s="264"/>
      <c r="I6" s="264"/>
      <c r="J6" s="264"/>
      <c r="K6" s="264"/>
      <c r="L6" s="264"/>
      <c r="M6" s="264"/>
      <c r="N6" s="264"/>
      <c r="O6" s="264"/>
      <c r="P6" s="42"/>
    </row>
    <row r="7" spans="1:25" x14ac:dyDescent="0.4">
      <c r="A7" s="1361" t="s">
        <v>1182</v>
      </c>
      <c r="B7" s="264"/>
      <c r="C7" s="264"/>
      <c r="D7" s="264"/>
      <c r="E7" s="264"/>
      <c r="F7" s="264"/>
      <c r="G7" s="264"/>
      <c r="H7" s="264"/>
      <c r="I7" s="264"/>
      <c r="J7" s="264"/>
      <c r="K7" s="264"/>
      <c r="L7" s="264"/>
      <c r="M7" s="264"/>
      <c r="N7" s="264"/>
      <c r="O7" s="264"/>
      <c r="P7" s="42"/>
    </row>
    <row r="8" spans="1:25" ht="17" x14ac:dyDescent="0.45">
      <c r="A8" s="1410" t="s">
        <v>1586</v>
      </c>
      <c r="V8" s="201"/>
      <c r="W8" s="201"/>
      <c r="X8" s="201"/>
      <c r="Y8" s="201"/>
    </row>
    <row r="9" spans="1:25" ht="17" x14ac:dyDescent="0.45">
      <c r="A9" s="1410" t="s">
        <v>1347</v>
      </c>
      <c r="V9" s="201"/>
      <c r="W9" s="201"/>
      <c r="X9" s="201"/>
      <c r="Y9" s="201"/>
    </row>
    <row r="10" spans="1:25" ht="17" x14ac:dyDescent="0.45">
      <c r="A10" s="1431" t="s">
        <v>1348</v>
      </c>
      <c r="V10" s="201"/>
      <c r="W10" s="201"/>
      <c r="X10" s="201"/>
      <c r="Y10" s="201"/>
    </row>
    <row r="11" spans="1:25" x14ac:dyDescent="0.4">
      <c r="H11" s="827"/>
      <c r="I11" s="828"/>
      <c r="J11" s="828"/>
      <c r="K11" s="828"/>
    </row>
    <row r="12" spans="1:25" x14ac:dyDescent="0.4">
      <c r="A12" s="42" t="s">
        <v>1066</v>
      </c>
      <c r="H12" s="827"/>
      <c r="I12" s="828"/>
      <c r="J12" s="828"/>
      <c r="K12" s="828"/>
    </row>
    <row r="13" spans="1:25" x14ac:dyDescent="0.4">
      <c r="A13" s="763" t="s">
        <v>870</v>
      </c>
      <c r="G13" s="761"/>
      <c r="H13" s="827"/>
      <c r="I13" s="827"/>
      <c r="J13" s="827"/>
      <c r="K13" s="827"/>
    </row>
    <row r="14" spans="1:25" x14ac:dyDescent="0.4">
      <c r="A14" s="763" t="s">
        <v>872</v>
      </c>
      <c r="H14" s="827"/>
      <c r="I14" s="827"/>
      <c r="J14" s="827"/>
      <c r="K14" s="827"/>
    </row>
    <row r="15" spans="1:25" x14ac:dyDescent="0.4">
      <c r="A15" s="763" t="s">
        <v>873</v>
      </c>
      <c r="C15" s="822"/>
      <c r="D15" s="823"/>
      <c r="E15" s="823"/>
      <c r="H15" s="827"/>
      <c r="I15" s="829"/>
      <c r="J15" s="829"/>
      <c r="K15" s="829"/>
    </row>
    <row r="16" spans="1:25" x14ac:dyDescent="0.4">
      <c r="A16" s="763" t="s">
        <v>874</v>
      </c>
      <c r="C16" s="824"/>
      <c r="H16" s="827"/>
      <c r="I16" s="829"/>
      <c r="J16" s="829"/>
      <c r="K16" s="829"/>
    </row>
    <row r="17" spans="1:38" x14ac:dyDescent="0.4">
      <c r="A17" s="763" t="s">
        <v>875</v>
      </c>
      <c r="C17" s="824"/>
    </row>
    <row r="18" spans="1:38" x14ac:dyDescent="0.4">
      <c r="A18" s="763" t="s">
        <v>876</v>
      </c>
      <c r="C18" s="824"/>
    </row>
    <row r="19" spans="1:38" x14ac:dyDescent="0.4">
      <c r="A19" s="3" t="s">
        <v>877</v>
      </c>
      <c r="C19" s="824"/>
    </row>
    <row r="20" spans="1:38" x14ac:dyDescent="0.4">
      <c r="A20" s="763" t="s">
        <v>572</v>
      </c>
      <c r="C20" s="825"/>
      <c r="D20" s="826"/>
      <c r="E20" s="826"/>
    </row>
    <row r="21" spans="1:38" x14ac:dyDescent="0.4">
      <c r="A21" s="763" t="s">
        <v>871</v>
      </c>
      <c r="C21" s="825"/>
      <c r="D21" s="826"/>
      <c r="E21" s="826"/>
    </row>
    <row r="22" spans="1:38" ht="16.5" thickBot="1" x14ac:dyDescent="0.45">
      <c r="A22" s="763"/>
      <c r="C22" s="824"/>
    </row>
    <row r="23" spans="1:38" ht="16.5" thickBot="1" x14ac:dyDescent="0.45">
      <c r="A23" s="764" t="s">
        <v>922</v>
      </c>
      <c r="C23" s="59"/>
      <c r="D23" s="285"/>
      <c r="E23" s="231"/>
      <c r="F23" s="231"/>
      <c r="G23" s="285"/>
      <c r="H23" s="231"/>
      <c r="I23" s="231"/>
      <c r="J23" s="285"/>
      <c r="K23" s="231"/>
      <c r="L23" s="231"/>
    </row>
    <row r="24" spans="1:38" s="28" customFormat="1" x14ac:dyDescent="0.4">
      <c r="A24" s="1283" t="s">
        <v>936</v>
      </c>
      <c r="B24" s="71" t="s">
        <v>136</v>
      </c>
      <c r="C24" s="652" t="s">
        <v>391</v>
      </c>
      <c r="D24" s="652" t="s">
        <v>392</v>
      </c>
      <c r="E24" s="652" t="s">
        <v>393</v>
      </c>
      <c r="F24" s="652" t="s">
        <v>394</v>
      </c>
      <c r="G24" s="652" t="s">
        <v>395</v>
      </c>
      <c r="H24" s="652" t="s">
        <v>396</v>
      </c>
      <c r="I24" s="652" t="s">
        <v>397</v>
      </c>
      <c r="J24" s="652" t="s">
        <v>398</v>
      </c>
      <c r="K24" s="652" t="s">
        <v>399</v>
      </c>
      <c r="L24" s="652" t="s">
        <v>400</v>
      </c>
      <c r="M24" s="652" t="s">
        <v>401</v>
      </c>
      <c r="N24" s="652" t="s">
        <v>402</v>
      </c>
      <c r="O24" s="652" t="s">
        <v>403</v>
      </c>
      <c r="P24" s="652" t="s">
        <v>404</v>
      </c>
      <c r="Q24" s="652" t="s">
        <v>405</v>
      </c>
      <c r="R24" s="652" t="s">
        <v>406</v>
      </c>
      <c r="S24" s="652" t="s">
        <v>407</v>
      </c>
      <c r="T24" s="652" t="s">
        <v>408</v>
      </c>
      <c r="U24" s="652" t="s">
        <v>409</v>
      </c>
      <c r="V24" s="652" t="s">
        <v>410</v>
      </c>
      <c r="W24" s="652" t="s">
        <v>411</v>
      </c>
      <c r="X24" s="652" t="s">
        <v>412</v>
      </c>
      <c r="Y24" s="652" t="s">
        <v>413</v>
      </c>
      <c r="Z24" s="652" t="s">
        <v>414</v>
      </c>
      <c r="AA24" s="652" t="s">
        <v>415</v>
      </c>
      <c r="AB24" s="652" t="s">
        <v>416</v>
      </c>
      <c r="AC24" s="652" t="s">
        <v>417</v>
      </c>
      <c r="AD24" s="652" t="s">
        <v>418</v>
      </c>
      <c r="AE24" s="652" t="s">
        <v>419</v>
      </c>
      <c r="AF24" s="652" t="s">
        <v>420</v>
      </c>
      <c r="AG24" s="652" t="s">
        <v>421</v>
      </c>
      <c r="AH24" s="652" t="s">
        <v>422</v>
      </c>
      <c r="AI24" s="652" t="s">
        <v>423</v>
      </c>
      <c r="AJ24" s="652" t="s">
        <v>424</v>
      </c>
      <c r="AK24" s="3"/>
      <c r="AL24" s="3"/>
    </row>
    <row r="25" spans="1:38" x14ac:dyDescent="0.4">
      <c r="A25" s="765" t="s">
        <v>591</v>
      </c>
      <c r="B25" s="3" t="s">
        <v>582</v>
      </c>
      <c r="C25" s="748">
        <v>0</v>
      </c>
      <c r="D25" s="748">
        <v>0</v>
      </c>
      <c r="E25" s="748">
        <v>1243</v>
      </c>
      <c r="F25" s="748">
        <v>1366</v>
      </c>
      <c r="G25" s="748">
        <v>1585</v>
      </c>
      <c r="H25" s="748">
        <v>1754</v>
      </c>
      <c r="I25" s="748">
        <v>1805</v>
      </c>
      <c r="J25" s="748">
        <v>1847</v>
      </c>
      <c r="K25" s="748">
        <v>2504</v>
      </c>
      <c r="L25" s="748">
        <v>1390</v>
      </c>
      <c r="M25" s="748">
        <v>1708</v>
      </c>
      <c r="N25" s="748">
        <v>1693</v>
      </c>
      <c r="O25" s="748">
        <v>1544</v>
      </c>
      <c r="P25" s="748">
        <v>1888</v>
      </c>
      <c r="Q25" s="748">
        <v>1774</v>
      </c>
      <c r="R25" s="748">
        <v>1876</v>
      </c>
      <c r="S25" s="748">
        <v>1894</v>
      </c>
      <c r="T25" s="748">
        <v>1784</v>
      </c>
      <c r="U25" s="748">
        <v>1834</v>
      </c>
      <c r="V25" s="748">
        <v>1647</v>
      </c>
      <c r="W25" s="748">
        <v>1505.5</v>
      </c>
      <c r="X25" s="748">
        <v>1546.5</v>
      </c>
      <c r="Y25" s="234">
        <v>1531</v>
      </c>
      <c r="Z25" s="234" t="s">
        <v>32</v>
      </c>
      <c r="AA25" s="234" t="s">
        <v>32</v>
      </c>
      <c r="AB25" s="234" t="s">
        <v>32</v>
      </c>
      <c r="AC25" s="234" t="s">
        <v>32</v>
      </c>
      <c r="AD25" s="234" t="s">
        <v>32</v>
      </c>
      <c r="AE25" s="234" t="s">
        <v>32</v>
      </c>
      <c r="AF25" s="234" t="s">
        <v>32</v>
      </c>
      <c r="AG25" s="234" t="s">
        <v>32</v>
      </c>
      <c r="AH25" s="234" t="s">
        <v>32</v>
      </c>
      <c r="AI25" s="234" t="s">
        <v>32</v>
      </c>
      <c r="AJ25" s="234" t="s">
        <v>32</v>
      </c>
    </row>
    <row r="26" spans="1:38" ht="16.5" thickBot="1" x14ac:dyDescent="0.45">
      <c r="A26" s="790" t="s">
        <v>591</v>
      </c>
      <c r="B26" s="95" t="s">
        <v>583</v>
      </c>
      <c r="C26" s="791">
        <f t="shared" ref="C26:Y26" si="0">C25*1000</f>
        <v>0</v>
      </c>
      <c r="D26" s="791">
        <f t="shared" si="0"/>
        <v>0</v>
      </c>
      <c r="E26" s="791">
        <f t="shared" si="0"/>
        <v>1243000</v>
      </c>
      <c r="F26" s="791">
        <f t="shared" si="0"/>
        <v>1366000</v>
      </c>
      <c r="G26" s="791">
        <f t="shared" si="0"/>
        <v>1585000</v>
      </c>
      <c r="H26" s="791">
        <f t="shared" si="0"/>
        <v>1754000</v>
      </c>
      <c r="I26" s="791">
        <f t="shared" si="0"/>
        <v>1805000</v>
      </c>
      <c r="J26" s="791">
        <f t="shared" si="0"/>
        <v>1847000</v>
      </c>
      <c r="K26" s="791">
        <f t="shared" si="0"/>
        <v>2504000</v>
      </c>
      <c r="L26" s="791">
        <f t="shared" si="0"/>
        <v>1390000</v>
      </c>
      <c r="M26" s="791">
        <f t="shared" si="0"/>
        <v>1708000</v>
      </c>
      <c r="N26" s="791">
        <f t="shared" si="0"/>
        <v>1693000</v>
      </c>
      <c r="O26" s="791">
        <f t="shared" si="0"/>
        <v>1544000</v>
      </c>
      <c r="P26" s="791">
        <f t="shared" si="0"/>
        <v>1888000</v>
      </c>
      <c r="Q26" s="791">
        <f t="shared" si="0"/>
        <v>1774000</v>
      </c>
      <c r="R26" s="791">
        <f t="shared" si="0"/>
        <v>1876000</v>
      </c>
      <c r="S26" s="791">
        <f t="shared" si="0"/>
        <v>1894000</v>
      </c>
      <c r="T26" s="791">
        <f t="shared" si="0"/>
        <v>1784000</v>
      </c>
      <c r="U26" s="791">
        <f t="shared" si="0"/>
        <v>1834000</v>
      </c>
      <c r="V26" s="791">
        <f t="shared" si="0"/>
        <v>1647000</v>
      </c>
      <c r="W26" s="791">
        <f t="shared" si="0"/>
        <v>1505500</v>
      </c>
      <c r="X26" s="791">
        <f t="shared" si="0"/>
        <v>1546500</v>
      </c>
      <c r="Y26" s="791">
        <f t="shared" si="0"/>
        <v>1531000</v>
      </c>
      <c r="Z26" s="791">
        <v>1334836</v>
      </c>
      <c r="AA26" s="791">
        <v>2253076</v>
      </c>
      <c r="AB26" s="791">
        <v>1991558</v>
      </c>
      <c r="AC26" s="791">
        <v>2243817</v>
      </c>
      <c r="AD26" s="791">
        <v>2261011</v>
      </c>
      <c r="AE26" s="791">
        <v>1966522</v>
      </c>
      <c r="AF26" s="791">
        <v>1818827</v>
      </c>
      <c r="AG26" s="831">
        <v>2079755</v>
      </c>
      <c r="AH26" s="831">
        <v>1401772</v>
      </c>
      <c r="AI26" s="831">
        <v>877293</v>
      </c>
      <c r="AJ26" s="831">
        <v>740140</v>
      </c>
    </row>
    <row r="27" spans="1:38" ht="17" x14ac:dyDescent="0.45">
      <c r="A27" s="1432" t="s">
        <v>1349</v>
      </c>
      <c r="B27" s="3" t="s">
        <v>584</v>
      </c>
      <c r="C27" s="772">
        <f t="shared" ref="C27:AJ27" si="1">C26*$C$224</f>
        <v>0</v>
      </c>
      <c r="D27" s="772">
        <f t="shared" si="1"/>
        <v>0</v>
      </c>
      <c r="E27" s="772">
        <f t="shared" si="1"/>
        <v>257044446.98270798</v>
      </c>
      <c r="F27" s="772">
        <f t="shared" si="1"/>
        <v>282480059.99869597</v>
      </c>
      <c r="G27" s="772">
        <f t="shared" si="1"/>
        <v>327767858.78325999</v>
      </c>
      <c r="H27" s="772">
        <f t="shared" si="1"/>
        <v>362715977.48002398</v>
      </c>
      <c r="I27" s="772">
        <f t="shared" si="1"/>
        <v>373262451.16957998</v>
      </c>
      <c r="J27" s="772">
        <f t="shared" si="1"/>
        <v>381947782.44333196</v>
      </c>
      <c r="K27" s="772">
        <f t="shared" si="1"/>
        <v>517811178.79702395</v>
      </c>
      <c r="L27" s="772">
        <f t="shared" si="1"/>
        <v>287443106.44084001</v>
      </c>
      <c r="M27" s="772">
        <f t="shared" si="1"/>
        <v>353203471.79924798</v>
      </c>
      <c r="N27" s="772">
        <f t="shared" si="1"/>
        <v>350101567.77290797</v>
      </c>
      <c r="O27" s="772">
        <f t="shared" si="1"/>
        <v>319289321.11126399</v>
      </c>
      <c r="P27" s="772">
        <f t="shared" si="1"/>
        <v>390426320.11532795</v>
      </c>
      <c r="Q27" s="772">
        <f t="shared" si="1"/>
        <v>366851849.51514399</v>
      </c>
      <c r="R27" s="772">
        <f t="shared" si="1"/>
        <v>387944796.894256</v>
      </c>
      <c r="S27" s="772">
        <f t="shared" si="1"/>
        <v>391667081.72586399</v>
      </c>
      <c r="T27" s="772">
        <f t="shared" si="1"/>
        <v>368919785.532704</v>
      </c>
      <c r="U27" s="772">
        <f t="shared" si="1"/>
        <v>379259465.62050396</v>
      </c>
      <c r="V27" s="772">
        <f t="shared" si="1"/>
        <v>340589062.09213197</v>
      </c>
      <c r="W27" s="772">
        <f t="shared" si="1"/>
        <v>311327767.44365799</v>
      </c>
      <c r="X27" s="772">
        <f t="shared" si="1"/>
        <v>319806305.11565399</v>
      </c>
      <c r="Y27" s="772">
        <f t="shared" si="1"/>
        <v>316601004.288436</v>
      </c>
      <c r="Z27" s="772">
        <f t="shared" si="1"/>
        <v>276035544.19357198</v>
      </c>
      <c r="AA27" s="772">
        <f t="shared" si="1"/>
        <v>465921701.07000142</v>
      </c>
      <c r="AB27" s="772">
        <f t="shared" si="1"/>
        <v>411841451.9259758</v>
      </c>
      <c r="AC27" s="772">
        <f t="shared" si="1"/>
        <v>464006999.11134261</v>
      </c>
      <c r="AD27" s="772">
        <f t="shared" si="1"/>
        <v>467562608.29993528</v>
      </c>
      <c r="AE27" s="772">
        <f t="shared" si="1"/>
        <v>406664167.31241262</v>
      </c>
      <c r="AF27" s="772">
        <f t="shared" si="1"/>
        <v>376121786.3010602</v>
      </c>
      <c r="AG27" s="772">
        <f t="shared" si="1"/>
        <v>430080027.22004974</v>
      </c>
      <c r="AH27" s="772">
        <f t="shared" si="1"/>
        <v>289877480.72071159</v>
      </c>
      <c r="AI27" s="772">
        <f t="shared" si="1"/>
        <v>181418579.2653265</v>
      </c>
      <c r="AJ27" s="772">
        <f t="shared" si="1"/>
        <v>153056216.40368584</v>
      </c>
    </row>
    <row r="28" spans="1:38" ht="17" x14ac:dyDescent="0.45">
      <c r="A28" s="1433" t="s">
        <v>1349</v>
      </c>
      <c r="B28" s="1403" t="s">
        <v>1189</v>
      </c>
      <c r="C28" s="766">
        <f t="shared" ref="C28:AJ28" si="2">C27/($B$244*1000000)</f>
        <v>0</v>
      </c>
      <c r="D28" s="766">
        <f t="shared" si="2"/>
        <v>0</v>
      </c>
      <c r="E28" s="766">
        <f t="shared" si="2"/>
        <v>0.11659339999999999</v>
      </c>
      <c r="F28" s="766">
        <f t="shared" si="2"/>
        <v>0.12813079999999999</v>
      </c>
      <c r="G28" s="766">
        <f t="shared" si="2"/>
        <v>0.148673</v>
      </c>
      <c r="H28" s="766">
        <f t="shared" si="2"/>
        <v>0.16452519999999998</v>
      </c>
      <c r="I28" s="766">
        <f t="shared" si="2"/>
        <v>0.16930899999999999</v>
      </c>
      <c r="J28" s="766">
        <f t="shared" si="2"/>
        <v>0.17324859999999997</v>
      </c>
      <c r="K28" s="766">
        <f t="shared" si="2"/>
        <v>0.23487519999999998</v>
      </c>
      <c r="L28" s="766">
        <f t="shared" si="2"/>
        <v>0.130382</v>
      </c>
      <c r="M28" s="766">
        <f t="shared" si="2"/>
        <v>0.1602104</v>
      </c>
      <c r="N28" s="766">
        <f t="shared" si="2"/>
        <v>0.15880339999999998</v>
      </c>
      <c r="O28" s="766">
        <f t="shared" si="2"/>
        <v>0.14482719999999999</v>
      </c>
      <c r="P28" s="766">
        <f t="shared" si="2"/>
        <v>0.17709439999999999</v>
      </c>
      <c r="Q28" s="766">
        <f t="shared" si="2"/>
        <v>0.1664012</v>
      </c>
      <c r="R28" s="766">
        <f t="shared" si="2"/>
        <v>0.17596880000000001</v>
      </c>
      <c r="S28" s="766">
        <f t="shared" si="2"/>
        <v>0.17765719999999999</v>
      </c>
      <c r="T28" s="766">
        <f t="shared" si="2"/>
        <v>0.16733919999999999</v>
      </c>
      <c r="U28" s="766">
        <f t="shared" si="2"/>
        <v>0.17202919999999999</v>
      </c>
      <c r="V28" s="766">
        <f t="shared" si="2"/>
        <v>0.15448859999999998</v>
      </c>
      <c r="W28" s="766">
        <f t="shared" si="2"/>
        <v>0.14121590000000001</v>
      </c>
      <c r="X28" s="766">
        <f t="shared" si="2"/>
        <v>0.14506169999999999</v>
      </c>
      <c r="Y28" s="766">
        <f t="shared" si="2"/>
        <v>0.14360780000000001</v>
      </c>
      <c r="Z28" s="766">
        <f t="shared" si="2"/>
        <v>0.12520761679999998</v>
      </c>
      <c r="AA28" s="766">
        <f t="shared" si="2"/>
        <v>0.21133852879999998</v>
      </c>
      <c r="AB28" s="766">
        <f t="shared" si="2"/>
        <v>0.18680814039999999</v>
      </c>
      <c r="AC28" s="766">
        <f t="shared" si="2"/>
        <v>0.21047003459999997</v>
      </c>
      <c r="AD28" s="766">
        <f t="shared" si="2"/>
        <v>0.21208283179999998</v>
      </c>
      <c r="AE28" s="766">
        <f t="shared" si="2"/>
        <v>0.18445976359999999</v>
      </c>
      <c r="AF28" s="766">
        <f t="shared" si="2"/>
        <v>0.17060597259999999</v>
      </c>
      <c r="AG28" s="766">
        <f t="shared" si="2"/>
        <v>0.19508101899999999</v>
      </c>
      <c r="AH28" s="766">
        <f t="shared" si="2"/>
        <v>0.13148621359999998</v>
      </c>
      <c r="AI28" s="766">
        <f t="shared" si="2"/>
        <v>8.2290083399999991E-2</v>
      </c>
      <c r="AJ28" s="766">
        <f t="shared" si="2"/>
        <v>6.9425132000000001E-2</v>
      </c>
    </row>
    <row r="29" spans="1:38" x14ac:dyDescent="0.4">
      <c r="A29" s="1299" t="s">
        <v>1063</v>
      </c>
      <c r="B29" s="665"/>
      <c r="C29" s="1300"/>
      <c r="D29" s="1300"/>
      <c r="E29" s="1300"/>
      <c r="F29" s="1300"/>
      <c r="G29" s="1300"/>
      <c r="H29" s="1300"/>
      <c r="I29" s="1300"/>
      <c r="J29" s="1300"/>
      <c r="K29" s="1300"/>
      <c r="L29" s="1300"/>
      <c r="M29" s="1300"/>
      <c r="N29" s="1300"/>
      <c r="O29" s="1300"/>
      <c r="P29" s="1300"/>
      <c r="Q29" s="1300"/>
      <c r="R29" s="1300"/>
      <c r="S29" s="1300"/>
      <c r="T29" s="1300"/>
      <c r="U29" s="1300"/>
      <c r="V29" s="1300"/>
      <c r="W29" s="1300"/>
      <c r="X29" s="1300"/>
      <c r="Y29" s="1300"/>
      <c r="Z29" s="1300"/>
      <c r="AA29" s="1300"/>
      <c r="AB29" s="1300"/>
      <c r="AC29" s="1300"/>
      <c r="AD29" s="1300"/>
      <c r="AE29" s="1300"/>
      <c r="AF29" s="1300"/>
      <c r="AG29" s="1300"/>
      <c r="AH29" s="1300"/>
      <c r="AI29" s="1300"/>
      <c r="AJ29" s="1300"/>
    </row>
    <row r="30" spans="1:38" x14ac:dyDescent="0.4">
      <c r="A30" s="754"/>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row>
    <row r="31" spans="1:38" x14ac:dyDescent="0.4">
      <c r="A31" s="3" t="s">
        <v>457</v>
      </c>
      <c r="C31" s="237"/>
      <c r="D31" s="237"/>
      <c r="E31" s="237"/>
      <c r="F31" s="237"/>
      <c r="G31" s="237"/>
      <c r="H31" s="237"/>
      <c r="I31" s="237"/>
      <c r="J31" s="237"/>
      <c r="K31" s="237"/>
      <c r="L31" s="237"/>
      <c r="M31" s="237"/>
      <c r="N31" s="237"/>
      <c r="O31" s="237"/>
      <c r="P31" s="237"/>
      <c r="Q31" s="237"/>
      <c r="R31" s="237"/>
      <c r="S31" s="237"/>
      <c r="T31" s="237"/>
      <c r="U31" s="237"/>
      <c r="V31" s="237"/>
      <c r="W31" s="237"/>
      <c r="X31" s="237"/>
      <c r="Y31" s="237"/>
      <c r="Z31" s="237"/>
      <c r="AA31" s="237"/>
      <c r="AB31" s="237"/>
      <c r="AC31" s="237"/>
      <c r="AD31" s="237"/>
      <c r="AE31" s="237"/>
      <c r="AF31" s="237"/>
      <c r="AG31" s="237"/>
      <c r="AH31" s="237"/>
      <c r="AI31" s="237"/>
      <c r="AJ31" s="237"/>
    </row>
    <row r="32" spans="1:38" x14ac:dyDescent="0.4">
      <c r="A32" s="830" t="s">
        <v>592</v>
      </c>
      <c r="C32" s="237"/>
      <c r="D32" s="237"/>
      <c r="E32" s="237"/>
      <c r="F32" s="237"/>
      <c r="G32" s="237"/>
      <c r="H32" s="237"/>
      <c r="I32" s="237"/>
      <c r="J32" s="237"/>
      <c r="K32" s="237"/>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row>
    <row r="33" spans="1:38" x14ac:dyDescent="0.4">
      <c r="A33" s="1389" t="s">
        <v>1317</v>
      </c>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row>
    <row r="34" spans="1:38" ht="17" x14ac:dyDescent="0.45">
      <c r="A34" s="1286" t="s">
        <v>882</v>
      </c>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row>
    <row r="35" spans="1:38" ht="16.5" thickBot="1" x14ac:dyDescent="0.45">
      <c r="A35" s="773"/>
      <c r="B35" s="774"/>
    </row>
    <row r="36" spans="1:38" ht="16.5" thickBot="1" x14ac:dyDescent="0.45">
      <c r="A36" s="764" t="s">
        <v>938</v>
      </c>
      <c r="I36" s="1524"/>
      <c r="J36" s="1524"/>
      <c r="K36" s="1524"/>
    </row>
    <row r="37" spans="1:38" s="28" customFormat="1" x14ac:dyDescent="0.4">
      <c r="A37" s="1283" t="s">
        <v>936</v>
      </c>
      <c r="B37" s="71" t="s">
        <v>136</v>
      </c>
      <c r="C37" s="652" t="s">
        <v>391</v>
      </c>
      <c r="D37" s="652" t="s">
        <v>392</v>
      </c>
      <c r="E37" s="652" t="s">
        <v>393</v>
      </c>
      <c r="F37" s="652" t="s">
        <v>394</v>
      </c>
      <c r="G37" s="652" t="s">
        <v>395</v>
      </c>
      <c r="H37" s="652" t="s">
        <v>396</v>
      </c>
      <c r="I37" s="652" t="s">
        <v>397</v>
      </c>
      <c r="J37" s="652" t="s">
        <v>398</v>
      </c>
      <c r="K37" s="652" t="s">
        <v>399</v>
      </c>
      <c r="L37" s="652" t="s">
        <v>400</v>
      </c>
      <c r="M37" s="652" t="s">
        <v>401</v>
      </c>
      <c r="N37" s="652" t="s">
        <v>402</v>
      </c>
      <c r="O37" s="652" t="s">
        <v>403</v>
      </c>
      <c r="P37" s="652" t="s">
        <v>404</v>
      </c>
      <c r="Q37" s="652" t="s">
        <v>405</v>
      </c>
      <c r="R37" s="652" t="s">
        <v>406</v>
      </c>
      <c r="S37" s="652" t="s">
        <v>407</v>
      </c>
      <c r="T37" s="652" t="s">
        <v>408</v>
      </c>
      <c r="U37" s="652" t="s">
        <v>409</v>
      </c>
      <c r="V37" s="652" t="s">
        <v>410</v>
      </c>
      <c r="W37" s="652" t="s">
        <v>411</v>
      </c>
      <c r="X37" s="652" t="s">
        <v>412</v>
      </c>
      <c r="Y37" s="652" t="s">
        <v>413</v>
      </c>
      <c r="Z37" s="652" t="s">
        <v>414</v>
      </c>
      <c r="AA37" s="652" t="s">
        <v>415</v>
      </c>
      <c r="AB37" s="652" t="s">
        <v>416</v>
      </c>
      <c r="AC37" s="652" t="s">
        <v>417</v>
      </c>
      <c r="AD37" s="652" t="s">
        <v>418</v>
      </c>
      <c r="AE37" s="652" t="s">
        <v>419</v>
      </c>
      <c r="AF37" s="652" t="s">
        <v>420</v>
      </c>
      <c r="AG37" s="652" t="s">
        <v>421</v>
      </c>
      <c r="AH37" s="652" t="s">
        <v>422</v>
      </c>
      <c r="AI37" s="652" t="s">
        <v>423</v>
      </c>
      <c r="AJ37" s="652" t="s">
        <v>424</v>
      </c>
      <c r="AK37" s="3"/>
      <c r="AL37" s="3"/>
    </row>
    <row r="38" spans="1:38" x14ac:dyDescent="0.4">
      <c r="A38" s="765" t="s">
        <v>591</v>
      </c>
      <c r="B38" s="526" t="s">
        <v>582</v>
      </c>
      <c r="C38" s="744">
        <v>16095.42</v>
      </c>
      <c r="D38" s="744">
        <v>16831.75</v>
      </c>
      <c r="E38" s="744">
        <v>16864.64</v>
      </c>
      <c r="F38" s="744">
        <v>17823.36</v>
      </c>
      <c r="G38" s="744">
        <v>19321.47</v>
      </c>
      <c r="H38" s="744">
        <v>18231.72</v>
      </c>
      <c r="I38" s="744">
        <v>18822.77</v>
      </c>
      <c r="J38" s="744">
        <v>18985.8</v>
      </c>
      <c r="K38" s="744">
        <v>18044.399999999998</v>
      </c>
      <c r="L38" s="744">
        <v>18624</v>
      </c>
      <c r="M38" s="744">
        <v>18003.199999999997</v>
      </c>
      <c r="N38" s="526" t="s">
        <v>32</v>
      </c>
      <c r="O38" s="526" t="s">
        <v>32</v>
      </c>
      <c r="P38" s="526" t="s">
        <v>32</v>
      </c>
      <c r="Q38" s="526" t="s">
        <v>32</v>
      </c>
      <c r="R38" s="526" t="s">
        <v>32</v>
      </c>
      <c r="S38" s="526" t="s">
        <v>32</v>
      </c>
      <c r="T38" s="526" t="s">
        <v>32</v>
      </c>
      <c r="U38" s="526" t="s">
        <v>32</v>
      </c>
      <c r="V38" s="526" t="s">
        <v>32</v>
      </c>
      <c r="W38" s="526" t="s">
        <v>32</v>
      </c>
      <c r="X38" s="526" t="s">
        <v>32</v>
      </c>
      <c r="Y38" s="526" t="s">
        <v>32</v>
      </c>
      <c r="Z38" s="526" t="s">
        <v>32</v>
      </c>
      <c r="AA38" s="526" t="s">
        <v>32</v>
      </c>
      <c r="AB38" s="526" t="s">
        <v>32</v>
      </c>
      <c r="AC38" s="526" t="s">
        <v>32</v>
      </c>
      <c r="AD38" s="526" t="s">
        <v>32</v>
      </c>
      <c r="AE38" s="526" t="s">
        <v>32</v>
      </c>
      <c r="AF38" s="526" t="s">
        <v>32</v>
      </c>
      <c r="AG38" s="526" t="s">
        <v>32</v>
      </c>
      <c r="AH38" s="526" t="s">
        <v>32</v>
      </c>
      <c r="AI38" s="526" t="s">
        <v>32</v>
      </c>
      <c r="AJ38" s="526" t="s">
        <v>32</v>
      </c>
    </row>
    <row r="39" spans="1:38" ht="16.5" thickBot="1" x14ac:dyDescent="0.45">
      <c r="A39" s="790" t="s">
        <v>591</v>
      </c>
      <c r="B39" s="796" t="s">
        <v>583</v>
      </c>
      <c r="C39" s="797">
        <f t="shared" ref="C39:M39" si="3">C38*1000</f>
        <v>16095420</v>
      </c>
      <c r="D39" s="797">
        <f t="shared" si="3"/>
        <v>16831750</v>
      </c>
      <c r="E39" s="797">
        <f t="shared" si="3"/>
        <v>16864640</v>
      </c>
      <c r="F39" s="797">
        <f t="shared" si="3"/>
        <v>17823360</v>
      </c>
      <c r="G39" s="797">
        <f t="shared" si="3"/>
        <v>19321470</v>
      </c>
      <c r="H39" s="797">
        <f t="shared" si="3"/>
        <v>18231720</v>
      </c>
      <c r="I39" s="797">
        <f t="shared" si="3"/>
        <v>18822770</v>
      </c>
      <c r="J39" s="797">
        <f t="shared" si="3"/>
        <v>18985800</v>
      </c>
      <c r="K39" s="797">
        <f t="shared" si="3"/>
        <v>18044399.999999996</v>
      </c>
      <c r="L39" s="797">
        <f t="shared" si="3"/>
        <v>18624000</v>
      </c>
      <c r="M39" s="797">
        <f t="shared" si="3"/>
        <v>18003199.999999996</v>
      </c>
      <c r="N39" s="771">
        <v>17692640.969999999</v>
      </c>
      <c r="O39" s="771">
        <v>16456107.920000002</v>
      </c>
      <c r="P39" s="771">
        <v>16699509.750000002</v>
      </c>
      <c r="Q39" s="771">
        <v>17095579.050000001</v>
      </c>
      <c r="R39" s="771">
        <v>17346858.960000001</v>
      </c>
      <c r="S39" s="771">
        <v>17338826</v>
      </c>
      <c r="T39" s="771">
        <v>16483504</v>
      </c>
      <c r="U39" s="770">
        <v>17868107</v>
      </c>
      <c r="V39" s="770">
        <v>17560428</v>
      </c>
      <c r="W39" s="796" t="s">
        <v>32</v>
      </c>
      <c r="X39" s="796" t="s">
        <v>32</v>
      </c>
      <c r="Y39" s="796" t="s">
        <v>32</v>
      </c>
      <c r="Z39" s="796" t="s">
        <v>32</v>
      </c>
      <c r="AA39" s="796" t="s">
        <v>32</v>
      </c>
      <c r="AB39" s="796" t="s">
        <v>32</v>
      </c>
      <c r="AC39" s="796" t="s">
        <v>32</v>
      </c>
      <c r="AD39" s="796" t="s">
        <v>32</v>
      </c>
      <c r="AE39" s="796" t="s">
        <v>32</v>
      </c>
      <c r="AF39" s="796" t="s">
        <v>32</v>
      </c>
      <c r="AG39" s="796" t="s">
        <v>32</v>
      </c>
      <c r="AH39" s="796" t="s">
        <v>32</v>
      </c>
      <c r="AI39" s="796" t="s">
        <v>32</v>
      </c>
      <c r="AJ39" s="796" t="s">
        <v>32</v>
      </c>
    </row>
    <row r="40" spans="1:38" ht="17" x14ac:dyDescent="0.45">
      <c r="A40" s="1425" t="s">
        <v>1351</v>
      </c>
      <c r="B40" s="549" t="s">
        <v>584</v>
      </c>
      <c r="C40" s="776">
        <f t="shared" ref="C40:V40" si="4">C39*$C$232</f>
        <v>3218428459.8433166</v>
      </c>
      <c r="D40" s="776">
        <f t="shared" si="4"/>
        <v>3365664470.3255796</v>
      </c>
      <c r="E40" s="776">
        <f t="shared" si="4"/>
        <v>3372241130.7696218</v>
      </c>
      <c r="F40" s="776">
        <f t="shared" si="4"/>
        <v>3563946083.6705704</v>
      </c>
      <c r="G40" s="776">
        <f t="shared" si="4"/>
        <v>3863507068.0981822</v>
      </c>
      <c r="H40" s="776">
        <f t="shared" si="4"/>
        <v>3645601451.8350306</v>
      </c>
      <c r="I40" s="776">
        <f t="shared" si="4"/>
        <v>3763787379.3343062</v>
      </c>
      <c r="J40" s="776">
        <f t="shared" si="4"/>
        <v>3796386739.3887973</v>
      </c>
      <c r="K40" s="776">
        <f t="shared" si="4"/>
        <v>3608145081.0725489</v>
      </c>
      <c r="L40" s="776">
        <f t="shared" si="4"/>
        <v>3724041474.9116158</v>
      </c>
      <c r="M40" s="776">
        <f t="shared" si="4"/>
        <v>3599906759.0812283</v>
      </c>
      <c r="N40" s="776">
        <f t="shared" si="4"/>
        <v>3537807601.6430669</v>
      </c>
      <c r="O40" s="776">
        <f t="shared" si="4"/>
        <v>3290551353.613699</v>
      </c>
      <c r="P40" s="776">
        <f t="shared" si="4"/>
        <v>3339221806.2548819</v>
      </c>
      <c r="Q40" s="776">
        <f t="shared" si="4"/>
        <v>3418419534.9994698</v>
      </c>
      <c r="R40" s="776">
        <f t="shared" si="4"/>
        <v>3468665282.7793269</v>
      </c>
      <c r="S40" s="776">
        <f t="shared" si="4"/>
        <v>3467059017.9486618</v>
      </c>
      <c r="T40" s="776">
        <f t="shared" si="4"/>
        <v>3296029453.8161254</v>
      </c>
      <c r="U40" s="776">
        <f t="shared" si="4"/>
        <v>3572893661.1983771</v>
      </c>
      <c r="V40" s="776">
        <f t="shared" si="4"/>
        <v>3511370392.4612994</v>
      </c>
      <c r="W40" s="1120" t="s">
        <v>32</v>
      </c>
      <c r="X40" s="1121" t="s">
        <v>32</v>
      </c>
      <c r="Y40" s="1121" t="s">
        <v>32</v>
      </c>
      <c r="Z40" s="1121" t="s">
        <v>32</v>
      </c>
      <c r="AA40" s="1121" t="s">
        <v>32</v>
      </c>
      <c r="AB40" s="1121" t="s">
        <v>32</v>
      </c>
      <c r="AC40" s="1121" t="s">
        <v>32</v>
      </c>
      <c r="AD40" s="1121" t="s">
        <v>32</v>
      </c>
      <c r="AE40" s="1121" t="s">
        <v>32</v>
      </c>
      <c r="AF40" s="1121" t="s">
        <v>32</v>
      </c>
      <c r="AG40" s="1121" t="s">
        <v>32</v>
      </c>
      <c r="AH40" s="1121" t="s">
        <v>32</v>
      </c>
      <c r="AI40" s="1121" t="s">
        <v>32</v>
      </c>
      <c r="AJ40" s="1121" t="s">
        <v>32</v>
      </c>
    </row>
    <row r="41" spans="1:38" ht="17" x14ac:dyDescent="0.45">
      <c r="A41" s="1425" t="s">
        <v>1351</v>
      </c>
      <c r="B41" s="1435" t="s">
        <v>1352</v>
      </c>
      <c r="C41" s="795">
        <f t="shared" ref="C41:V41" si="5">C40/$B$244</f>
        <v>1459854.594</v>
      </c>
      <c r="D41" s="795">
        <f t="shared" si="5"/>
        <v>1526639.7250000001</v>
      </c>
      <c r="E41" s="795">
        <f t="shared" si="5"/>
        <v>1529622.848</v>
      </c>
      <c r="F41" s="795">
        <f t="shared" si="5"/>
        <v>1616578.7520000001</v>
      </c>
      <c r="G41" s="795">
        <f t="shared" si="5"/>
        <v>1752457.3289999999</v>
      </c>
      <c r="H41" s="795">
        <f t="shared" si="5"/>
        <v>1653617.004</v>
      </c>
      <c r="I41" s="795">
        <f t="shared" si="5"/>
        <v>1707225.2390000001</v>
      </c>
      <c r="J41" s="795">
        <f t="shared" si="5"/>
        <v>1722012.06</v>
      </c>
      <c r="K41" s="795">
        <f t="shared" si="5"/>
        <v>1636627.0799999996</v>
      </c>
      <c r="L41" s="795">
        <f t="shared" si="5"/>
        <v>1689196.7999999998</v>
      </c>
      <c r="M41" s="795">
        <f t="shared" si="5"/>
        <v>1632890.2399999998</v>
      </c>
      <c r="N41" s="795">
        <f t="shared" si="5"/>
        <v>1604722.5359789997</v>
      </c>
      <c r="O41" s="795">
        <f t="shared" si="5"/>
        <v>1492568.988344</v>
      </c>
      <c r="P41" s="795">
        <f t="shared" si="5"/>
        <v>1514645.5343250001</v>
      </c>
      <c r="Q41" s="795">
        <f t="shared" si="5"/>
        <v>1550569.0198349999</v>
      </c>
      <c r="R41" s="795">
        <f t="shared" si="5"/>
        <v>1573360.1076720001</v>
      </c>
      <c r="S41" s="795">
        <f t="shared" si="5"/>
        <v>1572631.5182</v>
      </c>
      <c r="T41" s="795">
        <f t="shared" si="5"/>
        <v>1495053.8128</v>
      </c>
      <c r="U41" s="795">
        <f t="shared" si="5"/>
        <v>1620637.3049000001</v>
      </c>
      <c r="V41" s="795">
        <f t="shared" si="5"/>
        <v>1592730.8196</v>
      </c>
      <c r="W41" s="1122">
        <f>1742943</f>
        <v>1742943</v>
      </c>
      <c r="X41" s="1122">
        <f>1727724.6</f>
        <v>1727724.6</v>
      </c>
      <c r="Y41" s="1122">
        <f>1618303</f>
        <v>1618303</v>
      </c>
      <c r="Z41" s="1122">
        <f>1703048</f>
        <v>1703048</v>
      </c>
      <c r="AA41" s="1122">
        <v>1715299</v>
      </c>
      <c r="AB41" s="1122">
        <v>1656105.4</v>
      </c>
      <c r="AC41" s="1122">
        <v>1628730.9</v>
      </c>
      <c r="AD41" s="1122">
        <v>1670740.6</v>
      </c>
      <c r="AE41" s="1122">
        <v>1694091.4</v>
      </c>
      <c r="AF41" s="1123">
        <v>1738770.3</v>
      </c>
      <c r="AG41" s="1123">
        <v>1593424.1</v>
      </c>
      <c r="AH41" s="1123">
        <v>1650492.3</v>
      </c>
      <c r="AI41" s="1123">
        <v>1710150.3</v>
      </c>
      <c r="AJ41" s="1123">
        <v>1672080</v>
      </c>
    </row>
    <row r="42" spans="1:38" ht="17" x14ac:dyDescent="0.45">
      <c r="A42" s="1425" t="s">
        <v>1349</v>
      </c>
      <c r="B42" s="1436" t="s">
        <v>1189</v>
      </c>
      <c r="C42" s="795">
        <f t="shared" ref="C42:AJ42" si="6">C41/1000000</f>
        <v>1.4598545940000001</v>
      </c>
      <c r="D42" s="795">
        <f t="shared" si="6"/>
        <v>1.5266397250000001</v>
      </c>
      <c r="E42" s="795">
        <f t="shared" si="6"/>
        <v>1.529622848</v>
      </c>
      <c r="F42" s="795">
        <f t="shared" si="6"/>
        <v>1.6165787520000001</v>
      </c>
      <c r="G42" s="795">
        <f t="shared" si="6"/>
        <v>1.7524573289999998</v>
      </c>
      <c r="H42" s="795">
        <f t="shared" si="6"/>
        <v>1.653617004</v>
      </c>
      <c r="I42" s="795">
        <f t="shared" si="6"/>
        <v>1.707225239</v>
      </c>
      <c r="J42" s="795">
        <f t="shared" si="6"/>
        <v>1.72201206</v>
      </c>
      <c r="K42" s="795">
        <f t="shared" si="6"/>
        <v>1.6366270799999996</v>
      </c>
      <c r="L42" s="795">
        <f t="shared" si="6"/>
        <v>1.6891967999999997</v>
      </c>
      <c r="M42" s="795">
        <f t="shared" si="6"/>
        <v>1.6328902399999998</v>
      </c>
      <c r="N42" s="795">
        <f t="shared" si="6"/>
        <v>1.6047225359789996</v>
      </c>
      <c r="O42" s="795">
        <f t="shared" si="6"/>
        <v>1.4925689883439999</v>
      </c>
      <c r="P42" s="795">
        <f t="shared" si="6"/>
        <v>1.514645534325</v>
      </c>
      <c r="Q42" s="795">
        <f t="shared" si="6"/>
        <v>1.550569019835</v>
      </c>
      <c r="R42" s="795">
        <f t="shared" si="6"/>
        <v>1.5733601076720001</v>
      </c>
      <c r="S42" s="795">
        <f t="shared" si="6"/>
        <v>1.5726315182000001</v>
      </c>
      <c r="T42" s="795">
        <f t="shared" si="6"/>
        <v>1.4950538127999999</v>
      </c>
      <c r="U42" s="795">
        <f t="shared" si="6"/>
        <v>1.6206373049</v>
      </c>
      <c r="V42" s="795">
        <f t="shared" si="6"/>
        <v>1.5927308196000001</v>
      </c>
      <c r="W42" s="795">
        <f t="shared" si="6"/>
        <v>1.7429429999999999</v>
      </c>
      <c r="X42" s="795">
        <f t="shared" si="6"/>
        <v>1.7277246000000002</v>
      </c>
      <c r="Y42" s="795">
        <f t="shared" si="6"/>
        <v>1.618303</v>
      </c>
      <c r="Z42" s="795">
        <f t="shared" si="6"/>
        <v>1.7030479999999999</v>
      </c>
      <c r="AA42" s="795">
        <f t="shared" si="6"/>
        <v>1.7152989999999999</v>
      </c>
      <c r="AB42" s="795">
        <f t="shared" si="6"/>
        <v>1.6561053999999999</v>
      </c>
      <c r="AC42" s="795">
        <f t="shared" si="6"/>
        <v>1.6287308999999999</v>
      </c>
      <c r="AD42" s="795">
        <f t="shared" si="6"/>
        <v>1.6707406</v>
      </c>
      <c r="AE42" s="795">
        <f t="shared" si="6"/>
        <v>1.6940913999999998</v>
      </c>
      <c r="AF42" s="795">
        <f t="shared" si="6"/>
        <v>1.7387703000000001</v>
      </c>
      <c r="AG42" s="795">
        <f t="shared" si="6"/>
        <v>1.5934241</v>
      </c>
      <c r="AH42" s="795">
        <f t="shared" si="6"/>
        <v>1.6504923</v>
      </c>
      <c r="AI42" s="795">
        <f t="shared" si="6"/>
        <v>1.7101503</v>
      </c>
      <c r="AJ42" s="795">
        <f t="shared" si="6"/>
        <v>1.67208</v>
      </c>
    </row>
    <row r="43" spans="1:38" x14ac:dyDescent="0.4">
      <c r="A43" s="1299" t="s">
        <v>1063</v>
      </c>
      <c r="B43" s="665"/>
      <c r="C43" s="1300"/>
      <c r="D43" s="1300"/>
      <c r="E43" s="1300"/>
      <c r="F43" s="1300"/>
      <c r="G43" s="1300"/>
      <c r="H43" s="1300"/>
      <c r="I43" s="1300"/>
      <c r="J43" s="1300"/>
      <c r="K43" s="1300"/>
      <c r="L43" s="1300"/>
      <c r="M43" s="1300"/>
      <c r="N43" s="1300"/>
      <c r="O43" s="1300"/>
      <c r="P43" s="1300"/>
      <c r="Q43" s="1300"/>
      <c r="R43" s="1300"/>
      <c r="S43" s="1300"/>
      <c r="T43" s="1300"/>
      <c r="U43" s="1300"/>
      <c r="V43" s="1300"/>
      <c r="W43" s="1300"/>
      <c r="X43" s="1300"/>
      <c r="Y43" s="1300"/>
      <c r="Z43" s="1300"/>
      <c r="AA43" s="1300"/>
      <c r="AB43" s="1300"/>
      <c r="AC43" s="1300"/>
      <c r="AD43" s="1300"/>
      <c r="AE43" s="1300"/>
      <c r="AF43" s="1300"/>
      <c r="AG43" s="1300"/>
      <c r="AH43" s="1300"/>
      <c r="AI43" s="1300"/>
      <c r="AJ43" s="1300"/>
    </row>
    <row r="44" spans="1:38" x14ac:dyDescent="0.4">
      <c r="A44" s="754"/>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row>
    <row r="45" spans="1:38" x14ac:dyDescent="0.4">
      <c r="A45" s="3" t="s">
        <v>457</v>
      </c>
    </row>
    <row r="46" spans="1:38" x14ac:dyDescent="0.4">
      <c r="A46" s="237" t="s">
        <v>593</v>
      </c>
      <c r="C46" s="237"/>
      <c r="D46" s="237"/>
      <c r="E46" s="237"/>
      <c r="F46" s="237"/>
      <c r="G46" s="237"/>
      <c r="H46" s="237"/>
      <c r="I46" s="237"/>
      <c r="J46" s="237"/>
      <c r="K46" s="237"/>
      <c r="L46" s="237"/>
      <c r="M46" s="237"/>
      <c r="N46" s="237"/>
      <c r="O46" s="237"/>
      <c r="P46" s="237"/>
      <c r="Q46" s="237"/>
      <c r="R46" s="237"/>
      <c r="S46" s="237"/>
      <c r="T46" s="237"/>
      <c r="U46" s="237"/>
      <c r="V46" s="237"/>
      <c r="W46" s="237"/>
      <c r="X46" s="237"/>
    </row>
    <row r="47" spans="1:38" x14ac:dyDescent="0.4">
      <c r="A47" s="227" t="s">
        <v>595</v>
      </c>
      <c r="C47" s="237"/>
      <c r="D47" s="237"/>
      <c r="E47" s="237"/>
      <c r="F47" s="237"/>
      <c r="G47" s="237"/>
      <c r="H47" s="237"/>
      <c r="I47" s="237"/>
      <c r="J47" s="237"/>
      <c r="K47" s="237"/>
      <c r="L47" s="237"/>
      <c r="M47" s="237"/>
      <c r="N47" s="237"/>
      <c r="O47" s="237"/>
      <c r="P47" s="237"/>
      <c r="Q47" s="237"/>
      <c r="R47" s="237"/>
      <c r="S47" s="237"/>
      <c r="T47" s="237"/>
      <c r="U47" s="237"/>
      <c r="V47" s="237"/>
      <c r="W47" s="237"/>
      <c r="X47" s="237"/>
    </row>
    <row r="48" spans="1:38" x14ac:dyDescent="0.4">
      <c r="A48" s="3" t="s">
        <v>594</v>
      </c>
      <c r="C48" s="237"/>
      <c r="D48" s="237"/>
      <c r="E48" s="237"/>
      <c r="F48" s="237"/>
      <c r="G48" s="237"/>
      <c r="H48" s="237"/>
      <c r="I48" s="237"/>
      <c r="J48" s="237"/>
      <c r="K48" s="237"/>
      <c r="L48" s="237"/>
      <c r="M48" s="237"/>
      <c r="N48" s="237"/>
      <c r="O48" s="237"/>
      <c r="P48" s="237"/>
      <c r="Q48" s="237"/>
      <c r="R48" s="237"/>
      <c r="S48" s="237"/>
      <c r="T48" s="237"/>
      <c r="U48" s="237"/>
      <c r="V48" s="237"/>
      <c r="W48" s="237"/>
      <c r="X48" s="237"/>
    </row>
    <row r="49" spans="1:38" ht="17" x14ac:dyDescent="0.4">
      <c r="A49" s="1483" t="s">
        <v>1585</v>
      </c>
      <c r="C49" s="237"/>
      <c r="D49" s="237"/>
      <c r="E49" s="237"/>
      <c r="F49" s="237"/>
      <c r="G49" s="237"/>
      <c r="H49" s="237"/>
      <c r="I49" s="237"/>
      <c r="J49" s="237"/>
      <c r="K49" s="237"/>
      <c r="L49" s="237"/>
      <c r="M49" s="237"/>
      <c r="N49" s="237"/>
      <c r="O49" s="237"/>
      <c r="P49" s="237"/>
      <c r="Q49" s="237"/>
      <c r="R49" s="237"/>
      <c r="S49" s="237"/>
      <c r="T49" s="237"/>
      <c r="U49" s="237"/>
      <c r="V49" s="237"/>
      <c r="W49" s="237"/>
      <c r="X49" s="237"/>
    </row>
    <row r="50" spans="1:38" ht="17" x14ac:dyDescent="0.45">
      <c r="A50" s="1434" t="s">
        <v>1350</v>
      </c>
      <c r="C50" s="237"/>
      <c r="D50" s="237"/>
      <c r="F50" s="237"/>
      <c r="G50" s="237"/>
      <c r="H50" s="237"/>
      <c r="I50" s="237"/>
      <c r="J50" s="237"/>
      <c r="K50" s="237"/>
      <c r="L50" s="237"/>
      <c r="M50" s="237"/>
      <c r="N50" s="237"/>
      <c r="O50" s="237"/>
      <c r="P50" s="237"/>
      <c r="Q50" s="237"/>
      <c r="R50" s="237"/>
      <c r="S50" s="237"/>
      <c r="T50" s="237"/>
      <c r="U50" s="237"/>
      <c r="V50" s="237"/>
      <c r="W50" s="237"/>
      <c r="X50" s="237"/>
    </row>
    <row r="51" spans="1:38" ht="16.5" thickBot="1" x14ac:dyDescent="0.45">
      <c r="A51" s="54"/>
      <c r="B51" s="237"/>
      <c r="C51" s="237"/>
      <c r="D51" s="237"/>
      <c r="E51" s="237"/>
      <c r="F51" s="237"/>
      <c r="G51" s="237"/>
      <c r="H51" s="237"/>
      <c r="I51" s="237"/>
      <c r="J51" s="237"/>
      <c r="K51" s="237"/>
      <c r="L51" s="237"/>
      <c r="M51" s="237"/>
      <c r="N51" s="237"/>
      <c r="O51" s="237"/>
      <c r="P51" s="237"/>
      <c r="Q51" s="237"/>
      <c r="R51" s="237"/>
      <c r="S51" s="237"/>
      <c r="T51" s="237"/>
      <c r="U51" s="237"/>
      <c r="V51" s="237"/>
      <c r="W51" s="237"/>
      <c r="X51" s="237"/>
    </row>
    <row r="52" spans="1:38" ht="16.5" thickBot="1" x14ac:dyDescent="0.45">
      <c r="A52" s="764" t="s">
        <v>923</v>
      </c>
    </row>
    <row r="53" spans="1:38" s="28" customFormat="1" x14ac:dyDescent="0.4">
      <c r="A53" s="1283" t="s">
        <v>936</v>
      </c>
      <c r="B53" s="71" t="s">
        <v>136</v>
      </c>
      <c r="C53" s="652" t="s">
        <v>391</v>
      </c>
      <c r="D53" s="652" t="s">
        <v>392</v>
      </c>
      <c r="E53" s="652" t="s">
        <v>393</v>
      </c>
      <c r="F53" s="652" t="s">
        <v>394</v>
      </c>
      <c r="G53" s="652" t="s">
        <v>395</v>
      </c>
      <c r="H53" s="652" t="s">
        <v>396</v>
      </c>
      <c r="I53" s="652" t="s">
        <v>397</v>
      </c>
      <c r="J53" s="652" t="s">
        <v>398</v>
      </c>
      <c r="K53" s="652" t="s">
        <v>399</v>
      </c>
      <c r="L53" s="652" t="s">
        <v>400</v>
      </c>
      <c r="M53" s="652" t="s">
        <v>401</v>
      </c>
      <c r="N53" s="652" t="s">
        <v>402</v>
      </c>
      <c r="O53" s="652" t="s">
        <v>403</v>
      </c>
      <c r="P53" s="652" t="s">
        <v>404</v>
      </c>
      <c r="Q53" s="652" t="s">
        <v>405</v>
      </c>
      <c r="R53" s="652" t="s">
        <v>406</v>
      </c>
      <c r="S53" s="652" t="s">
        <v>407</v>
      </c>
      <c r="T53" s="652" t="s">
        <v>408</v>
      </c>
      <c r="U53" s="652" t="s">
        <v>409</v>
      </c>
      <c r="V53" s="652" t="s">
        <v>410</v>
      </c>
      <c r="W53" s="652" t="s">
        <v>411</v>
      </c>
      <c r="X53" s="652" t="s">
        <v>412</v>
      </c>
      <c r="Y53" s="652" t="s">
        <v>413</v>
      </c>
      <c r="Z53" s="652" t="s">
        <v>414</v>
      </c>
      <c r="AA53" s="652" t="s">
        <v>415</v>
      </c>
      <c r="AB53" s="652" t="s">
        <v>416</v>
      </c>
      <c r="AC53" s="652" t="s">
        <v>417</v>
      </c>
      <c r="AD53" s="652" t="s">
        <v>418</v>
      </c>
      <c r="AE53" s="652" t="s">
        <v>419</v>
      </c>
      <c r="AF53" s="652" t="s">
        <v>420</v>
      </c>
      <c r="AG53" s="652" t="s">
        <v>421</v>
      </c>
      <c r="AH53" s="652" t="s">
        <v>422</v>
      </c>
      <c r="AI53" s="652" t="s">
        <v>423</v>
      </c>
      <c r="AJ53" s="652" t="s">
        <v>424</v>
      </c>
      <c r="AK53" s="3"/>
      <c r="AL53" s="3"/>
    </row>
    <row r="54" spans="1:38" ht="16.5" thickBot="1" x14ac:dyDescent="0.45">
      <c r="A54" s="793" t="s">
        <v>591</v>
      </c>
      <c r="B54" s="794" t="s">
        <v>583</v>
      </c>
      <c r="C54" s="768">
        <v>0</v>
      </c>
      <c r="D54" s="768">
        <v>0</v>
      </c>
      <c r="E54" s="768">
        <v>0</v>
      </c>
      <c r="F54" s="769">
        <v>73000</v>
      </c>
      <c r="G54" s="769">
        <v>171500</v>
      </c>
      <c r="H54" s="769">
        <v>237500</v>
      </c>
      <c r="I54" s="769">
        <v>291475</v>
      </c>
      <c r="J54" s="769">
        <v>792640</v>
      </c>
      <c r="K54" s="769">
        <v>1001298</v>
      </c>
      <c r="L54" s="769">
        <f>(K54+N54)/2</f>
        <v>1403018.5</v>
      </c>
      <c r="M54" s="769">
        <f>(K54+N54)/2</f>
        <v>1403018.5</v>
      </c>
      <c r="N54" s="769">
        <v>1804739</v>
      </c>
      <c r="O54" s="769">
        <v>1542259</v>
      </c>
      <c r="P54" s="769">
        <v>1853492</v>
      </c>
      <c r="Q54" s="769">
        <v>1694916</v>
      </c>
      <c r="R54" s="769">
        <v>1877110</v>
      </c>
      <c r="S54" s="769">
        <v>1738250</v>
      </c>
      <c r="T54" s="770">
        <v>1829535</v>
      </c>
      <c r="U54" s="770">
        <v>1985230</v>
      </c>
      <c r="V54" s="770">
        <v>1739407</v>
      </c>
      <c r="W54" s="770">
        <v>1789661</v>
      </c>
      <c r="X54" s="770">
        <v>1795811</v>
      </c>
      <c r="Y54" s="771">
        <v>1780657</v>
      </c>
      <c r="Z54" s="771">
        <v>1862265</v>
      </c>
      <c r="AA54" s="771">
        <v>2069829</v>
      </c>
      <c r="AB54" s="771">
        <v>1852552</v>
      </c>
      <c r="AC54" s="771">
        <v>2100758</v>
      </c>
      <c r="AD54" s="771">
        <v>1788269</v>
      </c>
      <c r="AE54" s="771">
        <v>1972025</v>
      </c>
      <c r="AF54" s="771">
        <v>1776150</v>
      </c>
      <c r="AG54" s="771">
        <v>1769403</v>
      </c>
      <c r="AH54" s="771">
        <v>1605038</v>
      </c>
      <c r="AI54" s="771">
        <v>1255520</v>
      </c>
      <c r="AJ54" s="771">
        <v>1046866</v>
      </c>
    </row>
    <row r="55" spans="1:38" ht="17" x14ac:dyDescent="0.45">
      <c r="A55" s="1437" t="s">
        <v>1349</v>
      </c>
      <c r="B55" s="3" t="s">
        <v>584</v>
      </c>
      <c r="C55" s="772">
        <f t="shared" ref="C55:AJ55" si="7">C54*$C$226</f>
        <v>0</v>
      </c>
      <c r="D55" s="772">
        <f t="shared" si="7"/>
        <v>0</v>
      </c>
      <c r="E55" s="772">
        <f t="shared" si="7"/>
        <v>0</v>
      </c>
      <c r="F55" s="772">
        <f t="shared" si="7"/>
        <v>8380013.0871081995</v>
      </c>
      <c r="G55" s="772">
        <f t="shared" si="7"/>
        <v>19687291.0197131</v>
      </c>
      <c r="H55" s="772">
        <f t="shared" si="7"/>
        <v>27263741.2080575</v>
      </c>
      <c r="I55" s="772">
        <f t="shared" si="7"/>
        <v>33459785.131025512</v>
      </c>
      <c r="J55" s="772">
        <f t="shared" si="7"/>
        <v>90990870.868019775</v>
      </c>
      <c r="K55" s="772">
        <f t="shared" si="7"/>
        <v>114943703.34377077</v>
      </c>
      <c r="L55" s="772">
        <f t="shared" si="7"/>
        <v>161059087.55417693</v>
      </c>
      <c r="M55" s="772">
        <f t="shared" si="7"/>
        <v>161059087.55417693</v>
      </c>
      <c r="N55" s="772">
        <f t="shared" si="7"/>
        <v>207174471.76458308</v>
      </c>
      <c r="O55" s="772">
        <f t="shared" si="7"/>
        <v>177043158.95493704</v>
      </c>
      <c r="P55" s="772">
        <f t="shared" si="7"/>
        <v>212771057.7650733</v>
      </c>
      <c r="Q55" s="772">
        <f t="shared" si="7"/>
        <v>194567373.44587782</v>
      </c>
      <c r="R55" s="772">
        <f t="shared" si="7"/>
        <v>215482278.98550236</v>
      </c>
      <c r="S55" s="772">
        <f t="shared" si="7"/>
        <v>199541886.96802503</v>
      </c>
      <c r="T55" s="772">
        <f t="shared" si="7"/>
        <v>210020921.14140412</v>
      </c>
      <c r="U55" s="772">
        <f t="shared" si="7"/>
        <v>227893881.93040836</v>
      </c>
      <c r="V55" s="772">
        <f t="shared" si="7"/>
        <v>199674704.43572071</v>
      </c>
      <c r="W55" s="772">
        <f t="shared" si="7"/>
        <v>205443597.28064585</v>
      </c>
      <c r="X55" s="772">
        <f t="shared" si="7"/>
        <v>206149584.68455976</v>
      </c>
      <c r="Y55" s="772">
        <f t="shared" si="7"/>
        <v>204409985.80343595</v>
      </c>
      <c r="Z55" s="772">
        <f t="shared" si="7"/>
        <v>213778151.66662398</v>
      </c>
      <c r="AA55" s="772">
        <f t="shared" si="7"/>
        <v>237605398.74076819</v>
      </c>
      <c r="AB55" s="772">
        <f t="shared" si="7"/>
        <v>212663150.74723932</v>
      </c>
      <c r="AC55" s="772">
        <f t="shared" si="7"/>
        <v>241155884.01160613</v>
      </c>
      <c r="AD55" s="772">
        <f t="shared" si="7"/>
        <v>205283803.05849168</v>
      </c>
      <c r="AE55" s="772">
        <f t="shared" si="7"/>
        <v>226378017.91924039</v>
      </c>
      <c r="AF55" s="772">
        <f t="shared" si="7"/>
        <v>203892606.0913319</v>
      </c>
      <c r="AG55" s="772">
        <f t="shared" si="7"/>
        <v>203118086.25162342</v>
      </c>
      <c r="AH55" s="772">
        <f t="shared" si="7"/>
        <v>184249855.41515028</v>
      </c>
      <c r="AI55" s="772">
        <f t="shared" si="7"/>
        <v>144127041.52227515</v>
      </c>
      <c r="AJ55" s="772">
        <f t="shared" si="7"/>
        <v>120174668.22532345</v>
      </c>
    </row>
    <row r="56" spans="1:38" ht="17" x14ac:dyDescent="0.45">
      <c r="A56" s="1437" t="s">
        <v>1349</v>
      </c>
      <c r="B56" s="1403" t="s">
        <v>1189</v>
      </c>
      <c r="C56" s="766">
        <f t="shared" ref="C56:AJ56" si="8">C55/($B$244*1000000)</f>
        <v>0</v>
      </c>
      <c r="D56" s="766">
        <f t="shared" si="8"/>
        <v>0</v>
      </c>
      <c r="E56" s="766">
        <f t="shared" si="8"/>
        <v>0</v>
      </c>
      <c r="F56" s="766">
        <f t="shared" si="8"/>
        <v>3.8011099999999999E-3</v>
      </c>
      <c r="G56" s="766">
        <f t="shared" si="8"/>
        <v>8.9300049999999995E-3</v>
      </c>
      <c r="H56" s="766">
        <f t="shared" si="8"/>
        <v>1.2366625000000001E-2</v>
      </c>
      <c r="I56" s="766">
        <f t="shared" si="8"/>
        <v>1.5177103249999999E-2</v>
      </c>
      <c r="J56" s="766">
        <f t="shared" si="8"/>
        <v>4.12727648E-2</v>
      </c>
      <c r="K56" s="766">
        <f t="shared" si="8"/>
        <v>5.2137586860000001E-2</v>
      </c>
      <c r="L56" s="766">
        <f t="shared" si="8"/>
        <v>7.3055173294999998E-2</v>
      </c>
      <c r="M56" s="766">
        <f t="shared" si="8"/>
        <v>7.3055173294999998E-2</v>
      </c>
      <c r="N56" s="766">
        <f t="shared" si="8"/>
        <v>9.3972759729999994E-2</v>
      </c>
      <c r="O56" s="766">
        <f t="shared" si="8"/>
        <v>8.0305426129999996E-2</v>
      </c>
      <c r="P56" s="766">
        <f t="shared" si="8"/>
        <v>9.6511328439999988E-2</v>
      </c>
      <c r="Q56" s="766">
        <f t="shared" si="8"/>
        <v>8.8254276119999989E-2</v>
      </c>
      <c r="R56" s="766">
        <f t="shared" si="8"/>
        <v>9.7741117699999991E-2</v>
      </c>
      <c r="S56" s="766">
        <f t="shared" si="8"/>
        <v>9.0510677499999984E-2</v>
      </c>
      <c r="T56" s="766">
        <f t="shared" si="8"/>
        <v>9.5263887450000001E-2</v>
      </c>
      <c r="U56" s="766">
        <f t="shared" si="8"/>
        <v>0.1033709261</v>
      </c>
      <c r="V56" s="766">
        <f t="shared" si="8"/>
        <v>9.0570922489999997E-2</v>
      </c>
      <c r="W56" s="766">
        <f t="shared" si="8"/>
        <v>9.3187648269999993E-2</v>
      </c>
      <c r="X56" s="766">
        <f t="shared" si="8"/>
        <v>9.3507878769999997E-2</v>
      </c>
      <c r="Y56" s="766">
        <f t="shared" si="8"/>
        <v>9.2718809989999984E-2</v>
      </c>
      <c r="Z56" s="766">
        <f t="shared" si="8"/>
        <v>9.6968138549999985E-2</v>
      </c>
      <c r="AA56" s="766">
        <f t="shared" si="8"/>
        <v>0.10777599603</v>
      </c>
      <c r="AB56" s="766">
        <f t="shared" si="8"/>
        <v>9.6462382639999997E-2</v>
      </c>
      <c r="AC56" s="766">
        <f t="shared" si="8"/>
        <v>0.10938646905999999</v>
      </c>
      <c r="AD56" s="766">
        <f t="shared" si="8"/>
        <v>9.3115166829999998E-2</v>
      </c>
      <c r="AE56" s="766">
        <f t="shared" si="8"/>
        <v>0.10268334175</v>
      </c>
      <c r="AF56" s="766">
        <f t="shared" si="8"/>
        <v>9.2484130499999997E-2</v>
      </c>
      <c r="AG56" s="766">
        <f t="shared" si="8"/>
        <v>9.2132814209999997E-2</v>
      </c>
      <c r="AH56" s="766">
        <f t="shared" si="8"/>
        <v>8.3574328660000002E-2</v>
      </c>
      <c r="AI56" s="766">
        <f t="shared" si="8"/>
        <v>6.5374926399999991E-2</v>
      </c>
      <c r="AJ56" s="766">
        <f t="shared" si="8"/>
        <v>5.4510312619999994E-2</v>
      </c>
    </row>
    <row r="57" spans="1:38" ht="17" x14ac:dyDescent="0.45">
      <c r="A57" s="1438" t="s">
        <v>1042</v>
      </c>
      <c r="B57" s="3" t="s">
        <v>584</v>
      </c>
      <c r="C57" s="772">
        <f t="shared" ref="C57:AJ57" si="9">C54*$D$226</f>
        <v>0</v>
      </c>
      <c r="D57" s="772">
        <f t="shared" si="9"/>
        <v>0</v>
      </c>
      <c r="E57" s="772">
        <f t="shared" si="9"/>
        <v>0</v>
      </c>
      <c r="F57" s="772">
        <f t="shared" si="9"/>
        <v>514.99984403200006</v>
      </c>
      <c r="G57" s="772">
        <f t="shared" si="9"/>
        <v>1209.8968938559999</v>
      </c>
      <c r="H57" s="772">
        <f t="shared" si="9"/>
        <v>1675.5131911999999</v>
      </c>
      <c r="I57" s="772">
        <f t="shared" si="9"/>
        <v>2056.2956101263999</v>
      </c>
      <c r="J57" s="772">
        <f t="shared" si="9"/>
        <v>5591.9106352537601</v>
      </c>
      <c r="K57" s="772">
        <f t="shared" si="9"/>
        <v>7063.9495045144322</v>
      </c>
      <c r="L57" s="772">
        <f t="shared" si="9"/>
        <v>9898.0042284111041</v>
      </c>
      <c r="M57" s="772">
        <f t="shared" si="9"/>
        <v>9898.0042284111041</v>
      </c>
      <c r="N57" s="772">
        <f t="shared" si="9"/>
        <v>12732.058952307776</v>
      </c>
      <c r="O57" s="772">
        <f t="shared" si="9"/>
        <v>10880.317047355456</v>
      </c>
      <c r="P57" s="772">
        <f t="shared" si="9"/>
        <v>13076.001245404928</v>
      </c>
      <c r="Q57" s="772">
        <f t="shared" si="9"/>
        <v>11957.280488319744</v>
      </c>
      <c r="R57" s="772">
        <f t="shared" si="9"/>
        <v>13242.621331930241</v>
      </c>
      <c r="S57" s="772">
        <f t="shared" si="9"/>
        <v>12262.992861488001</v>
      </c>
      <c r="T57" s="772">
        <f t="shared" si="9"/>
        <v>12906.989584261441</v>
      </c>
      <c r="U57" s="772">
        <f t="shared" si="9"/>
        <v>14005.385484488321</v>
      </c>
      <c r="V57" s="772">
        <f t="shared" si="9"/>
        <v>12271.155256276288</v>
      </c>
      <c r="W57" s="772">
        <f t="shared" si="9"/>
        <v>12625.686792741824</v>
      </c>
      <c r="X57" s="772">
        <f t="shared" si="9"/>
        <v>12669.073765903424</v>
      </c>
      <c r="Y57" s="772">
        <f t="shared" si="9"/>
        <v>12562.165442116288</v>
      </c>
      <c r="Z57" s="772">
        <f t="shared" si="9"/>
        <v>13137.89293898976</v>
      </c>
      <c r="AA57" s="772">
        <f t="shared" si="9"/>
        <v>14602.213865382337</v>
      </c>
      <c r="AB57" s="772">
        <f t="shared" si="9"/>
        <v>13069.369740563969</v>
      </c>
      <c r="AC57" s="772">
        <f t="shared" si="9"/>
        <v>14820.411539027073</v>
      </c>
      <c r="AD57" s="772">
        <f t="shared" si="9"/>
        <v>12615.866521743295</v>
      </c>
      <c r="AE57" s="772">
        <f t="shared" si="9"/>
        <v>13912.226951057601</v>
      </c>
      <c r="AF57" s="772">
        <f t="shared" si="9"/>
        <v>12530.369492841601</v>
      </c>
      <c r="AG57" s="772">
        <f t="shared" si="9"/>
        <v>12482.770808626752</v>
      </c>
      <c r="AH57" s="772">
        <f t="shared" si="9"/>
        <v>11323.209858430591</v>
      </c>
      <c r="AI57" s="772">
        <f t="shared" si="9"/>
        <v>8857.4329339596807</v>
      </c>
      <c r="AJ57" s="772">
        <f t="shared" si="9"/>
        <v>7385.4222838685437</v>
      </c>
    </row>
    <row r="58" spans="1:38" ht="17" x14ac:dyDescent="0.45">
      <c r="A58" s="1439" t="s">
        <v>1353</v>
      </c>
      <c r="B58" s="3" t="s">
        <v>584</v>
      </c>
      <c r="C58" s="748">
        <f t="shared" ref="C58:AJ58" si="10">C57*$B$249</f>
        <v>0</v>
      </c>
      <c r="D58" s="748">
        <f t="shared" si="10"/>
        <v>0</v>
      </c>
      <c r="E58" s="748">
        <f t="shared" si="10"/>
        <v>0</v>
      </c>
      <c r="F58" s="748">
        <f t="shared" si="10"/>
        <v>12874.996100800001</v>
      </c>
      <c r="G58" s="748">
        <f t="shared" si="10"/>
        <v>30247.422346399999</v>
      </c>
      <c r="H58" s="748">
        <f t="shared" si="10"/>
        <v>41887.82978</v>
      </c>
      <c r="I58" s="748">
        <f t="shared" si="10"/>
        <v>51407.390253159996</v>
      </c>
      <c r="J58" s="748">
        <f t="shared" si="10"/>
        <v>139797.76588134401</v>
      </c>
      <c r="K58" s="748">
        <f t="shared" si="10"/>
        <v>176598.7376128608</v>
      </c>
      <c r="L58" s="748">
        <f t="shared" si="10"/>
        <v>247450.1057102776</v>
      </c>
      <c r="M58" s="748">
        <f t="shared" si="10"/>
        <v>247450.1057102776</v>
      </c>
      <c r="N58" s="748">
        <f t="shared" si="10"/>
        <v>318301.47380769439</v>
      </c>
      <c r="O58" s="748">
        <f t="shared" si="10"/>
        <v>272007.92618388642</v>
      </c>
      <c r="P58" s="748">
        <f t="shared" si="10"/>
        <v>326900.03113512322</v>
      </c>
      <c r="Q58" s="748">
        <f t="shared" si="10"/>
        <v>298932.0122079936</v>
      </c>
      <c r="R58" s="748">
        <f t="shared" si="10"/>
        <v>331065.53329825599</v>
      </c>
      <c r="S58" s="748">
        <f t="shared" si="10"/>
        <v>306574.82153720001</v>
      </c>
      <c r="T58" s="748">
        <f t="shared" si="10"/>
        <v>322674.73960653599</v>
      </c>
      <c r="U58" s="748">
        <f t="shared" si="10"/>
        <v>350134.637112208</v>
      </c>
      <c r="V58" s="748">
        <f t="shared" si="10"/>
        <v>306778.88140690723</v>
      </c>
      <c r="W58" s="748">
        <f t="shared" si="10"/>
        <v>315642.16981854563</v>
      </c>
      <c r="X58" s="748">
        <f t="shared" si="10"/>
        <v>316726.84414758562</v>
      </c>
      <c r="Y58" s="748">
        <f t="shared" si="10"/>
        <v>314054.13605290721</v>
      </c>
      <c r="Z58" s="748">
        <f t="shared" si="10"/>
        <v>328447.32347474399</v>
      </c>
      <c r="AA58" s="748">
        <f t="shared" si="10"/>
        <v>365055.3466345584</v>
      </c>
      <c r="AB58" s="748">
        <f t="shared" si="10"/>
        <v>326734.24351409922</v>
      </c>
      <c r="AC58" s="748">
        <f t="shared" si="10"/>
        <v>370510.28847567679</v>
      </c>
      <c r="AD58" s="748">
        <f t="shared" si="10"/>
        <v>315396.6630435824</v>
      </c>
      <c r="AE58" s="748">
        <f t="shared" si="10"/>
        <v>347805.67377644003</v>
      </c>
      <c r="AF58" s="748">
        <f t="shared" si="10"/>
        <v>313259.23732104001</v>
      </c>
      <c r="AG58" s="748">
        <f t="shared" si="10"/>
        <v>312069.27021566883</v>
      </c>
      <c r="AH58" s="748">
        <f t="shared" si="10"/>
        <v>283080.24646076479</v>
      </c>
      <c r="AI58" s="748">
        <f t="shared" si="10"/>
        <v>221435.82334899201</v>
      </c>
      <c r="AJ58" s="748">
        <f t="shared" si="10"/>
        <v>184635.5570967136</v>
      </c>
    </row>
    <row r="59" spans="1:38" ht="17" x14ac:dyDescent="0.45">
      <c r="A59" s="1440" t="s">
        <v>1354</v>
      </c>
      <c r="B59" s="1403" t="s">
        <v>1189</v>
      </c>
      <c r="C59" s="766">
        <f t="shared" ref="C59:AJ59" si="11">C58/($B$244*1000000)</f>
        <v>0</v>
      </c>
      <c r="D59" s="766">
        <f t="shared" si="11"/>
        <v>0</v>
      </c>
      <c r="E59" s="766">
        <f t="shared" si="11"/>
        <v>0</v>
      </c>
      <c r="F59" s="766">
        <f t="shared" si="11"/>
        <v>5.8400000000000008E-6</v>
      </c>
      <c r="G59" s="766">
        <f t="shared" si="11"/>
        <v>1.3719999999999999E-5</v>
      </c>
      <c r="H59" s="766">
        <f t="shared" si="11"/>
        <v>1.9000000000000001E-5</v>
      </c>
      <c r="I59" s="766">
        <f t="shared" si="11"/>
        <v>2.3317999999999999E-5</v>
      </c>
      <c r="J59" s="766">
        <f t="shared" si="11"/>
        <v>6.3411200000000007E-5</v>
      </c>
      <c r="K59" s="766">
        <f t="shared" si="11"/>
        <v>8.0103840000000007E-5</v>
      </c>
      <c r="L59" s="766">
        <f t="shared" si="11"/>
        <v>1.1224148E-4</v>
      </c>
      <c r="M59" s="766">
        <f t="shared" si="11"/>
        <v>1.1224148E-4</v>
      </c>
      <c r="N59" s="766">
        <f t="shared" si="11"/>
        <v>1.4437911999999999E-4</v>
      </c>
      <c r="O59" s="766">
        <f t="shared" si="11"/>
        <v>1.2338072E-4</v>
      </c>
      <c r="P59" s="766">
        <f t="shared" si="11"/>
        <v>1.4827936000000002E-4</v>
      </c>
      <c r="Q59" s="766">
        <f t="shared" si="11"/>
        <v>1.3559328000000001E-4</v>
      </c>
      <c r="R59" s="766">
        <f t="shared" si="11"/>
        <v>1.501688E-4</v>
      </c>
      <c r="S59" s="766">
        <f t="shared" si="11"/>
        <v>1.3906000000000001E-4</v>
      </c>
      <c r="T59" s="766">
        <f t="shared" si="11"/>
        <v>1.4636280000000001E-4</v>
      </c>
      <c r="U59" s="766">
        <f t="shared" si="11"/>
        <v>1.588184E-4</v>
      </c>
      <c r="V59" s="766">
        <f t="shared" si="11"/>
        <v>1.3915256000000001E-4</v>
      </c>
      <c r="W59" s="766">
        <f t="shared" si="11"/>
        <v>1.4317288000000001E-4</v>
      </c>
      <c r="X59" s="766">
        <f t="shared" si="11"/>
        <v>1.4366488000000001E-4</v>
      </c>
      <c r="Y59" s="766">
        <f t="shared" si="11"/>
        <v>1.4245256000000001E-4</v>
      </c>
      <c r="Z59" s="766">
        <f t="shared" si="11"/>
        <v>1.489812E-4</v>
      </c>
      <c r="AA59" s="766">
        <f t="shared" si="11"/>
        <v>1.6558632000000001E-4</v>
      </c>
      <c r="AB59" s="766">
        <f t="shared" si="11"/>
        <v>1.4820416000000002E-4</v>
      </c>
      <c r="AC59" s="766">
        <f t="shared" si="11"/>
        <v>1.6806064E-4</v>
      </c>
      <c r="AD59" s="766">
        <f t="shared" si="11"/>
        <v>1.4306152E-4</v>
      </c>
      <c r="AE59" s="766">
        <f t="shared" si="11"/>
        <v>1.5776200000000001E-4</v>
      </c>
      <c r="AF59" s="766">
        <f t="shared" si="11"/>
        <v>1.4209199999999999E-4</v>
      </c>
      <c r="AG59" s="766">
        <f t="shared" si="11"/>
        <v>1.4155224000000002E-4</v>
      </c>
      <c r="AH59" s="766">
        <f t="shared" si="11"/>
        <v>1.2840304E-4</v>
      </c>
      <c r="AI59" s="766">
        <f t="shared" si="11"/>
        <v>1.0044160000000001E-4</v>
      </c>
      <c r="AJ59" s="766">
        <f t="shared" si="11"/>
        <v>8.3749280000000007E-5</v>
      </c>
    </row>
    <row r="60" spans="1:38" ht="17" x14ac:dyDescent="0.45">
      <c r="A60" s="1441" t="s">
        <v>967</v>
      </c>
      <c r="B60" s="3" t="s">
        <v>584</v>
      </c>
      <c r="C60" s="772">
        <f t="shared" ref="C60:AJ60" si="12">C54*$E$226</f>
        <v>0</v>
      </c>
      <c r="D60" s="772">
        <f t="shared" si="12"/>
        <v>0</v>
      </c>
      <c r="E60" s="772">
        <f t="shared" si="12"/>
        <v>0</v>
      </c>
      <c r="F60" s="772">
        <f t="shared" si="12"/>
        <v>1013.905942938</v>
      </c>
      <c r="G60" s="772">
        <f t="shared" si="12"/>
        <v>2381.9845097789998</v>
      </c>
      <c r="H60" s="772">
        <f t="shared" si="12"/>
        <v>3298.6665951749997</v>
      </c>
      <c r="I60" s="772">
        <f t="shared" si="12"/>
        <v>4048.3319824363498</v>
      </c>
      <c r="J60" s="772">
        <f t="shared" si="12"/>
        <v>11009.07406315584</v>
      </c>
      <c r="K60" s="772">
        <f t="shared" si="12"/>
        <v>13907.150587012788</v>
      </c>
      <c r="L60" s="772">
        <f t="shared" si="12"/>
        <v>19486.695824684361</v>
      </c>
      <c r="M60" s="772">
        <f t="shared" si="12"/>
        <v>19486.695824684361</v>
      </c>
      <c r="N60" s="772">
        <f t="shared" si="12"/>
        <v>25066.241062355934</v>
      </c>
      <c r="O60" s="772">
        <f t="shared" si="12"/>
        <v>21420.624186981051</v>
      </c>
      <c r="P60" s="772">
        <f t="shared" si="12"/>
        <v>25743.377451890949</v>
      </c>
      <c r="Q60" s="772">
        <f t="shared" si="12"/>
        <v>23540.895961379494</v>
      </c>
      <c r="R60" s="772">
        <f t="shared" si="12"/>
        <v>26071.41074723766</v>
      </c>
      <c r="S60" s="772">
        <f t="shared" si="12"/>
        <v>24142.767196054498</v>
      </c>
      <c r="T60" s="772">
        <f t="shared" si="12"/>
        <v>25410.635744014708</v>
      </c>
      <c r="U60" s="772">
        <f t="shared" si="12"/>
        <v>27573.102672586378</v>
      </c>
      <c r="V60" s="772">
        <f t="shared" si="12"/>
        <v>24158.83691079394</v>
      </c>
      <c r="W60" s="772">
        <f t="shared" si="12"/>
        <v>24856.820873210465</v>
      </c>
      <c r="X60" s="772">
        <f t="shared" si="12"/>
        <v>24942.238976622364</v>
      </c>
      <c r="Y60" s="772">
        <f t="shared" si="12"/>
        <v>24731.76321416644</v>
      </c>
      <c r="Z60" s="772">
        <f t="shared" si="12"/>
        <v>25865.226723636089</v>
      </c>
      <c r="AA60" s="772">
        <f t="shared" si="12"/>
        <v>28748.108547471471</v>
      </c>
      <c r="AB60" s="772">
        <f t="shared" si="12"/>
        <v>25730.321676735311</v>
      </c>
      <c r="AC60" s="772">
        <f t="shared" si="12"/>
        <v>29177.685217459548</v>
      </c>
      <c r="AD60" s="772">
        <f t="shared" si="12"/>
        <v>24837.487214682111</v>
      </c>
      <c r="AE60" s="772">
        <f t="shared" si="12"/>
        <v>27389.696809894649</v>
      </c>
      <c r="AF60" s="772">
        <f t="shared" si="12"/>
        <v>24669.1649390319</v>
      </c>
      <c r="AG60" s="772">
        <f t="shared" si="12"/>
        <v>24575.455029483917</v>
      </c>
      <c r="AH60" s="772">
        <f t="shared" si="12"/>
        <v>22292.569408785228</v>
      </c>
      <c r="AI60" s="772">
        <f t="shared" si="12"/>
        <v>17438.071088733119</v>
      </c>
      <c r="AJ60" s="772">
        <f t="shared" si="12"/>
        <v>14540.050121366196</v>
      </c>
    </row>
    <row r="61" spans="1:38" ht="17" x14ac:dyDescent="0.45">
      <c r="A61" s="1439" t="s">
        <v>1355</v>
      </c>
      <c r="B61" s="3" t="s">
        <v>584</v>
      </c>
      <c r="C61" s="748">
        <f t="shared" ref="C61:AJ61" si="13">C60*$B$250</f>
        <v>0</v>
      </c>
      <c r="D61" s="748">
        <f t="shared" si="13"/>
        <v>0</v>
      </c>
      <c r="E61" s="748">
        <f t="shared" si="13"/>
        <v>0</v>
      </c>
      <c r="F61" s="748">
        <f t="shared" si="13"/>
        <v>302143.97099552397</v>
      </c>
      <c r="G61" s="748">
        <f t="shared" si="13"/>
        <v>709831.38391414192</v>
      </c>
      <c r="H61" s="748">
        <f t="shared" si="13"/>
        <v>983002.64536214992</v>
      </c>
      <c r="I61" s="748">
        <f t="shared" si="13"/>
        <v>1206402.9307660323</v>
      </c>
      <c r="J61" s="748">
        <f t="shared" si="13"/>
        <v>3280704.0708204405</v>
      </c>
      <c r="K61" s="748">
        <f t="shared" si="13"/>
        <v>4144330.8749298109</v>
      </c>
      <c r="L61" s="748">
        <f t="shared" si="13"/>
        <v>5807035.3557559391</v>
      </c>
      <c r="M61" s="748">
        <f t="shared" si="13"/>
        <v>5807035.3557559391</v>
      </c>
      <c r="N61" s="748">
        <f t="shared" si="13"/>
        <v>7469739.8365820684</v>
      </c>
      <c r="O61" s="748">
        <f t="shared" si="13"/>
        <v>6383346.0077203531</v>
      </c>
      <c r="P61" s="748">
        <f t="shared" si="13"/>
        <v>7671526.4806635026</v>
      </c>
      <c r="Q61" s="748">
        <f t="shared" si="13"/>
        <v>7015186.9964910895</v>
      </c>
      <c r="R61" s="748">
        <f t="shared" si="13"/>
        <v>7769280.4026768226</v>
      </c>
      <c r="S61" s="748">
        <f t="shared" si="13"/>
        <v>7194544.6244242406</v>
      </c>
      <c r="T61" s="748">
        <f t="shared" si="13"/>
        <v>7572369.451716383</v>
      </c>
      <c r="U61" s="748">
        <f t="shared" si="13"/>
        <v>8216784.5964307403</v>
      </c>
      <c r="V61" s="748">
        <f t="shared" si="13"/>
        <v>7199333.3994165938</v>
      </c>
      <c r="W61" s="748">
        <f t="shared" si="13"/>
        <v>7407332.6202167189</v>
      </c>
      <c r="X61" s="748">
        <f t="shared" si="13"/>
        <v>7432787.2150334641</v>
      </c>
      <c r="Y61" s="748">
        <f t="shared" si="13"/>
        <v>7370065.4378215987</v>
      </c>
      <c r="Z61" s="748">
        <f t="shared" si="13"/>
        <v>7707837.5636435542</v>
      </c>
      <c r="AA61" s="748">
        <f t="shared" si="13"/>
        <v>8566936.347146498</v>
      </c>
      <c r="AB61" s="748">
        <f t="shared" si="13"/>
        <v>7667635.8596671224</v>
      </c>
      <c r="AC61" s="748">
        <f t="shared" si="13"/>
        <v>8694950.1948029455</v>
      </c>
      <c r="AD61" s="748">
        <f t="shared" si="13"/>
        <v>7401571.1899752691</v>
      </c>
      <c r="AE61" s="748">
        <f t="shared" si="13"/>
        <v>8162129.6493486054</v>
      </c>
      <c r="AF61" s="748">
        <f t="shared" si="13"/>
        <v>7351411.1518315058</v>
      </c>
      <c r="AG61" s="748">
        <f t="shared" si="13"/>
        <v>7323485.5987862069</v>
      </c>
      <c r="AH61" s="748">
        <f t="shared" si="13"/>
        <v>6643185.6838179976</v>
      </c>
      <c r="AI61" s="748">
        <f t="shared" si="13"/>
        <v>5196545.1844424699</v>
      </c>
      <c r="AJ61" s="748">
        <f t="shared" si="13"/>
        <v>4332934.9361671265</v>
      </c>
    </row>
    <row r="62" spans="1:38" ht="17" x14ac:dyDescent="0.45">
      <c r="A62" s="1442" t="s">
        <v>1356</v>
      </c>
      <c r="B62" s="1403" t="s">
        <v>1189</v>
      </c>
      <c r="C62" s="766">
        <f t="shared" ref="C62:AJ62" si="14">C61/($B$244*1000000)</f>
        <v>0</v>
      </c>
      <c r="D62" s="766">
        <f t="shared" si="14"/>
        <v>0</v>
      </c>
      <c r="E62" s="766">
        <f t="shared" si="14"/>
        <v>0</v>
      </c>
      <c r="F62" s="766">
        <f t="shared" si="14"/>
        <v>1.3705019999999998E-4</v>
      </c>
      <c r="G62" s="766">
        <f t="shared" si="14"/>
        <v>3.2197409999999997E-4</v>
      </c>
      <c r="H62" s="766">
        <f t="shared" si="14"/>
        <v>4.4588249999999999E-4</v>
      </c>
      <c r="I62" s="766">
        <f t="shared" si="14"/>
        <v>5.4721516499999998E-4</v>
      </c>
      <c r="J62" s="766">
        <f t="shared" si="14"/>
        <v>1.488102336E-3</v>
      </c>
      <c r="K62" s="766">
        <f t="shared" si="14"/>
        <v>1.8798368651999999E-3</v>
      </c>
      <c r="L62" s="766">
        <f t="shared" si="14"/>
        <v>2.6340269318999997E-3</v>
      </c>
      <c r="M62" s="766">
        <f t="shared" si="14"/>
        <v>2.6340269318999997E-3</v>
      </c>
      <c r="N62" s="766">
        <f t="shared" si="14"/>
        <v>3.3882169985999999E-3</v>
      </c>
      <c r="O62" s="766">
        <f t="shared" si="14"/>
        <v>2.8954370465999997E-3</v>
      </c>
      <c r="P62" s="766">
        <f t="shared" si="14"/>
        <v>3.4797458807999996E-3</v>
      </c>
      <c r="Q62" s="766">
        <f t="shared" si="14"/>
        <v>3.1820352983999997E-3</v>
      </c>
      <c r="R62" s="766">
        <f t="shared" si="14"/>
        <v>3.5240863140000001E-3</v>
      </c>
      <c r="S62" s="766">
        <f t="shared" si="14"/>
        <v>3.2633905499999997E-3</v>
      </c>
      <c r="T62" s="766">
        <f t="shared" si="14"/>
        <v>3.4347690089999998E-3</v>
      </c>
      <c r="U62" s="766">
        <f t="shared" si="14"/>
        <v>3.7270708019999997E-3</v>
      </c>
      <c r="V62" s="766">
        <f t="shared" si="14"/>
        <v>3.2655627017999997E-3</v>
      </c>
      <c r="W62" s="766">
        <f t="shared" si="14"/>
        <v>3.3599095614000002E-3</v>
      </c>
      <c r="X62" s="766">
        <f t="shared" si="14"/>
        <v>3.3714555713999996E-3</v>
      </c>
      <c r="Y62" s="766">
        <f t="shared" si="14"/>
        <v>3.3430054517999993E-3</v>
      </c>
      <c r="Z62" s="766">
        <f t="shared" si="14"/>
        <v>3.4962163109999995E-3</v>
      </c>
      <c r="AA62" s="766">
        <f t="shared" si="14"/>
        <v>3.8858969645999995E-3</v>
      </c>
      <c r="AB62" s="766">
        <f t="shared" si="14"/>
        <v>3.4779811247999995E-3</v>
      </c>
      <c r="AC62" s="766">
        <f t="shared" si="14"/>
        <v>3.9439630691999999E-3</v>
      </c>
      <c r="AD62" s="766">
        <f t="shared" si="14"/>
        <v>3.3572962205999997E-3</v>
      </c>
      <c r="AE62" s="766">
        <f t="shared" si="14"/>
        <v>3.7022797349999998E-3</v>
      </c>
      <c r="AF62" s="766">
        <f t="shared" si="14"/>
        <v>3.33454401E-3</v>
      </c>
      <c r="AG62" s="766">
        <f t="shared" si="14"/>
        <v>3.3218771921999998E-3</v>
      </c>
      <c r="AH62" s="766">
        <f t="shared" si="14"/>
        <v>3.0132983411999999E-3</v>
      </c>
      <c r="AI62" s="766">
        <f t="shared" si="14"/>
        <v>2.357113248E-3</v>
      </c>
      <c r="AJ62" s="766">
        <f t="shared" si="14"/>
        <v>1.9653862284000003E-3</v>
      </c>
    </row>
    <row r="63" spans="1:38" ht="17" x14ac:dyDescent="0.45">
      <c r="A63" s="1442" t="s">
        <v>1394</v>
      </c>
      <c r="B63" s="1403" t="s">
        <v>1189</v>
      </c>
      <c r="C63" s="766">
        <f t="shared" ref="C63:AJ63" si="15">C59+C62</f>
        <v>0</v>
      </c>
      <c r="D63" s="766">
        <f t="shared" si="15"/>
        <v>0</v>
      </c>
      <c r="E63" s="766">
        <f t="shared" si="15"/>
        <v>0</v>
      </c>
      <c r="F63" s="766">
        <f t="shared" si="15"/>
        <v>1.428902E-4</v>
      </c>
      <c r="G63" s="766">
        <f t="shared" si="15"/>
        <v>3.3569409999999997E-4</v>
      </c>
      <c r="H63" s="766">
        <f t="shared" si="15"/>
        <v>4.6488249999999997E-4</v>
      </c>
      <c r="I63" s="766">
        <f t="shared" si="15"/>
        <v>5.7053316500000001E-4</v>
      </c>
      <c r="J63" s="766">
        <f t="shared" si="15"/>
        <v>1.5515135360000001E-3</v>
      </c>
      <c r="K63" s="766">
        <f t="shared" si="15"/>
        <v>1.9599407051999998E-3</v>
      </c>
      <c r="L63" s="766">
        <f t="shared" si="15"/>
        <v>2.7462684118999998E-3</v>
      </c>
      <c r="M63" s="766">
        <f t="shared" si="15"/>
        <v>2.7462684118999998E-3</v>
      </c>
      <c r="N63" s="766">
        <f t="shared" si="15"/>
        <v>3.5325961185999999E-3</v>
      </c>
      <c r="O63" s="766">
        <f t="shared" si="15"/>
        <v>3.0188177665999997E-3</v>
      </c>
      <c r="P63" s="766">
        <f t="shared" si="15"/>
        <v>3.6280252407999997E-3</v>
      </c>
      <c r="Q63" s="766">
        <f t="shared" si="15"/>
        <v>3.3176285783999998E-3</v>
      </c>
      <c r="R63" s="766">
        <f t="shared" si="15"/>
        <v>3.6742551139999999E-3</v>
      </c>
      <c r="S63" s="766">
        <f t="shared" si="15"/>
        <v>3.4024505499999995E-3</v>
      </c>
      <c r="T63" s="766">
        <f t="shared" si="15"/>
        <v>3.5811318089999998E-3</v>
      </c>
      <c r="U63" s="766">
        <f t="shared" si="15"/>
        <v>3.8858892019999996E-3</v>
      </c>
      <c r="V63" s="766">
        <f t="shared" si="15"/>
        <v>3.4047152617999996E-3</v>
      </c>
      <c r="W63" s="766">
        <f t="shared" si="15"/>
        <v>3.5030824414000001E-3</v>
      </c>
      <c r="X63" s="766">
        <f t="shared" si="15"/>
        <v>3.5151204513999995E-3</v>
      </c>
      <c r="Y63" s="766">
        <f t="shared" si="15"/>
        <v>3.4854580117999992E-3</v>
      </c>
      <c r="Z63" s="766">
        <f t="shared" si="15"/>
        <v>3.6451975109999995E-3</v>
      </c>
      <c r="AA63" s="766">
        <f t="shared" si="15"/>
        <v>4.0514832845999996E-3</v>
      </c>
      <c r="AB63" s="766">
        <f t="shared" si="15"/>
        <v>3.6261852847999996E-3</v>
      </c>
      <c r="AC63" s="766">
        <f t="shared" si="15"/>
        <v>4.1120237092000002E-3</v>
      </c>
      <c r="AD63" s="766">
        <f t="shared" si="15"/>
        <v>3.5003577405999997E-3</v>
      </c>
      <c r="AE63" s="766">
        <f t="shared" si="15"/>
        <v>3.8600417349999999E-3</v>
      </c>
      <c r="AF63" s="766">
        <f t="shared" si="15"/>
        <v>3.4766360099999999E-3</v>
      </c>
      <c r="AG63" s="766">
        <f t="shared" si="15"/>
        <v>3.4634294321999998E-3</v>
      </c>
      <c r="AH63" s="766">
        <f t="shared" si="15"/>
        <v>3.1417013811999997E-3</v>
      </c>
      <c r="AI63" s="766">
        <f t="shared" si="15"/>
        <v>2.4575548479999999E-3</v>
      </c>
      <c r="AJ63" s="766">
        <f t="shared" si="15"/>
        <v>2.0491355084000002E-3</v>
      </c>
    </row>
    <row r="64" spans="1:38" x14ac:dyDescent="0.4">
      <c r="A64" s="1299" t="s">
        <v>1063</v>
      </c>
      <c r="B64" s="665"/>
      <c r="C64" s="1300"/>
      <c r="D64" s="1300"/>
      <c r="E64" s="1300"/>
      <c r="F64" s="1300"/>
      <c r="G64" s="1300"/>
      <c r="H64" s="1300"/>
      <c r="I64" s="1300"/>
      <c r="J64" s="1300"/>
      <c r="K64" s="1300"/>
      <c r="L64" s="1300"/>
      <c r="M64" s="1300"/>
      <c r="N64" s="1300"/>
      <c r="O64" s="1300"/>
      <c r="P64" s="1300"/>
      <c r="Q64" s="1300"/>
      <c r="R64" s="1300"/>
      <c r="S64" s="1300"/>
      <c r="T64" s="1300"/>
      <c r="U64" s="1300"/>
      <c r="V64" s="1300"/>
      <c r="W64" s="1300"/>
      <c r="X64" s="1300"/>
      <c r="Y64" s="1300"/>
      <c r="Z64" s="1300"/>
      <c r="AA64" s="1300"/>
      <c r="AB64" s="1300"/>
      <c r="AC64" s="1300"/>
      <c r="AD64" s="1300"/>
      <c r="AE64" s="1300"/>
      <c r="AF64" s="1300"/>
      <c r="AG64" s="1300"/>
      <c r="AH64" s="1300"/>
      <c r="AI64" s="1300"/>
      <c r="AJ64" s="1300"/>
    </row>
    <row r="65" spans="1:39" x14ac:dyDescent="0.4">
      <c r="A65" s="754"/>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row>
    <row r="66" spans="1:39" x14ac:dyDescent="0.4">
      <c r="A66" s="3" t="s">
        <v>457</v>
      </c>
      <c r="B66" s="237"/>
      <c r="C66" s="237"/>
      <c r="D66" s="237"/>
      <c r="E66" s="237"/>
      <c r="F66" s="237"/>
      <c r="G66" s="237"/>
      <c r="H66" s="237"/>
      <c r="I66" s="237"/>
      <c r="J66" s="237"/>
      <c r="K66" s="237"/>
      <c r="L66" s="237"/>
      <c r="M66" s="237"/>
      <c r="N66" s="237"/>
      <c r="O66" s="237"/>
      <c r="P66" s="237"/>
      <c r="Q66" s="237"/>
      <c r="R66" s="237"/>
      <c r="S66" s="237"/>
      <c r="T66" s="237"/>
      <c r="U66" s="237"/>
      <c r="V66" s="237"/>
      <c r="W66" s="237"/>
      <c r="X66" s="237"/>
    </row>
    <row r="67" spans="1:39" x14ac:dyDescent="0.4">
      <c r="A67" s="28" t="s">
        <v>883</v>
      </c>
      <c r="B67" s="237"/>
      <c r="C67" s="237"/>
      <c r="D67" s="237"/>
      <c r="E67" s="237"/>
      <c r="F67" s="237"/>
      <c r="G67" s="237"/>
      <c r="H67" s="237"/>
      <c r="I67" s="237"/>
      <c r="J67" s="237"/>
      <c r="K67" s="237"/>
      <c r="N67" s="237"/>
      <c r="O67" s="237"/>
      <c r="P67" s="237"/>
      <c r="Q67" s="237"/>
      <c r="R67" s="237"/>
      <c r="S67" s="237"/>
      <c r="T67" s="237"/>
      <c r="U67" s="237"/>
      <c r="V67" s="237"/>
      <c r="W67" s="237"/>
      <c r="X67" s="237"/>
    </row>
    <row r="68" spans="1:39" x14ac:dyDescent="0.4">
      <c r="A68" s="28" t="s">
        <v>596</v>
      </c>
      <c r="B68" s="237"/>
      <c r="C68" s="237"/>
      <c r="D68" s="237"/>
      <c r="E68" s="237"/>
      <c r="F68" s="237"/>
      <c r="G68" s="237"/>
      <c r="H68" s="237"/>
      <c r="I68" s="237"/>
      <c r="J68" s="237"/>
      <c r="K68" s="237"/>
      <c r="N68" s="237"/>
      <c r="O68" s="237"/>
      <c r="P68" s="237"/>
      <c r="Q68" s="237"/>
      <c r="R68" s="237"/>
      <c r="S68" s="237"/>
      <c r="T68" s="237"/>
      <c r="U68" s="237"/>
      <c r="V68" s="237"/>
      <c r="W68" s="237"/>
      <c r="X68" s="237"/>
    </row>
    <row r="69" spans="1:39" x14ac:dyDescent="0.4">
      <c r="A69" s="28" t="s">
        <v>600</v>
      </c>
      <c r="B69" s="237"/>
      <c r="C69" s="237"/>
      <c r="D69" s="237"/>
      <c r="E69" s="237"/>
      <c r="F69" s="237"/>
      <c r="G69" s="237"/>
      <c r="H69" s="237"/>
      <c r="I69" s="237"/>
      <c r="J69" s="237"/>
      <c r="K69" s="237"/>
      <c r="N69" s="237"/>
      <c r="O69" s="237"/>
      <c r="P69" s="237"/>
      <c r="Q69" s="237"/>
      <c r="R69" s="237"/>
      <c r="S69" s="237"/>
      <c r="T69" s="237"/>
      <c r="U69" s="237"/>
      <c r="V69" s="237"/>
      <c r="W69" s="237"/>
      <c r="X69" s="237"/>
    </row>
    <row r="70" spans="1:39" ht="16.5" thickBot="1" x14ac:dyDescent="0.45">
      <c r="A70" s="759"/>
      <c r="C70" s="788"/>
      <c r="D70" s="229"/>
      <c r="E70" s="229"/>
      <c r="F70" s="229"/>
      <c r="G70" s="229"/>
      <c r="H70" s="229"/>
      <c r="I70" s="229"/>
      <c r="J70" s="229"/>
      <c r="K70" s="229"/>
      <c r="L70" s="229"/>
      <c r="M70" s="778"/>
      <c r="W70" s="237"/>
      <c r="AM70" s="28"/>
    </row>
    <row r="71" spans="1:39" ht="16.5" thickBot="1" x14ac:dyDescent="0.45">
      <c r="A71" s="777" t="s">
        <v>924</v>
      </c>
      <c r="C71" s="59"/>
      <c r="D71" s="285"/>
      <c r="E71" s="231"/>
      <c r="F71" s="231"/>
      <c r="G71" s="285"/>
      <c r="H71" s="231"/>
      <c r="I71" s="231"/>
      <c r="J71" s="285"/>
      <c r="K71" s="231"/>
      <c r="L71" s="231"/>
      <c r="AM71" s="28"/>
    </row>
    <row r="72" spans="1:39" s="28" customFormat="1" x14ac:dyDescent="0.4">
      <c r="A72" s="1283" t="s">
        <v>936</v>
      </c>
      <c r="B72" s="71" t="s">
        <v>136</v>
      </c>
      <c r="C72" s="652" t="s">
        <v>391</v>
      </c>
      <c r="D72" s="652" t="s">
        <v>392</v>
      </c>
      <c r="E72" s="652" t="s">
        <v>393</v>
      </c>
      <c r="F72" s="652" t="s">
        <v>394</v>
      </c>
      <c r="G72" s="652" t="s">
        <v>395</v>
      </c>
      <c r="H72" s="652" t="s">
        <v>396</v>
      </c>
      <c r="I72" s="652" t="s">
        <v>397</v>
      </c>
      <c r="J72" s="652" t="s">
        <v>398</v>
      </c>
      <c r="K72" s="652" t="s">
        <v>399</v>
      </c>
      <c r="L72" s="652" t="s">
        <v>400</v>
      </c>
      <c r="M72" s="652" t="s">
        <v>401</v>
      </c>
      <c r="N72" s="652" t="s">
        <v>402</v>
      </c>
      <c r="O72" s="652" t="s">
        <v>403</v>
      </c>
      <c r="P72" s="652" t="s">
        <v>404</v>
      </c>
      <c r="Q72" s="652" t="s">
        <v>405</v>
      </c>
      <c r="R72" s="652" t="s">
        <v>406</v>
      </c>
      <c r="S72" s="652" t="s">
        <v>407</v>
      </c>
      <c r="T72" s="652" t="s">
        <v>408</v>
      </c>
      <c r="U72" s="652" t="s">
        <v>409</v>
      </c>
      <c r="V72" s="652" t="s">
        <v>410</v>
      </c>
      <c r="W72" s="652" t="s">
        <v>411</v>
      </c>
      <c r="X72" s="652" t="s">
        <v>412</v>
      </c>
      <c r="Y72" s="652" t="s">
        <v>413</v>
      </c>
      <c r="Z72" s="652" t="s">
        <v>414</v>
      </c>
      <c r="AA72" s="652" t="s">
        <v>415</v>
      </c>
      <c r="AB72" s="652" t="s">
        <v>416</v>
      </c>
      <c r="AC72" s="652" t="s">
        <v>417</v>
      </c>
      <c r="AD72" s="652" t="s">
        <v>418</v>
      </c>
      <c r="AE72" s="652" t="s">
        <v>419</v>
      </c>
      <c r="AF72" s="652" t="s">
        <v>420</v>
      </c>
      <c r="AG72" s="652" t="s">
        <v>421</v>
      </c>
      <c r="AH72" s="652" t="s">
        <v>422</v>
      </c>
      <c r="AI72" s="652" t="s">
        <v>423</v>
      </c>
      <c r="AJ72" s="652" t="s">
        <v>424</v>
      </c>
      <c r="AK72" s="3"/>
      <c r="AL72" s="3"/>
    </row>
    <row r="73" spans="1:39" x14ac:dyDescent="0.4">
      <c r="A73" s="765" t="s">
        <v>599</v>
      </c>
      <c r="B73" s="798" t="s">
        <v>582</v>
      </c>
      <c r="C73" s="748">
        <v>1976</v>
      </c>
      <c r="D73" s="748">
        <v>2063</v>
      </c>
      <c r="E73" s="748">
        <v>2175</v>
      </c>
      <c r="F73" s="748">
        <v>2769</v>
      </c>
      <c r="G73" s="748">
        <v>2652</v>
      </c>
      <c r="H73" s="748">
        <v>2677</v>
      </c>
      <c r="I73" s="748">
        <v>2780</v>
      </c>
      <c r="J73" s="748">
        <v>2427</v>
      </c>
      <c r="K73" s="748">
        <v>2120</v>
      </c>
      <c r="L73" s="748">
        <v>2230</v>
      </c>
      <c r="M73" s="748">
        <v>2386</v>
      </c>
      <c r="N73" s="748">
        <v>2023</v>
      </c>
      <c r="O73" s="748">
        <v>2072</v>
      </c>
      <c r="P73" s="748">
        <v>2157</v>
      </c>
      <c r="Q73" s="748">
        <v>2109</v>
      </c>
      <c r="R73" s="748">
        <v>574</v>
      </c>
      <c r="S73" s="748">
        <v>533</v>
      </c>
      <c r="T73" s="748">
        <v>566</v>
      </c>
      <c r="U73" s="748">
        <v>597</v>
      </c>
      <c r="V73" s="748">
        <v>1441</v>
      </c>
      <c r="W73" s="748">
        <v>1423</v>
      </c>
      <c r="X73" s="748">
        <v>1370</v>
      </c>
      <c r="Y73" s="234">
        <v>1200</v>
      </c>
      <c r="Z73" s="234">
        <v>1391</v>
      </c>
      <c r="AA73" s="234">
        <v>1391</v>
      </c>
      <c r="AB73" s="234">
        <v>1409</v>
      </c>
      <c r="AC73" s="234">
        <v>1297</v>
      </c>
      <c r="AD73" s="234">
        <v>1328</v>
      </c>
      <c r="AE73" s="234">
        <v>1085</v>
      </c>
      <c r="AF73" s="234">
        <v>1279</v>
      </c>
      <c r="AG73" s="234">
        <v>1880</v>
      </c>
      <c r="AH73" s="234">
        <v>1880</v>
      </c>
      <c r="AI73" s="234">
        <v>1882</v>
      </c>
      <c r="AJ73" s="526">
        <v>1880</v>
      </c>
      <c r="AM73" s="28"/>
    </row>
    <row r="74" spans="1:39" ht="16.5" thickBot="1" x14ac:dyDescent="0.45">
      <c r="A74" s="790" t="s">
        <v>591</v>
      </c>
      <c r="B74" s="799" t="s">
        <v>583</v>
      </c>
      <c r="C74" s="791">
        <f t="shared" ref="C74:AJ74" si="16">C73*1000</f>
        <v>1976000</v>
      </c>
      <c r="D74" s="791">
        <f t="shared" si="16"/>
        <v>2063000</v>
      </c>
      <c r="E74" s="791">
        <f t="shared" si="16"/>
        <v>2175000</v>
      </c>
      <c r="F74" s="791">
        <f t="shared" si="16"/>
        <v>2769000</v>
      </c>
      <c r="G74" s="791">
        <f t="shared" si="16"/>
        <v>2652000</v>
      </c>
      <c r="H74" s="791">
        <f t="shared" si="16"/>
        <v>2677000</v>
      </c>
      <c r="I74" s="791">
        <f t="shared" si="16"/>
        <v>2780000</v>
      </c>
      <c r="J74" s="791">
        <f t="shared" si="16"/>
        <v>2427000</v>
      </c>
      <c r="K74" s="791">
        <f t="shared" si="16"/>
        <v>2120000</v>
      </c>
      <c r="L74" s="791">
        <f t="shared" si="16"/>
        <v>2230000</v>
      </c>
      <c r="M74" s="791">
        <f t="shared" si="16"/>
        <v>2386000</v>
      </c>
      <c r="N74" s="791">
        <f t="shared" si="16"/>
        <v>2023000</v>
      </c>
      <c r="O74" s="791">
        <f t="shared" si="16"/>
        <v>2072000</v>
      </c>
      <c r="P74" s="791">
        <f t="shared" si="16"/>
        <v>2157000</v>
      </c>
      <c r="Q74" s="791">
        <f t="shared" si="16"/>
        <v>2109000</v>
      </c>
      <c r="R74" s="791">
        <f t="shared" si="16"/>
        <v>574000</v>
      </c>
      <c r="S74" s="791">
        <f t="shared" si="16"/>
        <v>533000</v>
      </c>
      <c r="T74" s="791">
        <f t="shared" si="16"/>
        <v>566000</v>
      </c>
      <c r="U74" s="791">
        <f t="shared" si="16"/>
        <v>597000</v>
      </c>
      <c r="V74" s="791">
        <f t="shared" si="16"/>
        <v>1441000</v>
      </c>
      <c r="W74" s="791">
        <f t="shared" si="16"/>
        <v>1423000</v>
      </c>
      <c r="X74" s="791">
        <f t="shared" si="16"/>
        <v>1370000</v>
      </c>
      <c r="Y74" s="791">
        <f t="shared" si="16"/>
        <v>1200000</v>
      </c>
      <c r="Z74" s="791">
        <f t="shared" si="16"/>
        <v>1391000</v>
      </c>
      <c r="AA74" s="791">
        <f t="shared" si="16"/>
        <v>1391000</v>
      </c>
      <c r="AB74" s="791">
        <f t="shared" si="16"/>
        <v>1409000</v>
      </c>
      <c r="AC74" s="791">
        <f t="shared" si="16"/>
        <v>1297000</v>
      </c>
      <c r="AD74" s="791">
        <f t="shared" si="16"/>
        <v>1328000</v>
      </c>
      <c r="AE74" s="791">
        <f t="shared" si="16"/>
        <v>1085000</v>
      </c>
      <c r="AF74" s="791">
        <f t="shared" si="16"/>
        <v>1279000</v>
      </c>
      <c r="AG74" s="791">
        <f t="shared" si="16"/>
        <v>1880000</v>
      </c>
      <c r="AH74" s="791">
        <f t="shared" si="16"/>
        <v>1880000</v>
      </c>
      <c r="AI74" s="791">
        <f t="shared" si="16"/>
        <v>1882000</v>
      </c>
      <c r="AJ74" s="791">
        <f t="shared" si="16"/>
        <v>1880000</v>
      </c>
      <c r="AM74" s="28"/>
    </row>
    <row r="75" spans="1:39" ht="17" x14ac:dyDescent="0.45">
      <c r="A75" s="1432" t="s">
        <v>1349</v>
      </c>
      <c r="B75" s="801" t="s">
        <v>584</v>
      </c>
      <c r="C75" s="802">
        <f t="shared" ref="C75:AJ75" si="17">C74*$C$224</f>
        <v>408624157.06985599</v>
      </c>
      <c r="D75" s="802">
        <f t="shared" si="17"/>
        <v>426615200.42262799</v>
      </c>
      <c r="E75" s="802">
        <f t="shared" si="17"/>
        <v>449776083.8193</v>
      </c>
      <c r="F75" s="802">
        <f t="shared" si="17"/>
        <v>572611483.26236391</v>
      </c>
      <c r="G75" s="802">
        <f t="shared" si="17"/>
        <v>548416631.85691202</v>
      </c>
      <c r="H75" s="802">
        <f t="shared" si="17"/>
        <v>553586471.90081191</v>
      </c>
      <c r="I75" s="802">
        <f t="shared" si="17"/>
        <v>574886212.88168001</v>
      </c>
      <c r="J75" s="802">
        <f t="shared" si="17"/>
        <v>501888071.46181196</v>
      </c>
      <c r="K75" s="802">
        <f t="shared" si="17"/>
        <v>438402435.72271997</v>
      </c>
      <c r="L75" s="802">
        <f t="shared" si="17"/>
        <v>461149731.91587996</v>
      </c>
      <c r="M75" s="802">
        <f t="shared" si="17"/>
        <v>493409533.78981596</v>
      </c>
      <c r="N75" s="802">
        <f t="shared" si="17"/>
        <v>418343456.35238796</v>
      </c>
      <c r="O75" s="802">
        <f t="shared" si="17"/>
        <v>428476342.83843195</v>
      </c>
      <c r="P75" s="802">
        <f t="shared" si="17"/>
        <v>446053798.987692</v>
      </c>
      <c r="Q75" s="802">
        <f t="shared" si="17"/>
        <v>436127706.10340399</v>
      </c>
      <c r="R75" s="802">
        <f t="shared" si="17"/>
        <v>118699527.40794399</v>
      </c>
      <c r="S75" s="802">
        <f t="shared" si="17"/>
        <v>110220989.735948</v>
      </c>
      <c r="T75" s="802">
        <f t="shared" si="17"/>
        <v>117045178.59389599</v>
      </c>
      <c r="U75" s="802">
        <f t="shared" si="17"/>
        <v>123455780.24833199</v>
      </c>
      <c r="V75" s="802">
        <f t="shared" si="17"/>
        <v>297989580.13039601</v>
      </c>
      <c r="W75" s="802">
        <f t="shared" si="17"/>
        <v>294267295.29878795</v>
      </c>
      <c r="X75" s="802">
        <f t="shared" si="17"/>
        <v>283307234.40572</v>
      </c>
      <c r="Y75" s="802">
        <f t="shared" si="17"/>
        <v>248152322.1072</v>
      </c>
      <c r="Z75" s="802">
        <f t="shared" si="17"/>
        <v>287649900.04259598</v>
      </c>
      <c r="AA75" s="802">
        <f t="shared" si="17"/>
        <v>287649900.04259598</v>
      </c>
      <c r="AB75" s="802">
        <f t="shared" si="17"/>
        <v>291372184.87420398</v>
      </c>
      <c r="AC75" s="802">
        <f t="shared" si="17"/>
        <v>268211301.47753197</v>
      </c>
      <c r="AD75" s="802">
        <f t="shared" si="17"/>
        <v>274621903.13196796</v>
      </c>
      <c r="AE75" s="802">
        <f t="shared" si="17"/>
        <v>224371057.90526</v>
      </c>
      <c r="AF75" s="802">
        <f t="shared" si="17"/>
        <v>264489016.64592397</v>
      </c>
      <c r="AG75" s="802">
        <f t="shared" si="17"/>
        <v>388771971.30127996</v>
      </c>
      <c r="AH75" s="802">
        <f t="shared" si="17"/>
        <v>388771971.30127996</v>
      </c>
      <c r="AI75" s="802">
        <f t="shared" si="17"/>
        <v>389185558.50479198</v>
      </c>
      <c r="AJ75" s="802">
        <f t="shared" si="17"/>
        <v>388771971.30127996</v>
      </c>
      <c r="AM75" s="28"/>
    </row>
    <row r="76" spans="1:39" ht="17" x14ac:dyDescent="0.45">
      <c r="A76" s="1433" t="s">
        <v>1349</v>
      </c>
      <c r="B76" s="1443" t="s">
        <v>1189</v>
      </c>
      <c r="C76" s="766">
        <f t="shared" ref="C76:AJ76" si="18">C75/($B$244*1000000)</f>
        <v>0.18534880000000001</v>
      </c>
      <c r="D76" s="766">
        <f t="shared" si="18"/>
        <v>0.1935094</v>
      </c>
      <c r="E76" s="766">
        <f t="shared" si="18"/>
        <v>0.204015</v>
      </c>
      <c r="F76" s="766">
        <f t="shared" si="18"/>
        <v>0.25973219999999997</v>
      </c>
      <c r="G76" s="766">
        <f t="shared" si="18"/>
        <v>0.2487576</v>
      </c>
      <c r="H76" s="766">
        <f t="shared" si="18"/>
        <v>0.25110259999999995</v>
      </c>
      <c r="I76" s="766">
        <f t="shared" si="18"/>
        <v>0.260764</v>
      </c>
      <c r="J76" s="766">
        <f t="shared" si="18"/>
        <v>0.22765259999999998</v>
      </c>
      <c r="K76" s="766">
        <f t="shared" si="18"/>
        <v>0.19885599999999998</v>
      </c>
      <c r="L76" s="766">
        <f t="shared" si="18"/>
        <v>0.20917399999999997</v>
      </c>
      <c r="M76" s="766">
        <f t="shared" si="18"/>
        <v>0.22380679999999997</v>
      </c>
      <c r="N76" s="766">
        <f t="shared" si="18"/>
        <v>0.18975739999999999</v>
      </c>
      <c r="O76" s="766">
        <f t="shared" si="18"/>
        <v>0.19435359999999999</v>
      </c>
      <c r="P76" s="766">
        <f t="shared" si="18"/>
        <v>0.2023266</v>
      </c>
      <c r="Q76" s="766">
        <f t="shared" si="18"/>
        <v>0.19782420000000001</v>
      </c>
      <c r="R76" s="766">
        <f t="shared" si="18"/>
        <v>5.3841199999999999E-2</v>
      </c>
      <c r="S76" s="766">
        <f t="shared" si="18"/>
        <v>4.9995399999999995E-2</v>
      </c>
      <c r="T76" s="766">
        <f t="shared" si="18"/>
        <v>5.3090799999999994E-2</v>
      </c>
      <c r="U76" s="766">
        <f t="shared" si="18"/>
        <v>5.5998599999999996E-2</v>
      </c>
      <c r="V76" s="766">
        <f t="shared" si="18"/>
        <v>0.1351658</v>
      </c>
      <c r="W76" s="766">
        <f t="shared" si="18"/>
        <v>0.13347739999999997</v>
      </c>
      <c r="X76" s="766">
        <f t="shared" si="18"/>
        <v>0.12850600000000001</v>
      </c>
      <c r="Y76" s="766">
        <f t="shared" si="18"/>
        <v>0.11255999999999999</v>
      </c>
      <c r="Z76" s="766">
        <f t="shared" si="18"/>
        <v>0.1304758</v>
      </c>
      <c r="AA76" s="766">
        <f t="shared" si="18"/>
        <v>0.1304758</v>
      </c>
      <c r="AB76" s="766">
        <f t="shared" si="18"/>
        <v>0.13216419999999998</v>
      </c>
      <c r="AC76" s="766">
        <f t="shared" si="18"/>
        <v>0.12165859999999999</v>
      </c>
      <c r="AD76" s="766">
        <f t="shared" si="18"/>
        <v>0.12456639999999998</v>
      </c>
      <c r="AE76" s="766">
        <f t="shared" si="18"/>
        <v>0.101773</v>
      </c>
      <c r="AF76" s="766">
        <f t="shared" si="18"/>
        <v>0.11997019999999999</v>
      </c>
      <c r="AG76" s="766">
        <f t="shared" si="18"/>
        <v>0.17634399999999997</v>
      </c>
      <c r="AH76" s="766">
        <f t="shared" si="18"/>
        <v>0.17634399999999997</v>
      </c>
      <c r="AI76" s="766">
        <f t="shared" si="18"/>
        <v>0.17653159999999998</v>
      </c>
      <c r="AJ76" s="766">
        <f t="shared" si="18"/>
        <v>0.17634399999999997</v>
      </c>
      <c r="AM76" s="28"/>
    </row>
    <row r="77" spans="1:39" x14ac:dyDescent="0.4">
      <c r="A77" s="1299" t="s">
        <v>1063</v>
      </c>
      <c r="B77" s="665"/>
      <c r="C77" s="1300"/>
      <c r="D77" s="1300"/>
      <c r="E77" s="1300"/>
      <c r="F77" s="1300"/>
      <c r="G77" s="1300"/>
      <c r="H77" s="1300"/>
      <c r="I77" s="1300"/>
      <c r="J77" s="1300"/>
      <c r="K77" s="1300"/>
      <c r="L77" s="1300"/>
      <c r="M77" s="1300"/>
      <c r="N77" s="1300"/>
      <c r="O77" s="1300"/>
      <c r="P77" s="1300"/>
      <c r="Q77" s="1300"/>
      <c r="R77" s="1300"/>
      <c r="S77" s="1300"/>
      <c r="T77" s="1300"/>
      <c r="U77" s="1300"/>
      <c r="V77" s="1300"/>
      <c r="W77" s="1300"/>
      <c r="X77" s="1300"/>
      <c r="Y77" s="1300"/>
      <c r="Z77" s="1300"/>
      <c r="AA77" s="1300"/>
      <c r="AB77" s="1300"/>
      <c r="AC77" s="1300"/>
      <c r="AD77" s="1300"/>
      <c r="AE77" s="1300"/>
      <c r="AF77" s="1300"/>
      <c r="AG77" s="1300"/>
      <c r="AH77" s="1300"/>
      <c r="AI77" s="1300"/>
      <c r="AJ77" s="1300"/>
      <c r="AM77" s="28"/>
    </row>
    <row r="78" spans="1:39" x14ac:dyDescent="0.4">
      <c r="A78" s="754"/>
      <c r="C78" s="293"/>
      <c r="D78" s="293"/>
      <c r="E78" s="293"/>
      <c r="F78" s="293"/>
      <c r="G78" s="293"/>
      <c r="H78" s="293"/>
      <c r="I78" s="293"/>
      <c r="J78" s="293"/>
      <c r="K78" s="293"/>
      <c r="L78" s="293"/>
      <c r="M78" s="293"/>
      <c r="N78" s="293"/>
      <c r="O78" s="293"/>
      <c r="P78" s="293"/>
      <c r="Q78" s="293"/>
      <c r="R78" s="293"/>
      <c r="S78" s="293"/>
      <c r="T78" s="293"/>
      <c r="U78" s="293"/>
      <c r="V78" s="293"/>
      <c r="W78" s="293"/>
      <c r="X78" s="293"/>
      <c r="Y78" s="293"/>
      <c r="Z78" s="293"/>
      <c r="AA78" s="293"/>
      <c r="AB78" s="293"/>
      <c r="AC78" s="293"/>
      <c r="AD78" s="293"/>
      <c r="AE78" s="293"/>
      <c r="AF78" s="293"/>
      <c r="AG78" s="293"/>
      <c r="AH78" s="293"/>
      <c r="AI78" s="293"/>
      <c r="AJ78" s="293"/>
      <c r="AM78" s="28"/>
    </row>
    <row r="79" spans="1:39" x14ac:dyDescent="0.4">
      <c r="A79" s="3" t="s">
        <v>457</v>
      </c>
      <c r="B79" s="293"/>
      <c r="C79" s="293"/>
      <c r="D79" s="293"/>
      <c r="E79" s="293"/>
      <c r="F79" s="293"/>
      <c r="G79" s="293"/>
      <c r="H79" s="293"/>
      <c r="I79" s="293"/>
      <c r="J79" s="293"/>
      <c r="K79" s="293"/>
      <c r="L79" s="293"/>
      <c r="M79" s="293"/>
      <c r="N79" s="293"/>
      <c r="O79" s="293"/>
      <c r="P79" s="293"/>
      <c r="Q79" s="293"/>
      <c r="R79" s="293"/>
      <c r="S79" s="293"/>
      <c r="T79" s="293"/>
      <c r="U79" s="293"/>
      <c r="V79" s="293"/>
      <c r="W79" s="293"/>
      <c r="X79" s="293"/>
      <c r="Y79" s="293"/>
      <c r="Z79" s="293"/>
      <c r="AA79" s="293"/>
      <c r="AB79" s="293"/>
      <c r="AC79" s="293"/>
      <c r="AD79" s="293"/>
      <c r="AE79" s="293"/>
      <c r="AF79" s="293"/>
      <c r="AG79" s="293"/>
      <c r="AH79" s="293"/>
      <c r="AI79" s="293"/>
      <c r="AM79" s="28"/>
    </row>
    <row r="80" spans="1:39" ht="17" x14ac:dyDescent="0.45">
      <c r="A80" s="1320" t="s">
        <v>1095</v>
      </c>
      <c r="B80" s="775"/>
      <c r="C80" s="775"/>
      <c r="E80" s="775"/>
      <c r="F80" s="775"/>
      <c r="G80" s="775"/>
      <c r="H80" s="775"/>
      <c r="AM80" s="28"/>
    </row>
    <row r="81" spans="1:39" ht="16.5" thickBot="1" x14ac:dyDescent="0.45">
      <c r="B81" s="775"/>
      <c r="C81" s="775"/>
      <c r="E81" s="775"/>
      <c r="F81" s="775"/>
      <c r="G81" s="775"/>
      <c r="H81" s="775"/>
      <c r="AM81" s="28"/>
    </row>
    <row r="82" spans="1:39" ht="16.5" thickBot="1" x14ac:dyDescent="0.45">
      <c r="A82" s="777" t="s">
        <v>925</v>
      </c>
      <c r="C82" s="775"/>
      <c r="D82" s="775"/>
      <c r="E82" s="775"/>
      <c r="F82" s="775"/>
      <c r="G82" s="775"/>
      <c r="H82" s="775"/>
      <c r="I82" s="775"/>
      <c r="J82" s="775"/>
      <c r="K82" s="775"/>
      <c r="L82" s="775"/>
      <c r="M82" s="775"/>
      <c r="N82" s="775"/>
      <c r="O82" s="775"/>
      <c r="P82" s="775"/>
      <c r="Q82" s="775"/>
      <c r="R82" s="775"/>
      <c r="S82" s="775"/>
      <c r="T82" s="775"/>
      <c r="U82" s="775"/>
      <c r="V82" s="775"/>
      <c r="W82" s="775"/>
      <c r="X82" s="775"/>
      <c r="Y82" s="775"/>
      <c r="Z82" s="775"/>
      <c r="AA82" s="775"/>
      <c r="AB82" s="775"/>
      <c r="AC82" s="775"/>
      <c r="AD82" s="775"/>
      <c r="AE82" s="775"/>
      <c r="AF82" s="775"/>
      <c r="AG82" s="775"/>
      <c r="AH82" s="775"/>
      <c r="AI82" s="775"/>
      <c r="AM82" s="28"/>
    </row>
    <row r="83" spans="1:39" s="28" customFormat="1" x14ac:dyDescent="0.4">
      <c r="A83" s="1283" t="s">
        <v>936</v>
      </c>
      <c r="B83" s="71" t="s">
        <v>136</v>
      </c>
      <c r="C83" s="652" t="s">
        <v>391</v>
      </c>
      <c r="D83" s="652" t="s">
        <v>392</v>
      </c>
      <c r="E83" s="652" t="s">
        <v>393</v>
      </c>
      <c r="F83" s="652" t="s">
        <v>394</v>
      </c>
      <c r="G83" s="652" t="s">
        <v>395</v>
      </c>
      <c r="H83" s="652" t="s">
        <v>396</v>
      </c>
      <c r="I83" s="652" t="s">
        <v>397</v>
      </c>
      <c r="J83" s="652" t="s">
        <v>398</v>
      </c>
      <c r="K83" s="652" t="s">
        <v>399</v>
      </c>
      <c r="L83" s="652" t="s">
        <v>400</v>
      </c>
      <c r="M83" s="652" t="s">
        <v>401</v>
      </c>
      <c r="N83" s="652" t="s">
        <v>402</v>
      </c>
      <c r="O83" s="652" t="s">
        <v>403</v>
      </c>
      <c r="P83" s="652" t="s">
        <v>404</v>
      </c>
      <c r="Q83" s="652" t="s">
        <v>405</v>
      </c>
      <c r="R83" s="652" t="s">
        <v>406</v>
      </c>
      <c r="S83" s="652" t="s">
        <v>407</v>
      </c>
      <c r="T83" s="652" t="s">
        <v>408</v>
      </c>
      <c r="U83" s="652" t="s">
        <v>409</v>
      </c>
      <c r="V83" s="652" t="s">
        <v>410</v>
      </c>
      <c r="W83" s="652" t="s">
        <v>411</v>
      </c>
      <c r="X83" s="652" t="s">
        <v>412</v>
      </c>
      <c r="Y83" s="652" t="s">
        <v>413</v>
      </c>
      <c r="Z83" s="652" t="s">
        <v>414</v>
      </c>
      <c r="AA83" s="652" t="s">
        <v>415</v>
      </c>
      <c r="AB83" s="652" t="s">
        <v>416</v>
      </c>
      <c r="AC83" s="652" t="s">
        <v>417</v>
      </c>
      <c r="AD83" s="652" t="s">
        <v>418</v>
      </c>
      <c r="AE83" s="652" t="s">
        <v>419</v>
      </c>
      <c r="AF83" s="652" t="s">
        <v>420</v>
      </c>
      <c r="AG83" s="652" t="s">
        <v>421</v>
      </c>
      <c r="AH83" s="652" t="s">
        <v>422</v>
      </c>
      <c r="AI83" s="652" t="s">
        <v>423</v>
      </c>
      <c r="AJ83" s="652" t="s">
        <v>424</v>
      </c>
      <c r="AK83" s="3"/>
      <c r="AL83" s="3"/>
    </row>
    <row r="84" spans="1:39" x14ac:dyDescent="0.4">
      <c r="A84" s="800" t="s">
        <v>598</v>
      </c>
      <c r="B84" s="526" t="s">
        <v>582</v>
      </c>
      <c r="C84" s="526">
        <v>0</v>
      </c>
      <c r="D84" s="526">
        <v>0</v>
      </c>
      <c r="E84" s="526">
        <v>0</v>
      </c>
      <c r="F84" s="526">
        <v>0</v>
      </c>
      <c r="G84" s="526">
        <v>0</v>
      </c>
      <c r="H84" s="526">
        <v>0</v>
      </c>
      <c r="I84" s="526">
        <v>0</v>
      </c>
      <c r="J84" s="526">
        <v>0</v>
      </c>
      <c r="K84" s="526">
        <v>0</v>
      </c>
      <c r="L84" s="526">
        <v>0</v>
      </c>
      <c r="M84" s="526">
        <v>0</v>
      </c>
      <c r="N84" s="526">
        <v>0</v>
      </c>
      <c r="O84" s="526">
        <v>0</v>
      </c>
      <c r="P84" s="526">
        <v>0</v>
      </c>
      <c r="Q84" s="526">
        <v>1</v>
      </c>
      <c r="R84" s="526">
        <v>5</v>
      </c>
      <c r="S84" s="526">
        <v>18</v>
      </c>
      <c r="T84" s="526">
        <v>24</v>
      </c>
      <c r="U84" s="526">
        <v>21</v>
      </c>
      <c r="V84" s="526">
        <v>24</v>
      </c>
      <c r="W84" s="526">
        <v>18</v>
      </c>
      <c r="X84" s="526">
        <v>52</v>
      </c>
      <c r="Y84" s="526">
        <v>15</v>
      </c>
      <c r="Z84" s="779">
        <v>17</v>
      </c>
      <c r="AA84" s="779">
        <v>17</v>
      </c>
      <c r="AB84" s="779">
        <v>502</v>
      </c>
      <c r="AC84" s="779">
        <v>503</v>
      </c>
      <c r="AD84" s="779">
        <v>512</v>
      </c>
      <c r="AE84" s="779">
        <v>506</v>
      </c>
      <c r="AF84" s="779">
        <v>518</v>
      </c>
      <c r="AG84" s="779">
        <v>527</v>
      </c>
      <c r="AH84" s="779">
        <v>537</v>
      </c>
      <c r="AI84" s="779">
        <v>595</v>
      </c>
      <c r="AJ84" s="526">
        <v>566</v>
      </c>
      <c r="AM84" s="28"/>
    </row>
    <row r="85" spans="1:39" ht="16.5" thickBot="1" x14ac:dyDescent="0.45">
      <c r="A85" s="747" t="s">
        <v>591</v>
      </c>
      <c r="B85" s="796" t="s">
        <v>583</v>
      </c>
      <c r="C85" s="791">
        <f t="shared" ref="C85:AJ85" si="19">C84*1000</f>
        <v>0</v>
      </c>
      <c r="D85" s="791">
        <f t="shared" si="19"/>
        <v>0</v>
      </c>
      <c r="E85" s="791">
        <f t="shared" si="19"/>
        <v>0</v>
      </c>
      <c r="F85" s="791">
        <f t="shared" si="19"/>
        <v>0</v>
      </c>
      <c r="G85" s="791">
        <f t="shared" si="19"/>
        <v>0</v>
      </c>
      <c r="H85" s="791">
        <f t="shared" si="19"/>
        <v>0</v>
      </c>
      <c r="I85" s="791">
        <f t="shared" si="19"/>
        <v>0</v>
      </c>
      <c r="J85" s="791">
        <f t="shared" si="19"/>
        <v>0</v>
      </c>
      <c r="K85" s="791">
        <f t="shared" si="19"/>
        <v>0</v>
      </c>
      <c r="L85" s="791">
        <f t="shared" si="19"/>
        <v>0</v>
      </c>
      <c r="M85" s="791">
        <f t="shared" si="19"/>
        <v>0</v>
      </c>
      <c r="N85" s="791">
        <f t="shared" si="19"/>
        <v>0</v>
      </c>
      <c r="O85" s="791">
        <f t="shared" si="19"/>
        <v>0</v>
      </c>
      <c r="P85" s="791">
        <f t="shared" si="19"/>
        <v>0</v>
      </c>
      <c r="Q85" s="791">
        <f t="shared" si="19"/>
        <v>1000</v>
      </c>
      <c r="R85" s="791">
        <f t="shared" si="19"/>
        <v>5000</v>
      </c>
      <c r="S85" s="791">
        <f t="shared" si="19"/>
        <v>18000</v>
      </c>
      <c r="T85" s="791">
        <f t="shared" si="19"/>
        <v>24000</v>
      </c>
      <c r="U85" s="791">
        <f t="shared" si="19"/>
        <v>21000</v>
      </c>
      <c r="V85" s="791">
        <f t="shared" si="19"/>
        <v>24000</v>
      </c>
      <c r="W85" s="791">
        <f t="shared" si="19"/>
        <v>18000</v>
      </c>
      <c r="X85" s="791">
        <f t="shared" si="19"/>
        <v>52000</v>
      </c>
      <c r="Y85" s="791">
        <f t="shared" si="19"/>
        <v>15000</v>
      </c>
      <c r="Z85" s="791">
        <f t="shared" si="19"/>
        <v>17000</v>
      </c>
      <c r="AA85" s="791">
        <f t="shared" si="19"/>
        <v>17000</v>
      </c>
      <c r="AB85" s="791">
        <f t="shared" si="19"/>
        <v>502000</v>
      </c>
      <c r="AC85" s="791">
        <f t="shared" si="19"/>
        <v>503000</v>
      </c>
      <c r="AD85" s="791">
        <f t="shared" si="19"/>
        <v>512000</v>
      </c>
      <c r="AE85" s="791">
        <f t="shared" si="19"/>
        <v>506000</v>
      </c>
      <c r="AF85" s="791">
        <f t="shared" si="19"/>
        <v>518000</v>
      </c>
      <c r="AG85" s="791">
        <f t="shared" si="19"/>
        <v>527000</v>
      </c>
      <c r="AH85" s="791">
        <f t="shared" si="19"/>
        <v>537000</v>
      </c>
      <c r="AI85" s="791">
        <f t="shared" si="19"/>
        <v>595000</v>
      </c>
      <c r="AJ85" s="791">
        <f t="shared" si="19"/>
        <v>566000</v>
      </c>
      <c r="AM85" s="28"/>
    </row>
    <row r="86" spans="1:39" ht="17" x14ac:dyDescent="0.45">
      <c r="A86" s="1444" t="s">
        <v>1349</v>
      </c>
      <c r="B86" s="801" t="s">
        <v>584</v>
      </c>
      <c r="C86" s="772">
        <f t="shared" ref="C86:AJ86" si="20">C85*$C$228</f>
        <v>0</v>
      </c>
      <c r="D86" s="772">
        <f t="shared" si="20"/>
        <v>0</v>
      </c>
      <c r="E86" s="772">
        <f t="shared" si="20"/>
        <v>0</v>
      </c>
      <c r="F86" s="772">
        <f t="shared" si="20"/>
        <v>0</v>
      </c>
      <c r="G86" s="772">
        <f t="shared" si="20"/>
        <v>0</v>
      </c>
      <c r="H86" s="772">
        <f t="shared" si="20"/>
        <v>0</v>
      </c>
      <c r="I86" s="772">
        <f t="shared" si="20"/>
        <v>0</v>
      </c>
      <c r="J86" s="772">
        <f t="shared" si="20"/>
        <v>0</v>
      </c>
      <c r="K86" s="772">
        <f t="shared" si="20"/>
        <v>0</v>
      </c>
      <c r="L86" s="772">
        <f t="shared" si="20"/>
        <v>0</v>
      </c>
      <c r="M86" s="772">
        <f t="shared" si="20"/>
        <v>0</v>
      </c>
      <c r="N86" s="772">
        <f t="shared" si="20"/>
        <v>0</v>
      </c>
      <c r="O86" s="772">
        <f t="shared" si="20"/>
        <v>0</v>
      </c>
      <c r="P86" s="772">
        <f t="shared" si="20"/>
        <v>0</v>
      </c>
      <c r="Q86" s="772">
        <f t="shared" si="20"/>
        <v>150884.37211279999</v>
      </c>
      <c r="R86" s="772">
        <f t="shared" si="20"/>
        <v>754421.86056399986</v>
      </c>
      <c r="S86" s="772">
        <f t="shared" si="20"/>
        <v>2715918.6980303996</v>
      </c>
      <c r="T86" s="772">
        <f t="shared" si="20"/>
        <v>3621224.9307071995</v>
      </c>
      <c r="U86" s="772">
        <f t="shared" si="20"/>
        <v>3168571.8143687998</v>
      </c>
      <c r="V86" s="772">
        <f t="shared" si="20"/>
        <v>3621224.9307071995</v>
      </c>
      <c r="W86" s="772">
        <f t="shared" si="20"/>
        <v>2715918.6980303996</v>
      </c>
      <c r="X86" s="772">
        <f t="shared" si="20"/>
        <v>7845987.3498655986</v>
      </c>
      <c r="Y86" s="772">
        <f t="shared" si="20"/>
        <v>2263265.5816919999</v>
      </c>
      <c r="Z86" s="772">
        <f t="shared" si="20"/>
        <v>2565034.3259175997</v>
      </c>
      <c r="AA86" s="772">
        <f t="shared" si="20"/>
        <v>2565034.3259175997</v>
      </c>
      <c r="AB86" s="772">
        <f t="shared" si="20"/>
        <v>75743954.800625592</v>
      </c>
      <c r="AC86" s="772">
        <f t="shared" si="20"/>
        <v>75894839.172738388</v>
      </c>
      <c r="AD86" s="772">
        <f t="shared" si="20"/>
        <v>77252798.521753594</v>
      </c>
      <c r="AE86" s="772">
        <f t="shared" si="20"/>
        <v>76347492.28907679</v>
      </c>
      <c r="AF86" s="772">
        <f t="shared" si="20"/>
        <v>78158104.754430383</v>
      </c>
      <c r="AG86" s="772">
        <f t="shared" si="20"/>
        <v>79516064.10344559</v>
      </c>
      <c r="AH86" s="772">
        <f t="shared" si="20"/>
        <v>81024907.824573591</v>
      </c>
      <c r="AI86" s="772">
        <f t="shared" si="20"/>
        <v>89776201.407115981</v>
      </c>
      <c r="AJ86" s="772">
        <f t="shared" si="20"/>
        <v>85400554.615844786</v>
      </c>
      <c r="AM86" s="28"/>
    </row>
    <row r="87" spans="1:39" ht="17" x14ac:dyDescent="0.45">
      <c r="A87" s="1445" t="s">
        <v>1349</v>
      </c>
      <c r="B87" s="1443" t="s">
        <v>1189</v>
      </c>
      <c r="C87" s="766">
        <f t="shared" ref="C87:AJ87" si="21">C86/($B$244*1000000)</f>
        <v>0</v>
      </c>
      <c r="D87" s="766">
        <f t="shared" si="21"/>
        <v>0</v>
      </c>
      <c r="E87" s="766">
        <f t="shared" si="21"/>
        <v>0</v>
      </c>
      <c r="F87" s="766">
        <f t="shared" si="21"/>
        <v>0</v>
      </c>
      <c r="G87" s="766">
        <f t="shared" si="21"/>
        <v>0</v>
      </c>
      <c r="H87" s="766">
        <f t="shared" si="21"/>
        <v>0</v>
      </c>
      <c r="I87" s="766">
        <f t="shared" si="21"/>
        <v>0</v>
      </c>
      <c r="J87" s="766">
        <f t="shared" si="21"/>
        <v>0</v>
      </c>
      <c r="K87" s="766">
        <f t="shared" si="21"/>
        <v>0</v>
      </c>
      <c r="L87" s="766">
        <f t="shared" si="21"/>
        <v>0</v>
      </c>
      <c r="M87" s="766">
        <f t="shared" si="21"/>
        <v>0</v>
      </c>
      <c r="N87" s="766">
        <f t="shared" si="21"/>
        <v>0</v>
      </c>
      <c r="O87" s="766">
        <f t="shared" si="21"/>
        <v>0</v>
      </c>
      <c r="P87" s="766">
        <f t="shared" si="21"/>
        <v>0</v>
      </c>
      <c r="Q87" s="766">
        <f t="shared" si="21"/>
        <v>6.8439999999999988E-5</v>
      </c>
      <c r="R87" s="766">
        <f t="shared" si="21"/>
        <v>3.4219999999999992E-4</v>
      </c>
      <c r="S87" s="766">
        <f t="shared" si="21"/>
        <v>1.2319199999999998E-3</v>
      </c>
      <c r="T87" s="766">
        <f t="shared" si="21"/>
        <v>1.6425599999999997E-3</v>
      </c>
      <c r="U87" s="766">
        <f t="shared" si="21"/>
        <v>1.43724E-3</v>
      </c>
      <c r="V87" s="766">
        <f t="shared" si="21"/>
        <v>1.6425599999999997E-3</v>
      </c>
      <c r="W87" s="766">
        <f t="shared" si="21"/>
        <v>1.2319199999999998E-3</v>
      </c>
      <c r="X87" s="766">
        <f t="shared" si="21"/>
        <v>3.5588799999999995E-3</v>
      </c>
      <c r="Y87" s="766">
        <f t="shared" si="21"/>
        <v>1.0265999999999999E-3</v>
      </c>
      <c r="Z87" s="766">
        <f t="shared" si="21"/>
        <v>1.1634799999999999E-3</v>
      </c>
      <c r="AA87" s="766">
        <f t="shared" si="21"/>
        <v>1.1634799999999999E-3</v>
      </c>
      <c r="AB87" s="766">
        <f t="shared" si="21"/>
        <v>3.4356879999999999E-2</v>
      </c>
      <c r="AC87" s="766">
        <f t="shared" si="21"/>
        <v>3.4425319999999995E-2</v>
      </c>
      <c r="AD87" s="766">
        <f t="shared" si="21"/>
        <v>3.5041279999999994E-2</v>
      </c>
      <c r="AE87" s="766">
        <f t="shared" si="21"/>
        <v>3.4630639999999997E-2</v>
      </c>
      <c r="AF87" s="766">
        <f t="shared" si="21"/>
        <v>3.5451919999999991E-2</v>
      </c>
      <c r="AG87" s="766">
        <f t="shared" si="21"/>
        <v>3.6067879999999997E-2</v>
      </c>
      <c r="AH87" s="766">
        <f t="shared" si="21"/>
        <v>3.6752279999999998E-2</v>
      </c>
      <c r="AI87" s="766">
        <f t="shared" si="21"/>
        <v>4.0721799999999989E-2</v>
      </c>
      <c r="AJ87" s="766">
        <f t="shared" si="21"/>
        <v>3.8737039999999993E-2</v>
      </c>
      <c r="AM87" s="28"/>
    </row>
    <row r="88" spans="1:39" ht="17" x14ac:dyDescent="0.45">
      <c r="A88" s="1446" t="s">
        <v>1042</v>
      </c>
      <c r="B88" s="798" t="s">
        <v>584</v>
      </c>
      <c r="C88" s="772">
        <f t="shared" ref="C88:AJ88" si="22">C85*$D$228</f>
        <v>0</v>
      </c>
      <c r="D88" s="772">
        <f t="shared" si="22"/>
        <v>0</v>
      </c>
      <c r="E88" s="772">
        <f t="shared" si="22"/>
        <v>0</v>
      </c>
      <c r="F88" s="772">
        <f t="shared" si="22"/>
        <v>0</v>
      </c>
      <c r="G88" s="772">
        <f t="shared" si="22"/>
        <v>0</v>
      </c>
      <c r="H88" s="772">
        <f t="shared" si="22"/>
        <v>0</v>
      </c>
      <c r="I88" s="772">
        <f t="shared" si="22"/>
        <v>0</v>
      </c>
      <c r="J88" s="772">
        <f t="shared" si="22"/>
        <v>0</v>
      </c>
      <c r="K88" s="772">
        <f t="shared" si="22"/>
        <v>0</v>
      </c>
      <c r="L88" s="772">
        <f t="shared" si="22"/>
        <v>0</v>
      </c>
      <c r="M88" s="772">
        <f t="shared" si="22"/>
        <v>0</v>
      </c>
      <c r="N88" s="772">
        <f t="shared" si="22"/>
        <v>0</v>
      </c>
      <c r="O88" s="772">
        <f t="shared" si="22"/>
        <v>0</v>
      </c>
      <c r="P88" s="772">
        <f t="shared" si="22"/>
        <v>0</v>
      </c>
      <c r="Q88" s="772">
        <f t="shared" si="22"/>
        <v>2.4250848820000002</v>
      </c>
      <c r="R88" s="772">
        <f t="shared" si="22"/>
        <v>12.125424410000001</v>
      </c>
      <c r="S88" s="772">
        <f t="shared" si="22"/>
        <v>43.651527876000003</v>
      </c>
      <c r="T88" s="772">
        <f t="shared" si="22"/>
        <v>58.202037168000004</v>
      </c>
      <c r="U88" s="772">
        <f t="shared" si="22"/>
        <v>50.926782522000003</v>
      </c>
      <c r="V88" s="772">
        <f t="shared" si="22"/>
        <v>58.202037168000004</v>
      </c>
      <c r="W88" s="772">
        <f t="shared" si="22"/>
        <v>43.651527876000003</v>
      </c>
      <c r="X88" s="772">
        <f t="shared" si="22"/>
        <v>126.10441386400001</v>
      </c>
      <c r="Y88" s="772">
        <f t="shared" si="22"/>
        <v>36.376273230000002</v>
      </c>
      <c r="Z88" s="772">
        <f t="shared" si="22"/>
        <v>41.226442994000003</v>
      </c>
      <c r="AA88" s="772">
        <f t="shared" si="22"/>
        <v>41.226442994000003</v>
      </c>
      <c r="AB88" s="772">
        <f t="shared" si="22"/>
        <v>1217.392610764</v>
      </c>
      <c r="AC88" s="772">
        <f t="shared" si="22"/>
        <v>1219.8176956459999</v>
      </c>
      <c r="AD88" s="772">
        <f t="shared" si="22"/>
        <v>1241.6434595840001</v>
      </c>
      <c r="AE88" s="772">
        <f t="shared" si="22"/>
        <v>1227.0929502920001</v>
      </c>
      <c r="AF88" s="772">
        <f t="shared" si="22"/>
        <v>1256.1939688760001</v>
      </c>
      <c r="AG88" s="772">
        <f t="shared" si="22"/>
        <v>1278.019732814</v>
      </c>
      <c r="AH88" s="772">
        <f t="shared" si="22"/>
        <v>1302.2705816340001</v>
      </c>
      <c r="AI88" s="772">
        <f t="shared" si="22"/>
        <v>1442.9255047900001</v>
      </c>
      <c r="AJ88" s="772">
        <f t="shared" si="22"/>
        <v>1372.598043212</v>
      </c>
      <c r="AM88" s="28"/>
    </row>
    <row r="89" spans="1:39" ht="17" x14ac:dyDescent="0.45">
      <c r="A89" s="1447" t="s">
        <v>1353</v>
      </c>
      <c r="B89" s="798" t="s">
        <v>584</v>
      </c>
      <c r="C89" s="748">
        <f t="shared" ref="C89:AJ89" si="23">C88*$B$249</f>
        <v>0</v>
      </c>
      <c r="D89" s="748">
        <f t="shared" si="23"/>
        <v>0</v>
      </c>
      <c r="E89" s="748">
        <f t="shared" si="23"/>
        <v>0</v>
      </c>
      <c r="F89" s="748">
        <f t="shared" si="23"/>
        <v>0</v>
      </c>
      <c r="G89" s="748">
        <f t="shared" si="23"/>
        <v>0</v>
      </c>
      <c r="H89" s="748">
        <f t="shared" si="23"/>
        <v>0</v>
      </c>
      <c r="I89" s="748">
        <f t="shared" si="23"/>
        <v>0</v>
      </c>
      <c r="J89" s="748">
        <f t="shared" si="23"/>
        <v>0</v>
      </c>
      <c r="K89" s="748">
        <f t="shared" si="23"/>
        <v>0</v>
      </c>
      <c r="L89" s="748">
        <f t="shared" si="23"/>
        <v>0</v>
      </c>
      <c r="M89" s="748">
        <f t="shared" si="23"/>
        <v>0</v>
      </c>
      <c r="N89" s="748">
        <f t="shared" si="23"/>
        <v>0</v>
      </c>
      <c r="O89" s="748">
        <f t="shared" si="23"/>
        <v>0</v>
      </c>
      <c r="P89" s="748">
        <f t="shared" si="23"/>
        <v>0</v>
      </c>
      <c r="Q89" s="748">
        <f t="shared" si="23"/>
        <v>60.627122050000004</v>
      </c>
      <c r="R89" s="748">
        <f t="shared" si="23"/>
        <v>303.13561025000001</v>
      </c>
      <c r="S89" s="748">
        <f t="shared" si="23"/>
        <v>1091.2881969</v>
      </c>
      <c r="T89" s="748">
        <f t="shared" si="23"/>
        <v>1455.0509292000002</v>
      </c>
      <c r="U89" s="748">
        <f t="shared" si="23"/>
        <v>1273.1695630500001</v>
      </c>
      <c r="V89" s="748">
        <f t="shared" si="23"/>
        <v>1455.0509292000002</v>
      </c>
      <c r="W89" s="748">
        <f t="shared" si="23"/>
        <v>1091.2881969</v>
      </c>
      <c r="X89" s="748">
        <f t="shared" si="23"/>
        <v>3152.6103466000004</v>
      </c>
      <c r="Y89" s="748">
        <f t="shared" si="23"/>
        <v>909.40683075000004</v>
      </c>
      <c r="Z89" s="748">
        <f t="shared" si="23"/>
        <v>1030.66107485</v>
      </c>
      <c r="AA89" s="748">
        <f t="shared" si="23"/>
        <v>1030.66107485</v>
      </c>
      <c r="AB89" s="748">
        <f t="shared" si="23"/>
        <v>30434.8152691</v>
      </c>
      <c r="AC89" s="748">
        <f t="shared" si="23"/>
        <v>30495.442391149998</v>
      </c>
      <c r="AD89" s="748">
        <f t="shared" si="23"/>
        <v>31041.086489600002</v>
      </c>
      <c r="AE89" s="748">
        <f t="shared" si="23"/>
        <v>30677.323757300001</v>
      </c>
      <c r="AF89" s="748">
        <f t="shared" si="23"/>
        <v>31404.849221900004</v>
      </c>
      <c r="AG89" s="748">
        <f t="shared" si="23"/>
        <v>31950.49332035</v>
      </c>
      <c r="AH89" s="748">
        <f t="shared" si="23"/>
        <v>32556.764540850003</v>
      </c>
      <c r="AI89" s="748">
        <f t="shared" si="23"/>
        <v>36073.137619749999</v>
      </c>
      <c r="AJ89" s="748">
        <f t="shared" si="23"/>
        <v>34314.951080300001</v>
      </c>
    </row>
    <row r="90" spans="1:39" ht="17" x14ac:dyDescent="0.45">
      <c r="A90" s="1448" t="s">
        <v>1354</v>
      </c>
      <c r="B90" s="1443" t="s">
        <v>1189</v>
      </c>
      <c r="C90" s="766">
        <f t="shared" ref="C90:AJ90" si="24">C89/($B$244*1000000)</f>
        <v>0</v>
      </c>
      <c r="D90" s="766">
        <f t="shared" si="24"/>
        <v>0</v>
      </c>
      <c r="E90" s="766">
        <f t="shared" si="24"/>
        <v>0</v>
      </c>
      <c r="F90" s="766">
        <f t="shared" si="24"/>
        <v>0</v>
      </c>
      <c r="G90" s="766">
        <f t="shared" si="24"/>
        <v>0</v>
      </c>
      <c r="H90" s="766">
        <f t="shared" si="24"/>
        <v>0</v>
      </c>
      <c r="I90" s="766">
        <f t="shared" si="24"/>
        <v>0</v>
      </c>
      <c r="J90" s="766">
        <f t="shared" si="24"/>
        <v>0</v>
      </c>
      <c r="K90" s="766">
        <f t="shared" si="24"/>
        <v>0</v>
      </c>
      <c r="L90" s="766">
        <f t="shared" si="24"/>
        <v>0</v>
      </c>
      <c r="M90" s="766">
        <f t="shared" si="24"/>
        <v>0</v>
      </c>
      <c r="N90" s="766">
        <f t="shared" si="24"/>
        <v>0</v>
      </c>
      <c r="O90" s="766">
        <f t="shared" si="24"/>
        <v>0</v>
      </c>
      <c r="P90" s="766">
        <f t="shared" si="24"/>
        <v>0</v>
      </c>
      <c r="Q90" s="766">
        <f t="shared" si="24"/>
        <v>2.7500000000000001E-8</v>
      </c>
      <c r="R90" s="766">
        <f t="shared" si="24"/>
        <v>1.3750000000000001E-7</v>
      </c>
      <c r="S90" s="766">
        <f t="shared" si="24"/>
        <v>4.9500000000000003E-7</v>
      </c>
      <c r="T90" s="766">
        <f t="shared" si="24"/>
        <v>6.6000000000000003E-7</v>
      </c>
      <c r="U90" s="766">
        <f t="shared" si="24"/>
        <v>5.7750000000000008E-7</v>
      </c>
      <c r="V90" s="766">
        <f t="shared" si="24"/>
        <v>6.6000000000000003E-7</v>
      </c>
      <c r="W90" s="766">
        <f t="shared" si="24"/>
        <v>4.9500000000000003E-7</v>
      </c>
      <c r="X90" s="766">
        <f t="shared" si="24"/>
        <v>1.4300000000000003E-6</v>
      </c>
      <c r="Y90" s="766">
        <f t="shared" si="24"/>
        <v>4.1250000000000002E-7</v>
      </c>
      <c r="Z90" s="766">
        <f t="shared" si="24"/>
        <v>4.6749999999999997E-7</v>
      </c>
      <c r="AA90" s="766">
        <f t="shared" si="24"/>
        <v>4.6749999999999997E-7</v>
      </c>
      <c r="AB90" s="766">
        <f t="shared" si="24"/>
        <v>1.3804999999999999E-5</v>
      </c>
      <c r="AC90" s="766">
        <f t="shared" si="24"/>
        <v>1.3832499999999998E-5</v>
      </c>
      <c r="AD90" s="766">
        <f t="shared" si="24"/>
        <v>1.4080000000000001E-5</v>
      </c>
      <c r="AE90" s="766">
        <f t="shared" si="24"/>
        <v>1.3915E-5</v>
      </c>
      <c r="AF90" s="766">
        <f t="shared" si="24"/>
        <v>1.4245000000000002E-5</v>
      </c>
      <c r="AG90" s="766">
        <f t="shared" si="24"/>
        <v>1.4492500000000001E-5</v>
      </c>
      <c r="AH90" s="766">
        <f t="shared" si="24"/>
        <v>1.4767500000000002E-5</v>
      </c>
      <c r="AI90" s="766">
        <f t="shared" si="24"/>
        <v>1.6362500000000001E-5</v>
      </c>
      <c r="AJ90" s="766">
        <f t="shared" si="24"/>
        <v>1.5565000000000001E-5</v>
      </c>
    </row>
    <row r="91" spans="1:39" ht="17" x14ac:dyDescent="0.45">
      <c r="A91" s="1449" t="s">
        <v>967</v>
      </c>
      <c r="B91" s="798" t="s">
        <v>584</v>
      </c>
      <c r="C91" s="772">
        <f t="shared" ref="C91:AJ91" si="25">C85*$E$228</f>
        <v>0</v>
      </c>
      <c r="D91" s="772">
        <f t="shared" si="25"/>
        <v>0</v>
      </c>
      <c r="E91" s="772">
        <f t="shared" si="25"/>
        <v>0</v>
      </c>
      <c r="F91" s="772">
        <f t="shared" si="25"/>
        <v>0</v>
      </c>
      <c r="G91" s="772">
        <f t="shared" si="25"/>
        <v>0</v>
      </c>
      <c r="H91" s="772">
        <f t="shared" si="25"/>
        <v>0</v>
      </c>
      <c r="I91" s="772">
        <f t="shared" si="25"/>
        <v>0</v>
      </c>
      <c r="J91" s="772">
        <f t="shared" si="25"/>
        <v>0</v>
      </c>
      <c r="K91" s="772">
        <f t="shared" si="25"/>
        <v>0</v>
      </c>
      <c r="L91" s="772">
        <f t="shared" si="25"/>
        <v>0</v>
      </c>
      <c r="M91" s="772">
        <f t="shared" si="25"/>
        <v>0</v>
      </c>
      <c r="N91" s="772">
        <f t="shared" si="25"/>
        <v>0</v>
      </c>
      <c r="O91" s="772">
        <f t="shared" si="25"/>
        <v>0</v>
      </c>
      <c r="P91" s="772">
        <f t="shared" si="25"/>
        <v>0</v>
      </c>
      <c r="Q91" s="772">
        <f t="shared" si="25"/>
        <v>0.24250848819999998</v>
      </c>
      <c r="R91" s="772">
        <f t="shared" si="25"/>
        <v>1.2125424409999999</v>
      </c>
      <c r="S91" s="772">
        <f t="shared" si="25"/>
        <v>4.3651527875999996</v>
      </c>
      <c r="T91" s="772">
        <f t="shared" si="25"/>
        <v>5.8202037168</v>
      </c>
      <c r="U91" s="772">
        <f t="shared" si="25"/>
        <v>5.0926782521999998</v>
      </c>
      <c r="V91" s="772">
        <f t="shared" si="25"/>
        <v>5.8202037168</v>
      </c>
      <c r="W91" s="772">
        <f t="shared" si="25"/>
        <v>4.3651527875999996</v>
      </c>
      <c r="X91" s="772">
        <f t="shared" si="25"/>
        <v>12.6104413864</v>
      </c>
      <c r="Y91" s="772">
        <f t="shared" si="25"/>
        <v>3.6376273229999998</v>
      </c>
      <c r="Z91" s="772">
        <f t="shared" si="25"/>
        <v>4.1226442994000001</v>
      </c>
      <c r="AA91" s="772">
        <f t="shared" si="25"/>
        <v>4.1226442994000001</v>
      </c>
      <c r="AB91" s="772">
        <f t="shared" si="25"/>
        <v>121.7392610764</v>
      </c>
      <c r="AC91" s="772">
        <f t="shared" si="25"/>
        <v>121.9817695646</v>
      </c>
      <c r="AD91" s="772">
        <f t="shared" si="25"/>
        <v>124.16434595839999</v>
      </c>
      <c r="AE91" s="772">
        <f t="shared" si="25"/>
        <v>122.70929502919999</v>
      </c>
      <c r="AF91" s="772">
        <f t="shared" si="25"/>
        <v>125.61939688759999</v>
      </c>
      <c r="AG91" s="772">
        <f t="shared" si="25"/>
        <v>127.8019732814</v>
      </c>
      <c r="AH91" s="772">
        <f t="shared" si="25"/>
        <v>130.22705816339999</v>
      </c>
      <c r="AI91" s="772">
        <f t="shared" si="25"/>
        <v>144.292550479</v>
      </c>
      <c r="AJ91" s="772">
        <f t="shared" si="25"/>
        <v>137.25980432119999</v>
      </c>
    </row>
    <row r="92" spans="1:39" ht="17" x14ac:dyDescent="0.45">
      <c r="A92" s="1447" t="s">
        <v>1355</v>
      </c>
      <c r="B92" s="798" t="s">
        <v>584</v>
      </c>
      <c r="C92" s="748">
        <f t="shared" ref="C92:AJ92" si="26">C91*$B$250</f>
        <v>0</v>
      </c>
      <c r="D92" s="748">
        <f t="shared" si="26"/>
        <v>0</v>
      </c>
      <c r="E92" s="748">
        <f t="shared" si="26"/>
        <v>0</v>
      </c>
      <c r="F92" s="748">
        <f t="shared" si="26"/>
        <v>0</v>
      </c>
      <c r="G92" s="748">
        <f t="shared" si="26"/>
        <v>0</v>
      </c>
      <c r="H92" s="748">
        <f t="shared" si="26"/>
        <v>0</v>
      </c>
      <c r="I92" s="748">
        <f t="shared" si="26"/>
        <v>0</v>
      </c>
      <c r="J92" s="748">
        <f t="shared" si="26"/>
        <v>0</v>
      </c>
      <c r="K92" s="748">
        <f t="shared" si="26"/>
        <v>0</v>
      </c>
      <c r="L92" s="748">
        <f t="shared" si="26"/>
        <v>0</v>
      </c>
      <c r="M92" s="748">
        <f t="shared" si="26"/>
        <v>0</v>
      </c>
      <c r="N92" s="748">
        <f t="shared" si="26"/>
        <v>0</v>
      </c>
      <c r="O92" s="748">
        <f t="shared" si="26"/>
        <v>0</v>
      </c>
      <c r="P92" s="748">
        <f t="shared" si="26"/>
        <v>0</v>
      </c>
      <c r="Q92" s="748">
        <f t="shared" si="26"/>
        <v>72.267529483600001</v>
      </c>
      <c r="R92" s="748">
        <f t="shared" si="26"/>
        <v>361.33764741799996</v>
      </c>
      <c r="S92" s="748">
        <f t="shared" si="26"/>
        <v>1300.8155307047998</v>
      </c>
      <c r="T92" s="748">
        <f t="shared" si="26"/>
        <v>1734.4207076063999</v>
      </c>
      <c r="U92" s="748">
        <f t="shared" si="26"/>
        <v>1517.6181191556</v>
      </c>
      <c r="V92" s="748">
        <f t="shared" si="26"/>
        <v>1734.4207076063999</v>
      </c>
      <c r="W92" s="748">
        <f t="shared" si="26"/>
        <v>1300.8155307047998</v>
      </c>
      <c r="X92" s="748">
        <f t="shared" si="26"/>
        <v>3757.9115331471999</v>
      </c>
      <c r="Y92" s="748">
        <f t="shared" si="26"/>
        <v>1084.0129422539999</v>
      </c>
      <c r="Z92" s="748">
        <f t="shared" si="26"/>
        <v>1228.5480012212001</v>
      </c>
      <c r="AA92" s="748">
        <f t="shared" si="26"/>
        <v>1228.5480012212001</v>
      </c>
      <c r="AB92" s="748">
        <f t="shared" si="26"/>
        <v>36278.299800767199</v>
      </c>
      <c r="AC92" s="748">
        <f t="shared" si="26"/>
        <v>36350.5673302508</v>
      </c>
      <c r="AD92" s="748">
        <f t="shared" si="26"/>
        <v>37000.9750956032</v>
      </c>
      <c r="AE92" s="748">
        <f t="shared" si="26"/>
        <v>36567.369918701595</v>
      </c>
      <c r="AF92" s="748">
        <f t="shared" si="26"/>
        <v>37434.580272504798</v>
      </c>
      <c r="AG92" s="748">
        <f t="shared" si="26"/>
        <v>38084.988037857198</v>
      </c>
      <c r="AH92" s="748">
        <f t="shared" si="26"/>
        <v>38807.663332693199</v>
      </c>
      <c r="AI92" s="748">
        <f t="shared" si="26"/>
        <v>42999.180042742002</v>
      </c>
      <c r="AJ92" s="748">
        <f t="shared" si="26"/>
        <v>40903.4216877176</v>
      </c>
    </row>
    <row r="93" spans="1:39" ht="17" x14ac:dyDescent="0.45">
      <c r="A93" s="1450" t="s">
        <v>1356</v>
      </c>
      <c r="B93" s="1443" t="s">
        <v>1189</v>
      </c>
      <c r="C93" s="766">
        <f t="shared" ref="C93:AJ93" si="27">C92/($B$244*1000000)</f>
        <v>0</v>
      </c>
      <c r="D93" s="766">
        <f t="shared" si="27"/>
        <v>0</v>
      </c>
      <c r="E93" s="766">
        <f t="shared" si="27"/>
        <v>0</v>
      </c>
      <c r="F93" s="766">
        <f t="shared" si="27"/>
        <v>0</v>
      </c>
      <c r="G93" s="766">
        <f t="shared" si="27"/>
        <v>0</v>
      </c>
      <c r="H93" s="766">
        <f t="shared" si="27"/>
        <v>0</v>
      </c>
      <c r="I93" s="766">
        <f t="shared" si="27"/>
        <v>0</v>
      </c>
      <c r="J93" s="766">
        <f t="shared" si="27"/>
        <v>0</v>
      </c>
      <c r="K93" s="766">
        <f t="shared" si="27"/>
        <v>0</v>
      </c>
      <c r="L93" s="766">
        <f t="shared" si="27"/>
        <v>0</v>
      </c>
      <c r="M93" s="766">
        <f t="shared" si="27"/>
        <v>0</v>
      </c>
      <c r="N93" s="766">
        <f t="shared" si="27"/>
        <v>0</v>
      </c>
      <c r="O93" s="766">
        <f t="shared" si="27"/>
        <v>0</v>
      </c>
      <c r="P93" s="766">
        <f t="shared" si="27"/>
        <v>0</v>
      </c>
      <c r="Q93" s="766">
        <f t="shared" si="27"/>
        <v>3.278E-8</v>
      </c>
      <c r="R93" s="766">
        <f t="shared" si="27"/>
        <v>1.6389999999999998E-7</v>
      </c>
      <c r="S93" s="766">
        <f t="shared" si="27"/>
        <v>5.900399999999999E-7</v>
      </c>
      <c r="T93" s="766">
        <f t="shared" si="27"/>
        <v>7.8671999999999994E-7</v>
      </c>
      <c r="U93" s="766">
        <f t="shared" si="27"/>
        <v>6.8838000000000003E-7</v>
      </c>
      <c r="V93" s="766">
        <f t="shared" si="27"/>
        <v>7.8671999999999994E-7</v>
      </c>
      <c r="W93" s="766">
        <f t="shared" si="27"/>
        <v>5.900399999999999E-7</v>
      </c>
      <c r="X93" s="766">
        <f t="shared" si="27"/>
        <v>1.7045599999999999E-6</v>
      </c>
      <c r="Y93" s="766">
        <f t="shared" si="27"/>
        <v>4.9169999999999999E-7</v>
      </c>
      <c r="Z93" s="766">
        <f t="shared" si="27"/>
        <v>5.5726000000000011E-7</v>
      </c>
      <c r="AA93" s="766">
        <f t="shared" si="27"/>
        <v>5.5726000000000011E-7</v>
      </c>
      <c r="AB93" s="766">
        <f t="shared" si="27"/>
        <v>1.6455559999999999E-5</v>
      </c>
      <c r="AC93" s="766">
        <f t="shared" si="27"/>
        <v>1.6488339999999999E-5</v>
      </c>
      <c r="AD93" s="766">
        <f t="shared" si="27"/>
        <v>1.678336E-5</v>
      </c>
      <c r="AE93" s="766">
        <f t="shared" si="27"/>
        <v>1.6586679999999997E-5</v>
      </c>
      <c r="AF93" s="766">
        <f t="shared" si="27"/>
        <v>1.6980039999999999E-5</v>
      </c>
      <c r="AG93" s="766">
        <f t="shared" si="27"/>
        <v>1.7275060000000001E-5</v>
      </c>
      <c r="AH93" s="766">
        <f t="shared" si="27"/>
        <v>1.7602860000000001E-5</v>
      </c>
      <c r="AI93" s="766">
        <f t="shared" si="27"/>
        <v>1.9504100000000002E-5</v>
      </c>
      <c r="AJ93" s="766">
        <f t="shared" si="27"/>
        <v>1.855348E-5</v>
      </c>
    </row>
    <row r="94" spans="1:39" ht="17" x14ac:dyDescent="0.45">
      <c r="A94" s="1450" t="s">
        <v>1394</v>
      </c>
      <c r="B94" s="1443" t="s">
        <v>1189</v>
      </c>
      <c r="C94" s="767">
        <f t="shared" ref="C94:AJ94" si="28">C90+C93</f>
        <v>0</v>
      </c>
      <c r="D94" s="767">
        <f t="shared" si="28"/>
        <v>0</v>
      </c>
      <c r="E94" s="767">
        <f t="shared" si="28"/>
        <v>0</v>
      </c>
      <c r="F94" s="767">
        <f t="shared" si="28"/>
        <v>0</v>
      </c>
      <c r="G94" s="767">
        <f t="shared" si="28"/>
        <v>0</v>
      </c>
      <c r="H94" s="767">
        <f t="shared" si="28"/>
        <v>0</v>
      </c>
      <c r="I94" s="767">
        <f t="shared" si="28"/>
        <v>0</v>
      </c>
      <c r="J94" s="767">
        <f t="shared" si="28"/>
        <v>0</v>
      </c>
      <c r="K94" s="767">
        <f t="shared" si="28"/>
        <v>0</v>
      </c>
      <c r="L94" s="767">
        <f t="shared" si="28"/>
        <v>0</v>
      </c>
      <c r="M94" s="767">
        <f t="shared" si="28"/>
        <v>0</v>
      </c>
      <c r="N94" s="767">
        <f t="shared" si="28"/>
        <v>0</v>
      </c>
      <c r="O94" s="767">
        <f t="shared" si="28"/>
        <v>0</v>
      </c>
      <c r="P94" s="767">
        <f t="shared" si="28"/>
        <v>0</v>
      </c>
      <c r="Q94" s="767">
        <f t="shared" si="28"/>
        <v>6.0280000000000008E-8</v>
      </c>
      <c r="R94" s="767">
        <f t="shared" si="28"/>
        <v>3.0139999999999999E-7</v>
      </c>
      <c r="S94" s="767">
        <f t="shared" si="28"/>
        <v>1.08504E-6</v>
      </c>
      <c r="T94" s="767">
        <f t="shared" si="28"/>
        <v>1.44672E-6</v>
      </c>
      <c r="U94" s="767">
        <f t="shared" si="28"/>
        <v>1.2658800000000001E-6</v>
      </c>
      <c r="V94" s="767">
        <f t="shared" si="28"/>
        <v>1.44672E-6</v>
      </c>
      <c r="W94" s="767">
        <f t="shared" si="28"/>
        <v>1.08504E-6</v>
      </c>
      <c r="X94" s="767">
        <f t="shared" si="28"/>
        <v>3.1345600000000002E-6</v>
      </c>
      <c r="Y94" s="767">
        <f t="shared" si="28"/>
        <v>9.0419999999999996E-7</v>
      </c>
      <c r="Z94" s="767">
        <f t="shared" si="28"/>
        <v>1.0247600000000001E-6</v>
      </c>
      <c r="AA94" s="767">
        <f t="shared" si="28"/>
        <v>1.0247600000000001E-6</v>
      </c>
      <c r="AB94" s="767">
        <f t="shared" si="28"/>
        <v>3.0260559999999997E-5</v>
      </c>
      <c r="AC94" s="767">
        <f t="shared" si="28"/>
        <v>3.0320839999999999E-5</v>
      </c>
      <c r="AD94" s="767">
        <f t="shared" si="28"/>
        <v>3.0863360000000004E-5</v>
      </c>
      <c r="AE94" s="767">
        <f t="shared" si="28"/>
        <v>3.0501679999999998E-5</v>
      </c>
      <c r="AF94" s="767">
        <f t="shared" si="28"/>
        <v>3.1225040000000003E-5</v>
      </c>
      <c r="AG94" s="767">
        <f t="shared" si="28"/>
        <v>3.1767560000000001E-5</v>
      </c>
      <c r="AH94" s="767">
        <f t="shared" si="28"/>
        <v>3.2370360000000002E-5</v>
      </c>
      <c r="AI94" s="767">
        <f t="shared" si="28"/>
        <v>3.58666E-5</v>
      </c>
      <c r="AJ94" s="767">
        <f t="shared" si="28"/>
        <v>3.4118480000000001E-5</v>
      </c>
    </row>
    <row r="95" spans="1:39" x14ac:dyDescent="0.4">
      <c r="A95" s="1299" t="s">
        <v>1063</v>
      </c>
      <c r="B95" s="665"/>
      <c r="C95" s="1300"/>
      <c r="D95" s="1300"/>
      <c r="E95" s="1300"/>
      <c r="F95" s="1300"/>
      <c r="G95" s="1300"/>
      <c r="H95" s="1300"/>
      <c r="I95" s="1300"/>
      <c r="J95" s="1300"/>
      <c r="K95" s="1300"/>
      <c r="L95" s="1300"/>
      <c r="M95" s="1300"/>
      <c r="N95" s="1300"/>
      <c r="O95" s="1300"/>
      <c r="P95" s="1300"/>
      <c r="Q95" s="1300"/>
      <c r="R95" s="1300"/>
      <c r="S95" s="1300"/>
      <c r="T95" s="1300"/>
      <c r="U95" s="1300"/>
      <c r="V95" s="1300"/>
      <c r="W95" s="1300"/>
      <c r="X95" s="1300"/>
      <c r="Y95" s="1300"/>
      <c r="Z95" s="1300"/>
      <c r="AA95" s="1300"/>
      <c r="AB95" s="1300"/>
      <c r="AC95" s="1300"/>
      <c r="AD95" s="1300"/>
      <c r="AE95" s="1300"/>
      <c r="AF95" s="1300"/>
      <c r="AG95" s="1300"/>
      <c r="AH95" s="1300"/>
      <c r="AI95" s="1300"/>
      <c r="AJ95" s="1300"/>
    </row>
    <row r="96" spans="1:39" ht="16.5" thickBot="1" x14ac:dyDescent="0.45">
      <c r="A96" s="754"/>
      <c r="C96" s="775"/>
      <c r="D96" s="775"/>
      <c r="E96" s="775"/>
      <c r="F96" s="775"/>
      <c r="H96" s="775"/>
      <c r="I96" s="775"/>
    </row>
    <row r="97" spans="1:38" ht="16.5" thickBot="1" x14ac:dyDescent="0.45">
      <c r="A97" s="777" t="s">
        <v>926</v>
      </c>
      <c r="Q97" s="3" t="s">
        <v>332</v>
      </c>
    </row>
    <row r="98" spans="1:38" s="28" customFormat="1" x14ac:dyDescent="0.4">
      <c r="A98" s="1283" t="s">
        <v>936</v>
      </c>
      <c r="B98" s="71" t="s">
        <v>136</v>
      </c>
      <c r="C98" s="652" t="s">
        <v>391</v>
      </c>
      <c r="D98" s="652" t="s">
        <v>392</v>
      </c>
      <c r="E98" s="652" t="s">
        <v>393</v>
      </c>
      <c r="F98" s="652" t="s">
        <v>394</v>
      </c>
      <c r="G98" s="652" t="s">
        <v>395</v>
      </c>
      <c r="H98" s="652" t="s">
        <v>396</v>
      </c>
      <c r="I98" s="652" t="s">
        <v>397</v>
      </c>
      <c r="J98" s="652" t="s">
        <v>398</v>
      </c>
      <c r="K98" s="652" t="s">
        <v>399</v>
      </c>
      <c r="L98" s="652" t="s">
        <v>400</v>
      </c>
      <c r="M98" s="652" t="s">
        <v>401</v>
      </c>
      <c r="N98" s="652" t="s">
        <v>402</v>
      </c>
      <c r="O98" s="652" t="s">
        <v>403</v>
      </c>
      <c r="P98" s="652" t="s">
        <v>404</v>
      </c>
      <c r="Q98" s="652" t="s">
        <v>405</v>
      </c>
      <c r="R98" s="652" t="s">
        <v>406</v>
      </c>
      <c r="S98" s="652" t="s">
        <v>407</v>
      </c>
      <c r="T98" s="652" t="s">
        <v>408</v>
      </c>
      <c r="U98" s="652" t="s">
        <v>409</v>
      </c>
      <c r="V98" s="652" t="s">
        <v>410</v>
      </c>
      <c r="W98" s="652" t="s">
        <v>411</v>
      </c>
      <c r="X98" s="652" t="s">
        <v>412</v>
      </c>
      <c r="Y98" s="652" t="s">
        <v>413</v>
      </c>
      <c r="Z98" s="652" t="s">
        <v>414</v>
      </c>
      <c r="AA98" s="652" t="s">
        <v>415</v>
      </c>
      <c r="AB98" s="652" t="s">
        <v>416</v>
      </c>
      <c r="AC98" s="652" t="s">
        <v>417</v>
      </c>
      <c r="AD98" s="652" t="s">
        <v>418</v>
      </c>
      <c r="AE98" s="652" t="s">
        <v>419</v>
      </c>
      <c r="AF98" s="652" t="s">
        <v>420</v>
      </c>
      <c r="AG98" s="652" t="s">
        <v>421</v>
      </c>
      <c r="AH98" s="652" t="s">
        <v>422</v>
      </c>
      <c r="AI98" s="652" t="s">
        <v>423</v>
      </c>
      <c r="AJ98" s="652" t="s">
        <v>424</v>
      </c>
      <c r="AK98" s="3"/>
      <c r="AL98" s="3"/>
    </row>
    <row r="99" spans="1:38" ht="16.5" thickBot="1" x14ac:dyDescent="0.45">
      <c r="A99" s="793" t="s">
        <v>591</v>
      </c>
      <c r="B99" s="794" t="s">
        <v>583</v>
      </c>
      <c r="C99" s="770">
        <v>0</v>
      </c>
      <c r="D99" s="770">
        <v>0</v>
      </c>
      <c r="E99" s="770">
        <v>0</v>
      </c>
      <c r="F99" s="770">
        <v>0</v>
      </c>
      <c r="G99" s="770">
        <v>0</v>
      </c>
      <c r="H99" s="770">
        <v>0</v>
      </c>
      <c r="I99" s="770">
        <v>0</v>
      </c>
      <c r="J99" s="770">
        <v>0</v>
      </c>
      <c r="K99" s="770">
        <v>0</v>
      </c>
      <c r="L99" s="770">
        <v>0</v>
      </c>
      <c r="M99" s="770">
        <v>731000</v>
      </c>
      <c r="N99" s="769">
        <v>656000</v>
      </c>
      <c r="O99" s="769">
        <v>867000</v>
      </c>
      <c r="P99" s="769">
        <v>755000</v>
      </c>
      <c r="Q99" s="769">
        <v>1734000</v>
      </c>
      <c r="R99" s="769">
        <v>923593.20146646537</v>
      </c>
      <c r="S99" s="769">
        <v>985621.71256161178</v>
      </c>
      <c r="T99" s="769">
        <v>944405.37528236292</v>
      </c>
      <c r="U99" s="769">
        <v>954396.96025889495</v>
      </c>
      <c r="V99" s="769">
        <v>991283.97766567394</v>
      </c>
      <c r="W99" s="769">
        <v>930535.8665071663</v>
      </c>
      <c r="X99" s="769">
        <v>1001396.2266199652</v>
      </c>
      <c r="Y99" s="769">
        <v>968992.02112846496</v>
      </c>
      <c r="Z99" s="769">
        <v>1015380.7431349305</v>
      </c>
      <c r="AA99" s="769">
        <v>1023252.2778282712</v>
      </c>
      <c r="AB99" s="769">
        <v>1005505.3920288793</v>
      </c>
      <c r="AC99" s="769">
        <v>1023349.6935983564</v>
      </c>
      <c r="AD99" s="769">
        <v>1044371.9165027547</v>
      </c>
      <c r="AE99" s="769">
        <v>1053937.1770092456</v>
      </c>
      <c r="AF99" s="769">
        <v>1057427.7056940524</v>
      </c>
      <c r="AG99" s="769">
        <v>947202.08292959258</v>
      </c>
      <c r="AH99" s="769">
        <v>942754.08881270071</v>
      </c>
      <c r="AI99" s="769">
        <v>902334.77618972294</v>
      </c>
      <c r="AJ99" s="769">
        <v>952492.70350319508</v>
      </c>
    </row>
    <row r="100" spans="1:38" ht="17" x14ac:dyDescent="0.45">
      <c r="A100" s="1437" t="s">
        <v>1349</v>
      </c>
      <c r="B100" s="798" t="s">
        <v>584</v>
      </c>
      <c r="C100" s="802">
        <f t="shared" ref="C100:AJ100" si="29">C99*$C$226</f>
        <v>0</v>
      </c>
      <c r="D100" s="802">
        <f t="shared" si="29"/>
        <v>0</v>
      </c>
      <c r="E100" s="802">
        <f t="shared" si="29"/>
        <v>0</v>
      </c>
      <c r="F100" s="802">
        <f t="shared" si="29"/>
        <v>0</v>
      </c>
      <c r="G100" s="802">
        <f t="shared" si="29"/>
        <v>0</v>
      </c>
      <c r="H100" s="802">
        <f t="shared" si="29"/>
        <v>0</v>
      </c>
      <c r="I100" s="802">
        <f t="shared" si="29"/>
        <v>0</v>
      </c>
      <c r="J100" s="802">
        <f t="shared" si="29"/>
        <v>0</v>
      </c>
      <c r="K100" s="802">
        <f t="shared" si="29"/>
        <v>0</v>
      </c>
      <c r="L100" s="802">
        <f t="shared" si="29"/>
        <v>0</v>
      </c>
      <c r="M100" s="802">
        <f t="shared" si="29"/>
        <v>83914925.570905402</v>
      </c>
      <c r="N100" s="802">
        <f t="shared" si="29"/>
        <v>75305323.084150404</v>
      </c>
      <c r="O100" s="802">
        <f t="shared" si="29"/>
        <v>99527004.746887788</v>
      </c>
      <c r="P100" s="802">
        <f t="shared" si="29"/>
        <v>86669998.366667002</v>
      </c>
      <c r="Q100" s="802">
        <f t="shared" si="29"/>
        <v>199054009.49377558</v>
      </c>
      <c r="R100" s="802">
        <f t="shared" si="29"/>
        <v>106023604.32127589</v>
      </c>
      <c r="S100" s="802">
        <f t="shared" si="29"/>
        <v>113144148.63293566</v>
      </c>
      <c r="T100" s="802">
        <f t="shared" si="29"/>
        <v>108412731.56714427</v>
      </c>
      <c r="U100" s="802">
        <f t="shared" si="29"/>
        <v>109559712.56528527</v>
      </c>
      <c r="V100" s="802">
        <f t="shared" si="29"/>
        <v>113794146.65587698</v>
      </c>
      <c r="W100" s="802">
        <f t="shared" si="29"/>
        <v>106820585.47059757</v>
      </c>
      <c r="X100" s="802">
        <f t="shared" si="29"/>
        <v>114954979.23912434</v>
      </c>
      <c r="Y100" s="802">
        <f t="shared" si="29"/>
        <v>111235148.19671179</v>
      </c>
      <c r="Z100" s="802">
        <f t="shared" si="29"/>
        <v>116560327.61463515</v>
      </c>
      <c r="AA100" s="802">
        <f t="shared" si="29"/>
        <v>117463938.07690668</v>
      </c>
      <c r="AB100" s="802">
        <f t="shared" si="29"/>
        <v>115426689.64876533</v>
      </c>
      <c r="AC100" s="802">
        <f t="shared" si="29"/>
        <v>117475120.89099169</v>
      </c>
      <c r="AD100" s="802">
        <f t="shared" si="29"/>
        <v>119888360.65892269</v>
      </c>
      <c r="AE100" s="802">
        <f t="shared" si="29"/>
        <v>120986401.86749794</v>
      </c>
      <c r="AF100" s="802">
        <f t="shared" si="29"/>
        <v>121387096.0600953</v>
      </c>
      <c r="AG100" s="802">
        <f t="shared" si="29"/>
        <v>108733778.78200181</v>
      </c>
      <c r="AH100" s="802">
        <f t="shared" si="29"/>
        <v>108223172.63253696</v>
      </c>
      <c r="AI100" s="802">
        <f t="shared" si="29"/>
        <v>103583249.77291407</v>
      </c>
      <c r="AJ100" s="802">
        <f t="shared" si="29"/>
        <v>109341113.98262802</v>
      </c>
    </row>
    <row r="101" spans="1:38" ht="17" x14ac:dyDescent="0.45">
      <c r="A101" s="1451" t="s">
        <v>1349</v>
      </c>
      <c r="B101" s="1443" t="s">
        <v>1189</v>
      </c>
      <c r="C101" s="766">
        <f t="shared" ref="C101:AJ101" si="30">C100/($B$244*1000000)</f>
        <v>0</v>
      </c>
      <c r="D101" s="766">
        <f t="shared" si="30"/>
        <v>0</v>
      </c>
      <c r="E101" s="766">
        <f t="shared" si="30"/>
        <v>0</v>
      </c>
      <c r="F101" s="766">
        <f t="shared" si="30"/>
        <v>0</v>
      </c>
      <c r="G101" s="766">
        <f t="shared" si="30"/>
        <v>0</v>
      </c>
      <c r="H101" s="766">
        <f t="shared" si="30"/>
        <v>0</v>
      </c>
      <c r="I101" s="766">
        <f t="shared" si="30"/>
        <v>0</v>
      </c>
      <c r="J101" s="766">
        <f t="shared" si="30"/>
        <v>0</v>
      </c>
      <c r="K101" s="766">
        <f t="shared" si="30"/>
        <v>0</v>
      </c>
      <c r="L101" s="766">
        <f t="shared" si="30"/>
        <v>0</v>
      </c>
      <c r="M101" s="766">
        <f t="shared" si="30"/>
        <v>3.806317E-2</v>
      </c>
      <c r="N101" s="766">
        <f t="shared" si="30"/>
        <v>3.4157920000000001E-2</v>
      </c>
      <c r="O101" s="766">
        <f t="shared" si="30"/>
        <v>4.5144689999999994E-2</v>
      </c>
      <c r="P101" s="766">
        <f t="shared" si="30"/>
        <v>3.9312850000000003E-2</v>
      </c>
      <c r="Q101" s="766">
        <f t="shared" si="30"/>
        <v>9.0289379999999989E-2</v>
      </c>
      <c r="R101" s="766">
        <f t="shared" si="30"/>
        <v>4.8091498000358848E-2</v>
      </c>
      <c r="S101" s="766">
        <f t="shared" si="30"/>
        <v>5.1321322573083125E-2</v>
      </c>
      <c r="T101" s="766">
        <f t="shared" si="30"/>
        <v>4.9175187890952633E-2</v>
      </c>
      <c r="U101" s="766">
        <f t="shared" si="30"/>
        <v>4.9695449720680664E-2</v>
      </c>
      <c r="V101" s="766">
        <f t="shared" si="30"/>
        <v>5.1616156717051637E-2</v>
      </c>
      <c r="W101" s="766">
        <f t="shared" si="30"/>
        <v>4.8453002569028146E-2</v>
      </c>
      <c r="X101" s="766">
        <f t="shared" si="30"/>
        <v>5.2142701520101586E-2</v>
      </c>
      <c r="Y101" s="766">
        <f t="shared" si="30"/>
        <v>5.0455414540159164E-2</v>
      </c>
      <c r="Z101" s="766">
        <f t="shared" si="30"/>
        <v>5.2870875295035827E-2</v>
      </c>
      <c r="AA101" s="766">
        <f t="shared" si="30"/>
        <v>5.3280746106518076E-2</v>
      </c>
      <c r="AB101" s="766">
        <f t="shared" si="30"/>
        <v>5.235666576294374E-2</v>
      </c>
      <c r="AC101" s="766">
        <f t="shared" si="30"/>
        <v>5.328581854566642E-2</v>
      </c>
      <c r="AD101" s="766">
        <f t="shared" si="30"/>
        <v>5.4380445692298433E-2</v>
      </c>
      <c r="AE101" s="766">
        <f t="shared" si="30"/>
        <v>5.4878508806871416E-2</v>
      </c>
      <c r="AF101" s="766">
        <f t="shared" si="30"/>
        <v>5.5060260635489307E-2</v>
      </c>
      <c r="AG101" s="766">
        <f t="shared" si="30"/>
        <v>4.9320812458143883E-2</v>
      </c>
      <c r="AH101" s="766">
        <f t="shared" si="30"/>
        <v>4.9089205404477324E-2</v>
      </c>
      <c r="AI101" s="766">
        <f t="shared" si="30"/>
        <v>4.6984571796198873E-2</v>
      </c>
      <c r="AJ101" s="766">
        <f t="shared" si="30"/>
        <v>4.9596295071411368E-2</v>
      </c>
    </row>
    <row r="102" spans="1:38" ht="17" x14ac:dyDescent="0.45">
      <c r="A102" s="1452" t="s">
        <v>1042</v>
      </c>
      <c r="B102" s="798" t="s">
        <v>584</v>
      </c>
      <c r="C102" s="802">
        <f t="shared" ref="C102:AJ102" si="31">C99*$D$226</f>
        <v>0</v>
      </c>
      <c r="D102" s="802">
        <f t="shared" si="31"/>
        <v>0</v>
      </c>
      <c r="E102" s="802">
        <f t="shared" si="31"/>
        <v>0</v>
      </c>
      <c r="F102" s="802">
        <f t="shared" si="31"/>
        <v>0</v>
      </c>
      <c r="G102" s="802">
        <f t="shared" si="31"/>
        <v>0</v>
      </c>
      <c r="H102" s="802">
        <f t="shared" si="31"/>
        <v>0</v>
      </c>
      <c r="I102" s="802">
        <f t="shared" si="31"/>
        <v>0</v>
      </c>
      <c r="J102" s="802">
        <f t="shared" si="31"/>
        <v>0</v>
      </c>
      <c r="K102" s="802">
        <f t="shared" si="31"/>
        <v>0</v>
      </c>
      <c r="L102" s="802">
        <f t="shared" si="31"/>
        <v>0</v>
      </c>
      <c r="M102" s="802">
        <f t="shared" si="31"/>
        <v>5157.053232704</v>
      </c>
      <c r="N102" s="802">
        <f t="shared" si="31"/>
        <v>4627.9438039039997</v>
      </c>
      <c r="O102" s="802">
        <f t="shared" si="31"/>
        <v>6116.5049969279999</v>
      </c>
      <c r="P102" s="802">
        <f t="shared" si="31"/>
        <v>5326.3682499200004</v>
      </c>
      <c r="Q102" s="802">
        <f t="shared" si="31"/>
        <v>12233.009993856</v>
      </c>
      <c r="R102" s="802">
        <f t="shared" si="31"/>
        <v>6515.7582836197971</v>
      </c>
      <c r="S102" s="802">
        <f t="shared" si="31"/>
        <v>6953.3565512846963</v>
      </c>
      <c r="T102" s="802">
        <f t="shared" si="31"/>
        <v>6662.5838489506759</v>
      </c>
      <c r="U102" s="802">
        <f t="shared" si="31"/>
        <v>6733.0724065472032</v>
      </c>
      <c r="V102" s="802">
        <f t="shared" si="31"/>
        <v>6993.3026560170229</v>
      </c>
      <c r="W102" s="802">
        <f t="shared" si="31"/>
        <v>6564.7373440735973</v>
      </c>
      <c r="X102" s="802">
        <f t="shared" si="31"/>
        <v>7064.6424729248683</v>
      </c>
      <c r="Y102" s="802">
        <f t="shared" si="31"/>
        <v>6836.0375308138618</v>
      </c>
      <c r="Z102" s="802">
        <f t="shared" si="31"/>
        <v>7163.3003335285684</v>
      </c>
      <c r="AA102" s="802">
        <f t="shared" si="31"/>
        <v>7218.832376533539</v>
      </c>
      <c r="AB102" s="802">
        <f t="shared" si="31"/>
        <v>7093.6317817562722</v>
      </c>
      <c r="AC102" s="802">
        <f t="shared" si="31"/>
        <v>7219.5196245664183</v>
      </c>
      <c r="AD102" s="802">
        <f t="shared" si="31"/>
        <v>7367.8270426071176</v>
      </c>
      <c r="AE102" s="802">
        <f t="shared" si="31"/>
        <v>7435.3079695792858</v>
      </c>
      <c r="AF102" s="802">
        <f t="shared" si="31"/>
        <v>7459.932924760994</v>
      </c>
      <c r="AG102" s="802">
        <f t="shared" si="31"/>
        <v>6682.3140407606261</v>
      </c>
      <c r="AH102" s="802">
        <f t="shared" si="31"/>
        <v>6650.9343657407007</v>
      </c>
      <c r="AI102" s="802">
        <f t="shared" si="31"/>
        <v>6365.7845068816023</v>
      </c>
      <c r="AJ102" s="802">
        <f t="shared" si="31"/>
        <v>6719.6382704899106</v>
      </c>
    </row>
    <row r="103" spans="1:38" ht="17" x14ac:dyDescent="0.45">
      <c r="A103" s="1439" t="s">
        <v>1353</v>
      </c>
      <c r="B103" s="798" t="s">
        <v>584</v>
      </c>
      <c r="C103" s="748">
        <f t="shared" ref="C103:AJ103" si="32">C102*$B$249</f>
        <v>0</v>
      </c>
      <c r="D103" s="748">
        <f t="shared" si="32"/>
        <v>0</v>
      </c>
      <c r="E103" s="748">
        <f t="shared" si="32"/>
        <v>0</v>
      </c>
      <c r="F103" s="748">
        <f t="shared" si="32"/>
        <v>0</v>
      </c>
      <c r="G103" s="748">
        <f t="shared" si="32"/>
        <v>0</v>
      </c>
      <c r="H103" s="748">
        <f t="shared" si="32"/>
        <v>0</v>
      </c>
      <c r="I103" s="748">
        <f t="shared" si="32"/>
        <v>0</v>
      </c>
      <c r="J103" s="748">
        <f t="shared" si="32"/>
        <v>0</v>
      </c>
      <c r="K103" s="748">
        <f t="shared" si="32"/>
        <v>0</v>
      </c>
      <c r="L103" s="748">
        <f t="shared" si="32"/>
        <v>0</v>
      </c>
      <c r="M103" s="748">
        <f t="shared" si="32"/>
        <v>128926.3308176</v>
      </c>
      <c r="N103" s="748">
        <f t="shared" si="32"/>
        <v>115698.59509759999</v>
      </c>
      <c r="O103" s="748">
        <f t="shared" si="32"/>
        <v>152912.6249232</v>
      </c>
      <c r="P103" s="748">
        <f t="shared" si="32"/>
        <v>133159.206248</v>
      </c>
      <c r="Q103" s="748">
        <f t="shared" si="32"/>
        <v>305825.24984639999</v>
      </c>
      <c r="R103" s="748">
        <f t="shared" si="32"/>
        <v>162893.95709049492</v>
      </c>
      <c r="S103" s="748">
        <f t="shared" si="32"/>
        <v>173833.91378211739</v>
      </c>
      <c r="T103" s="748">
        <f t="shared" si="32"/>
        <v>166564.59622376689</v>
      </c>
      <c r="U103" s="748">
        <f t="shared" si="32"/>
        <v>168326.81016368009</v>
      </c>
      <c r="V103" s="748">
        <f t="shared" si="32"/>
        <v>174832.56640042557</v>
      </c>
      <c r="W103" s="748">
        <f t="shared" si="32"/>
        <v>164118.43360183993</v>
      </c>
      <c r="X103" s="748">
        <f t="shared" si="32"/>
        <v>176616.06182312171</v>
      </c>
      <c r="Y103" s="748">
        <f t="shared" si="32"/>
        <v>170900.93827034655</v>
      </c>
      <c r="Z103" s="748">
        <f t="shared" si="32"/>
        <v>179082.50833821422</v>
      </c>
      <c r="AA103" s="748">
        <f t="shared" si="32"/>
        <v>180470.80941333849</v>
      </c>
      <c r="AB103" s="748">
        <f t="shared" si="32"/>
        <v>177340.79454390681</v>
      </c>
      <c r="AC103" s="748">
        <f t="shared" si="32"/>
        <v>180487.99061416046</v>
      </c>
      <c r="AD103" s="748">
        <f t="shared" si="32"/>
        <v>184195.67606517795</v>
      </c>
      <c r="AE103" s="748">
        <f t="shared" si="32"/>
        <v>185882.69923948214</v>
      </c>
      <c r="AF103" s="748">
        <f t="shared" si="32"/>
        <v>186498.32311902486</v>
      </c>
      <c r="AG103" s="748">
        <f t="shared" si="32"/>
        <v>167057.85101901565</v>
      </c>
      <c r="AH103" s="748">
        <f t="shared" si="32"/>
        <v>166273.3591435175</v>
      </c>
      <c r="AI103" s="748">
        <f t="shared" si="32"/>
        <v>159144.61267204006</v>
      </c>
      <c r="AJ103" s="748">
        <f t="shared" si="32"/>
        <v>167990.95676224778</v>
      </c>
    </row>
    <row r="104" spans="1:38" ht="17" x14ac:dyDescent="0.45">
      <c r="A104" s="1453" t="s">
        <v>1354</v>
      </c>
      <c r="B104" s="1443" t="s">
        <v>1189</v>
      </c>
      <c r="C104" s="766">
        <f t="shared" ref="C104:AJ104" si="33">C103/($B$244*1000000)</f>
        <v>0</v>
      </c>
      <c r="D104" s="766">
        <f t="shared" si="33"/>
        <v>0</v>
      </c>
      <c r="E104" s="766">
        <f t="shared" si="33"/>
        <v>0</v>
      </c>
      <c r="F104" s="766">
        <f t="shared" si="33"/>
        <v>0</v>
      </c>
      <c r="G104" s="766">
        <f t="shared" si="33"/>
        <v>0</v>
      </c>
      <c r="H104" s="766">
        <f t="shared" si="33"/>
        <v>0</v>
      </c>
      <c r="I104" s="766">
        <f t="shared" si="33"/>
        <v>0</v>
      </c>
      <c r="J104" s="766">
        <f t="shared" si="33"/>
        <v>0</v>
      </c>
      <c r="K104" s="766">
        <f t="shared" si="33"/>
        <v>0</v>
      </c>
      <c r="L104" s="766">
        <f t="shared" si="33"/>
        <v>0</v>
      </c>
      <c r="M104" s="766">
        <f t="shared" si="33"/>
        <v>5.8480000000000003E-5</v>
      </c>
      <c r="N104" s="766">
        <f t="shared" si="33"/>
        <v>5.2479999999999992E-5</v>
      </c>
      <c r="O104" s="766">
        <f t="shared" si="33"/>
        <v>6.936E-5</v>
      </c>
      <c r="P104" s="766">
        <f t="shared" si="33"/>
        <v>6.0399999999999998E-5</v>
      </c>
      <c r="Q104" s="766">
        <f t="shared" si="33"/>
        <v>1.3872E-4</v>
      </c>
      <c r="R104" s="766">
        <f t="shared" si="33"/>
        <v>7.3887456117317221E-5</v>
      </c>
      <c r="S104" s="766">
        <f t="shared" si="33"/>
        <v>7.8849737004928945E-5</v>
      </c>
      <c r="T104" s="766">
        <f t="shared" si="33"/>
        <v>7.5552430022589028E-5</v>
      </c>
      <c r="U104" s="766">
        <f t="shared" si="33"/>
        <v>7.6351756820711598E-5</v>
      </c>
      <c r="V104" s="766">
        <f t="shared" si="33"/>
        <v>7.9302718213253919E-5</v>
      </c>
      <c r="W104" s="766">
        <f t="shared" si="33"/>
        <v>7.4442869320573307E-5</v>
      </c>
      <c r="X104" s="766">
        <f t="shared" si="33"/>
        <v>8.0111698129597215E-5</v>
      </c>
      <c r="Y104" s="766">
        <f t="shared" si="33"/>
        <v>7.7519361690277203E-5</v>
      </c>
      <c r="Z104" s="766">
        <f t="shared" si="33"/>
        <v>8.1230459450794447E-5</v>
      </c>
      <c r="AA104" s="766">
        <f t="shared" si="33"/>
        <v>8.1860182226261687E-5</v>
      </c>
      <c r="AB104" s="766">
        <f t="shared" si="33"/>
        <v>8.0440431362310355E-5</v>
      </c>
      <c r="AC104" s="766">
        <f t="shared" si="33"/>
        <v>8.1867975487868509E-5</v>
      </c>
      <c r="AD104" s="766">
        <f t="shared" si="33"/>
        <v>8.3549753320220381E-5</v>
      </c>
      <c r="AE104" s="766">
        <f t="shared" si="33"/>
        <v>8.4314974160739644E-5</v>
      </c>
      <c r="AF104" s="766">
        <f t="shared" si="33"/>
        <v>8.4594216455524196E-5</v>
      </c>
      <c r="AG104" s="766">
        <f t="shared" si="33"/>
        <v>7.5776166634367411E-5</v>
      </c>
      <c r="AH104" s="766">
        <f t="shared" si="33"/>
        <v>7.5420327105016054E-5</v>
      </c>
      <c r="AI104" s="766">
        <f t="shared" si="33"/>
        <v>7.2186782095177849E-5</v>
      </c>
      <c r="AJ104" s="766">
        <f t="shared" si="33"/>
        <v>7.6199416280255607E-5</v>
      </c>
    </row>
    <row r="105" spans="1:38" ht="17" x14ac:dyDescent="0.45">
      <c r="A105" s="1441" t="s">
        <v>967</v>
      </c>
      <c r="B105" s="798" t="s">
        <v>584</v>
      </c>
      <c r="C105" s="802">
        <f t="shared" ref="C105:AJ105" si="34">C99*$E$226</f>
        <v>0</v>
      </c>
      <c r="D105" s="802">
        <f t="shared" si="34"/>
        <v>0</v>
      </c>
      <c r="E105" s="802">
        <f t="shared" si="34"/>
        <v>0</v>
      </c>
      <c r="F105" s="802">
        <f t="shared" si="34"/>
        <v>0</v>
      </c>
      <c r="G105" s="802">
        <f t="shared" si="34"/>
        <v>0</v>
      </c>
      <c r="H105" s="802">
        <f t="shared" si="34"/>
        <v>0</v>
      </c>
      <c r="I105" s="802">
        <f t="shared" si="34"/>
        <v>0</v>
      </c>
      <c r="J105" s="802">
        <f t="shared" si="34"/>
        <v>0</v>
      </c>
      <c r="K105" s="802">
        <f t="shared" si="34"/>
        <v>0</v>
      </c>
      <c r="L105" s="802">
        <f t="shared" si="34"/>
        <v>0</v>
      </c>
      <c r="M105" s="802">
        <f t="shared" si="34"/>
        <v>10152.948551886</v>
      </c>
      <c r="N105" s="802">
        <f t="shared" si="34"/>
        <v>9111.2643639359994</v>
      </c>
      <c r="O105" s="802">
        <f t="shared" si="34"/>
        <v>12041.869212701999</v>
      </c>
      <c r="P105" s="802">
        <f t="shared" si="34"/>
        <v>10486.28749203</v>
      </c>
      <c r="Q105" s="802">
        <f t="shared" si="34"/>
        <v>24083.738425403997</v>
      </c>
      <c r="R105" s="802">
        <f t="shared" si="34"/>
        <v>12827.899120876476</v>
      </c>
      <c r="S105" s="802">
        <f t="shared" si="34"/>
        <v>13689.420710341745</v>
      </c>
      <c r="T105" s="802">
        <f t="shared" si="34"/>
        <v>13116.961952621643</v>
      </c>
      <c r="U105" s="802">
        <f t="shared" si="34"/>
        <v>13255.736300389804</v>
      </c>
      <c r="V105" s="802">
        <f t="shared" si="34"/>
        <v>13768.064604033512</v>
      </c>
      <c r="W105" s="802">
        <f t="shared" si="34"/>
        <v>12924.326646144895</v>
      </c>
      <c r="X105" s="802">
        <f t="shared" si="34"/>
        <v>13908.514868570834</v>
      </c>
      <c r="Y105" s="802">
        <f t="shared" si="34"/>
        <v>13458.44888878979</v>
      </c>
      <c r="Z105" s="802">
        <f t="shared" si="34"/>
        <v>14102.747531634368</v>
      </c>
      <c r="AA105" s="802">
        <f t="shared" si="34"/>
        <v>14212.076241300405</v>
      </c>
      <c r="AB105" s="802">
        <f t="shared" si="34"/>
        <v>13965.587570332658</v>
      </c>
      <c r="AC105" s="802">
        <f t="shared" si="34"/>
        <v>14213.429260865136</v>
      </c>
      <c r="AD105" s="802">
        <f t="shared" si="34"/>
        <v>14505.409490132763</v>
      </c>
      <c r="AE105" s="802">
        <f t="shared" si="34"/>
        <v>14638.262565109218</v>
      </c>
      <c r="AF105" s="802">
        <f t="shared" si="34"/>
        <v>14686.742945623206</v>
      </c>
      <c r="AG105" s="802">
        <f t="shared" si="34"/>
        <v>13155.805767747483</v>
      </c>
      <c r="AH105" s="802">
        <f t="shared" si="34"/>
        <v>13094.027032552003</v>
      </c>
      <c r="AI105" s="802">
        <f t="shared" si="34"/>
        <v>12532.638247923152</v>
      </c>
      <c r="AJ105" s="802">
        <f t="shared" si="34"/>
        <v>13229.287845027011</v>
      </c>
    </row>
    <row r="106" spans="1:38" ht="17" x14ac:dyDescent="0.45">
      <c r="A106" s="1439" t="s">
        <v>1355</v>
      </c>
      <c r="B106" s="798" t="s">
        <v>584</v>
      </c>
      <c r="C106" s="748">
        <f t="shared" ref="C106:AJ106" si="35">C105*$B$250</f>
        <v>0</v>
      </c>
      <c r="D106" s="748">
        <f t="shared" si="35"/>
        <v>0</v>
      </c>
      <c r="E106" s="748">
        <f t="shared" si="35"/>
        <v>0</v>
      </c>
      <c r="F106" s="748">
        <f t="shared" si="35"/>
        <v>0</v>
      </c>
      <c r="G106" s="748">
        <f t="shared" si="35"/>
        <v>0</v>
      </c>
      <c r="H106" s="748">
        <f t="shared" si="35"/>
        <v>0</v>
      </c>
      <c r="I106" s="748">
        <f t="shared" si="35"/>
        <v>0</v>
      </c>
      <c r="J106" s="748">
        <f t="shared" si="35"/>
        <v>0</v>
      </c>
      <c r="K106" s="748">
        <f t="shared" si="35"/>
        <v>0</v>
      </c>
      <c r="L106" s="748">
        <f t="shared" si="35"/>
        <v>0</v>
      </c>
      <c r="M106" s="748">
        <f t="shared" si="35"/>
        <v>3025578.6684620283</v>
      </c>
      <c r="N106" s="748">
        <f t="shared" si="35"/>
        <v>2715156.780452928</v>
      </c>
      <c r="O106" s="748">
        <f t="shared" si="35"/>
        <v>3588477.0253851954</v>
      </c>
      <c r="P106" s="748">
        <f t="shared" si="35"/>
        <v>3124913.6726249401</v>
      </c>
      <c r="Q106" s="748">
        <f t="shared" si="35"/>
        <v>7176954.0507703908</v>
      </c>
      <c r="R106" s="748">
        <f t="shared" si="35"/>
        <v>3822713.93802119</v>
      </c>
      <c r="S106" s="748">
        <f t="shared" si="35"/>
        <v>4079447.3716818402</v>
      </c>
      <c r="T106" s="748">
        <f t="shared" si="35"/>
        <v>3908854.6618812494</v>
      </c>
      <c r="U106" s="748">
        <f t="shared" si="35"/>
        <v>3950209.4175161617</v>
      </c>
      <c r="V106" s="748">
        <f t="shared" si="35"/>
        <v>4102883.2520019868</v>
      </c>
      <c r="W106" s="748">
        <f t="shared" si="35"/>
        <v>3851449.3405511784</v>
      </c>
      <c r="X106" s="748">
        <f t="shared" si="35"/>
        <v>4144737.4308341085</v>
      </c>
      <c r="Y106" s="748">
        <f t="shared" si="35"/>
        <v>4010617.7688593571</v>
      </c>
      <c r="Z106" s="748">
        <f t="shared" si="35"/>
        <v>4202618.7644270416</v>
      </c>
      <c r="AA106" s="748">
        <f t="shared" si="35"/>
        <v>4235198.7199075203</v>
      </c>
      <c r="AB106" s="748">
        <f t="shared" si="35"/>
        <v>4161745.0959591321</v>
      </c>
      <c r="AC106" s="748">
        <f t="shared" si="35"/>
        <v>4235601.9197378103</v>
      </c>
      <c r="AD106" s="748">
        <f t="shared" si="35"/>
        <v>4322612.0280595636</v>
      </c>
      <c r="AE106" s="748">
        <f t="shared" si="35"/>
        <v>4362202.2444025474</v>
      </c>
      <c r="AF106" s="748">
        <f t="shared" si="35"/>
        <v>4376649.3977957154</v>
      </c>
      <c r="AG106" s="748">
        <f t="shared" si="35"/>
        <v>3920430.1187887499</v>
      </c>
      <c r="AH106" s="748">
        <f t="shared" si="35"/>
        <v>3902020.0557004968</v>
      </c>
      <c r="AI106" s="748">
        <f t="shared" si="35"/>
        <v>3734726.1978810993</v>
      </c>
      <c r="AJ106" s="748">
        <f t="shared" si="35"/>
        <v>3942327.7778180493</v>
      </c>
    </row>
    <row r="107" spans="1:38" ht="17" x14ac:dyDescent="0.45">
      <c r="A107" s="1442" t="s">
        <v>1356</v>
      </c>
      <c r="B107" s="1443" t="s">
        <v>1189</v>
      </c>
      <c r="C107" s="766">
        <f t="shared" ref="C107:AJ107" si="36">C106/($B$244*1000000)</f>
        <v>0</v>
      </c>
      <c r="D107" s="766">
        <f t="shared" si="36"/>
        <v>0</v>
      </c>
      <c r="E107" s="766">
        <f t="shared" si="36"/>
        <v>0</v>
      </c>
      <c r="F107" s="766">
        <f t="shared" si="36"/>
        <v>0</v>
      </c>
      <c r="G107" s="766">
        <f t="shared" si="36"/>
        <v>0</v>
      </c>
      <c r="H107" s="766">
        <f t="shared" si="36"/>
        <v>0</v>
      </c>
      <c r="I107" s="766">
        <f t="shared" si="36"/>
        <v>0</v>
      </c>
      <c r="J107" s="766">
        <f t="shared" si="36"/>
        <v>0</v>
      </c>
      <c r="K107" s="766">
        <f t="shared" si="36"/>
        <v>0</v>
      </c>
      <c r="L107" s="766">
        <f t="shared" si="36"/>
        <v>0</v>
      </c>
      <c r="M107" s="766">
        <f t="shared" si="36"/>
        <v>1.3723794000000001E-3</v>
      </c>
      <c r="N107" s="766">
        <f t="shared" si="36"/>
        <v>1.2315744E-3</v>
      </c>
      <c r="O107" s="766">
        <f t="shared" si="36"/>
        <v>1.6277057999999997E-3</v>
      </c>
      <c r="P107" s="766">
        <f t="shared" si="36"/>
        <v>1.4174370000000001E-3</v>
      </c>
      <c r="Q107" s="766">
        <f t="shared" si="36"/>
        <v>3.2554115999999995E-3</v>
      </c>
      <c r="R107" s="766">
        <f t="shared" si="36"/>
        <v>1.7339538764331421E-3</v>
      </c>
      <c r="S107" s="766">
        <f t="shared" si="36"/>
        <v>1.8504062031631701E-3</v>
      </c>
      <c r="T107" s="766">
        <f t="shared" si="36"/>
        <v>1.7730266515551081E-3</v>
      </c>
      <c r="U107" s="766">
        <f t="shared" si="36"/>
        <v>1.7917848531900493E-3</v>
      </c>
      <c r="V107" s="766">
        <f t="shared" si="36"/>
        <v>1.8610365396695362E-3</v>
      </c>
      <c r="W107" s="766">
        <f t="shared" si="36"/>
        <v>1.746988035780554E-3</v>
      </c>
      <c r="X107" s="766">
        <f t="shared" si="36"/>
        <v>1.8800212758563225E-3</v>
      </c>
      <c r="Y107" s="766">
        <f t="shared" si="36"/>
        <v>1.8191856204665799E-3</v>
      </c>
      <c r="Z107" s="766">
        <f t="shared" si="36"/>
        <v>1.9062758071615184E-3</v>
      </c>
      <c r="AA107" s="766">
        <f t="shared" si="36"/>
        <v>1.921053826394796E-3</v>
      </c>
      <c r="AB107" s="766">
        <f t="shared" si="36"/>
        <v>1.8877358229950176E-3</v>
      </c>
      <c r="AC107" s="766">
        <f t="shared" si="36"/>
        <v>1.9212367147615542E-3</v>
      </c>
      <c r="AD107" s="766">
        <f t="shared" si="36"/>
        <v>1.9607038360422717E-3</v>
      </c>
      <c r="AE107" s="766">
        <f t="shared" si="36"/>
        <v>1.9786616561171576E-3</v>
      </c>
      <c r="AF107" s="766">
        <f t="shared" si="36"/>
        <v>1.9852147746700138E-3</v>
      </c>
      <c r="AG107" s="766">
        <f t="shared" si="36"/>
        <v>1.7782771904920171E-3</v>
      </c>
      <c r="AH107" s="766">
        <f t="shared" si="36"/>
        <v>1.769926526336964E-3</v>
      </c>
      <c r="AI107" s="766">
        <f t="shared" si="36"/>
        <v>1.6940433088185856E-3</v>
      </c>
      <c r="AJ107" s="766">
        <f t="shared" si="36"/>
        <v>1.7882098015568984E-3</v>
      </c>
    </row>
    <row r="108" spans="1:38" ht="17" x14ac:dyDescent="0.45">
      <c r="A108" s="1442" t="s">
        <v>1394</v>
      </c>
      <c r="B108" s="1443" t="s">
        <v>1189</v>
      </c>
      <c r="C108" s="766">
        <f t="shared" ref="C108:AJ108" si="37">C104+C107</f>
        <v>0</v>
      </c>
      <c r="D108" s="766">
        <f t="shared" si="37"/>
        <v>0</v>
      </c>
      <c r="E108" s="766">
        <f t="shared" si="37"/>
        <v>0</v>
      </c>
      <c r="F108" s="766">
        <f t="shared" si="37"/>
        <v>0</v>
      </c>
      <c r="G108" s="766">
        <f t="shared" si="37"/>
        <v>0</v>
      </c>
      <c r="H108" s="766">
        <f t="shared" si="37"/>
        <v>0</v>
      </c>
      <c r="I108" s="766">
        <f t="shared" si="37"/>
        <v>0</v>
      </c>
      <c r="J108" s="766">
        <f t="shared" si="37"/>
        <v>0</v>
      </c>
      <c r="K108" s="766">
        <f t="shared" si="37"/>
        <v>0</v>
      </c>
      <c r="L108" s="766">
        <f t="shared" si="37"/>
        <v>0</v>
      </c>
      <c r="M108" s="766">
        <f t="shared" si="37"/>
        <v>1.4308594000000002E-3</v>
      </c>
      <c r="N108" s="766">
        <f t="shared" si="37"/>
        <v>1.2840543999999999E-3</v>
      </c>
      <c r="O108" s="766">
        <f t="shared" si="37"/>
        <v>1.6970657999999998E-3</v>
      </c>
      <c r="P108" s="766">
        <f t="shared" si="37"/>
        <v>1.4778370000000001E-3</v>
      </c>
      <c r="Q108" s="766">
        <f t="shared" si="37"/>
        <v>3.3941315999999997E-3</v>
      </c>
      <c r="R108" s="766">
        <f t="shared" si="37"/>
        <v>1.8078413325504593E-3</v>
      </c>
      <c r="S108" s="766">
        <f t="shared" si="37"/>
        <v>1.9292559401680989E-3</v>
      </c>
      <c r="T108" s="766">
        <f t="shared" si="37"/>
        <v>1.848579081577697E-3</v>
      </c>
      <c r="U108" s="766">
        <f t="shared" si="37"/>
        <v>1.8681366100107609E-3</v>
      </c>
      <c r="V108" s="766">
        <f t="shared" si="37"/>
        <v>1.9403392578827901E-3</v>
      </c>
      <c r="W108" s="766">
        <f t="shared" si="37"/>
        <v>1.8214309051011273E-3</v>
      </c>
      <c r="X108" s="766">
        <f t="shared" si="37"/>
        <v>1.9601329739859195E-3</v>
      </c>
      <c r="Y108" s="766">
        <f t="shared" si="37"/>
        <v>1.8967049821568571E-3</v>
      </c>
      <c r="Z108" s="766">
        <f t="shared" si="37"/>
        <v>1.987506266612313E-3</v>
      </c>
      <c r="AA108" s="766">
        <f t="shared" si="37"/>
        <v>2.0029140086210576E-3</v>
      </c>
      <c r="AB108" s="766">
        <f t="shared" si="37"/>
        <v>1.968176254357328E-3</v>
      </c>
      <c r="AC108" s="766">
        <f t="shared" si="37"/>
        <v>2.0031046902494226E-3</v>
      </c>
      <c r="AD108" s="766">
        <f t="shared" si="37"/>
        <v>2.0442535893624922E-3</v>
      </c>
      <c r="AE108" s="766">
        <f t="shared" si="37"/>
        <v>2.0629766302778974E-3</v>
      </c>
      <c r="AF108" s="766">
        <f t="shared" si="37"/>
        <v>2.0698089911255378E-3</v>
      </c>
      <c r="AG108" s="766">
        <f t="shared" si="37"/>
        <v>1.8540533571263845E-3</v>
      </c>
      <c r="AH108" s="766">
        <f t="shared" si="37"/>
        <v>1.8453468534419802E-3</v>
      </c>
      <c r="AI108" s="766">
        <f t="shared" si="37"/>
        <v>1.7662300909137634E-3</v>
      </c>
      <c r="AJ108" s="766">
        <f t="shared" si="37"/>
        <v>1.8644092178371539E-3</v>
      </c>
    </row>
    <row r="109" spans="1:38" x14ac:dyDescent="0.4">
      <c r="A109" s="1299" t="s">
        <v>1063</v>
      </c>
      <c r="B109" s="665"/>
      <c r="C109" s="1300"/>
      <c r="D109" s="1300"/>
      <c r="E109" s="1300"/>
      <c r="F109" s="1300"/>
      <c r="G109" s="1300"/>
      <c r="H109" s="1300"/>
      <c r="I109" s="1300"/>
      <c r="J109" s="1300"/>
      <c r="K109" s="1300"/>
      <c r="L109" s="1300"/>
      <c r="M109" s="1300"/>
      <c r="N109" s="1300"/>
      <c r="O109" s="1300"/>
      <c r="P109" s="1300"/>
      <c r="Q109" s="1300"/>
      <c r="R109" s="1300"/>
      <c r="S109" s="1300"/>
      <c r="T109" s="1300"/>
      <c r="U109" s="1300"/>
      <c r="V109" s="1300"/>
      <c r="W109" s="1300"/>
      <c r="X109" s="1300"/>
      <c r="Y109" s="1300"/>
      <c r="Z109" s="1300"/>
      <c r="AA109" s="1300"/>
      <c r="AB109" s="1300"/>
      <c r="AC109" s="1300"/>
      <c r="AD109" s="1300"/>
      <c r="AE109" s="1300"/>
      <c r="AF109" s="1300"/>
      <c r="AG109" s="1300"/>
      <c r="AH109" s="1300"/>
      <c r="AI109" s="1300"/>
      <c r="AJ109" s="1300"/>
    </row>
    <row r="110" spans="1:38" x14ac:dyDescent="0.4">
      <c r="A110" s="754"/>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c r="AE110" s="293"/>
      <c r="AF110" s="293"/>
      <c r="AG110" s="293"/>
      <c r="AH110" s="293"/>
      <c r="AI110" s="293"/>
      <c r="AJ110" s="293"/>
    </row>
    <row r="111" spans="1:38" x14ac:dyDescent="0.4">
      <c r="A111" s="754" t="s">
        <v>457</v>
      </c>
      <c r="B111" s="237"/>
      <c r="C111" s="237"/>
      <c r="D111" s="237"/>
      <c r="E111" s="237"/>
      <c r="F111" s="237"/>
      <c r="G111" s="237"/>
      <c r="H111" s="237"/>
      <c r="I111" s="237"/>
      <c r="J111" s="237"/>
      <c r="K111" s="237"/>
      <c r="L111" s="237"/>
      <c r="M111" s="237"/>
      <c r="N111" s="237"/>
      <c r="O111" s="237"/>
      <c r="P111" s="237"/>
      <c r="Q111" s="237"/>
      <c r="R111" s="237"/>
      <c r="S111" s="237"/>
      <c r="T111" s="237"/>
      <c r="U111" s="237"/>
      <c r="V111" s="237"/>
      <c r="W111" s="237"/>
      <c r="X111" s="237"/>
      <c r="Y111" s="237"/>
      <c r="Z111" s="237"/>
    </row>
    <row r="112" spans="1:38" x14ac:dyDescent="0.4">
      <c r="A112" s="196" t="s">
        <v>609</v>
      </c>
      <c r="B112" s="237"/>
      <c r="C112" s="237"/>
      <c r="D112" s="237"/>
      <c r="E112" s="237"/>
      <c r="F112" s="237"/>
      <c r="G112" s="237"/>
      <c r="H112" s="237"/>
      <c r="I112" s="237"/>
      <c r="J112" s="237"/>
      <c r="K112" s="237"/>
      <c r="L112" s="237"/>
      <c r="M112" s="237"/>
      <c r="N112" s="237"/>
      <c r="O112" s="237"/>
      <c r="P112" s="237"/>
      <c r="Q112" s="237"/>
      <c r="R112" s="237"/>
      <c r="S112" s="237"/>
      <c r="T112" s="237"/>
      <c r="U112" s="237"/>
      <c r="V112" s="237"/>
      <c r="W112" s="237"/>
      <c r="X112" s="237"/>
      <c r="Y112" s="237"/>
      <c r="Z112" s="237"/>
    </row>
    <row r="113" spans="1:42" ht="16.5" thickBot="1" x14ac:dyDescent="0.45">
      <c r="A113" s="754"/>
      <c r="B113" s="237"/>
      <c r="C113" s="237"/>
      <c r="D113" s="237"/>
      <c r="E113" s="237"/>
      <c r="F113" s="237"/>
      <c r="G113" s="237"/>
      <c r="H113" s="237"/>
      <c r="I113" s="237"/>
      <c r="J113" s="237"/>
      <c r="K113" s="237"/>
      <c r="L113" s="237"/>
      <c r="M113" s="237"/>
      <c r="N113" s="237"/>
      <c r="O113" s="237"/>
      <c r="P113" s="237"/>
      <c r="Q113" s="237"/>
      <c r="R113" s="237"/>
      <c r="S113" s="237"/>
      <c r="T113" s="237"/>
      <c r="U113" s="237"/>
      <c r="V113" s="237"/>
      <c r="W113" s="237"/>
      <c r="X113" s="237"/>
      <c r="Y113" s="237"/>
      <c r="Z113" s="237"/>
      <c r="AA113" s="237"/>
    </row>
    <row r="114" spans="1:42" ht="16.5" thickBot="1" x14ac:dyDescent="0.45">
      <c r="A114" s="780" t="s">
        <v>927</v>
      </c>
      <c r="C114" s="237"/>
      <c r="D114" s="237"/>
      <c r="E114" s="237"/>
      <c r="F114" s="237"/>
      <c r="G114" s="237"/>
      <c r="H114" s="237"/>
      <c r="I114" s="237"/>
      <c r="J114" s="237"/>
      <c r="K114" s="237"/>
      <c r="L114" s="237"/>
      <c r="M114" s="237"/>
      <c r="N114" s="237"/>
      <c r="O114" s="237"/>
      <c r="P114" s="237"/>
      <c r="Q114" s="237"/>
      <c r="R114" s="237"/>
      <c r="S114" s="237"/>
      <c r="T114" s="237"/>
      <c r="U114" s="237"/>
      <c r="V114" s="237"/>
      <c r="W114" s="237"/>
      <c r="X114" s="237"/>
      <c r="Y114" s="237"/>
      <c r="Z114" s="237"/>
      <c r="AA114" s="237"/>
    </row>
    <row r="115" spans="1:42" s="28" customFormat="1" x14ac:dyDescent="0.4">
      <c r="A115" s="1283" t="s">
        <v>936</v>
      </c>
      <c r="B115" s="71" t="s">
        <v>136</v>
      </c>
      <c r="C115" s="652" t="s">
        <v>391</v>
      </c>
      <c r="D115" s="652" t="s">
        <v>392</v>
      </c>
      <c r="E115" s="652" t="s">
        <v>393</v>
      </c>
      <c r="F115" s="652" t="s">
        <v>394</v>
      </c>
      <c r="G115" s="652" t="s">
        <v>395</v>
      </c>
      <c r="H115" s="652" t="s">
        <v>396</v>
      </c>
      <c r="I115" s="652" t="s">
        <v>397</v>
      </c>
      <c r="J115" s="652" t="s">
        <v>398</v>
      </c>
      <c r="K115" s="652" t="s">
        <v>399</v>
      </c>
      <c r="L115" s="652" t="s">
        <v>400</v>
      </c>
      <c r="M115" s="652" t="s">
        <v>401</v>
      </c>
      <c r="N115" s="652" t="s">
        <v>402</v>
      </c>
      <c r="O115" s="652" t="s">
        <v>403</v>
      </c>
      <c r="P115" s="652" t="s">
        <v>404</v>
      </c>
      <c r="Q115" s="652" t="s">
        <v>405</v>
      </c>
      <c r="R115" s="652" t="s">
        <v>406</v>
      </c>
      <c r="S115" s="652" t="s">
        <v>407</v>
      </c>
      <c r="T115" s="652" t="s">
        <v>408</v>
      </c>
      <c r="U115" s="652" t="s">
        <v>409</v>
      </c>
      <c r="V115" s="652" t="s">
        <v>410</v>
      </c>
      <c r="W115" s="652" t="s">
        <v>411</v>
      </c>
      <c r="X115" s="652" t="s">
        <v>412</v>
      </c>
      <c r="Y115" s="652" t="s">
        <v>413</v>
      </c>
      <c r="Z115" s="652" t="s">
        <v>414</v>
      </c>
      <c r="AA115" s="652" t="s">
        <v>415</v>
      </c>
      <c r="AB115" s="652" t="s">
        <v>416</v>
      </c>
      <c r="AC115" s="652" t="s">
        <v>417</v>
      </c>
      <c r="AD115" s="652" t="s">
        <v>418</v>
      </c>
      <c r="AE115" s="652" t="s">
        <v>419</v>
      </c>
      <c r="AF115" s="652" t="s">
        <v>420</v>
      </c>
      <c r="AG115" s="652" t="s">
        <v>421</v>
      </c>
      <c r="AH115" s="652" t="s">
        <v>422</v>
      </c>
      <c r="AI115" s="652" t="s">
        <v>423</v>
      </c>
      <c r="AJ115" s="652" t="s">
        <v>424</v>
      </c>
      <c r="AK115" s="3"/>
      <c r="AL115" s="3"/>
    </row>
    <row r="116" spans="1:42" x14ac:dyDescent="0.4">
      <c r="A116" s="741" t="s">
        <v>597</v>
      </c>
      <c r="B116" s="798" t="s">
        <v>582</v>
      </c>
      <c r="C116" s="748">
        <v>5370</v>
      </c>
      <c r="D116" s="748">
        <v>5653</v>
      </c>
      <c r="E116" s="748">
        <v>5090</v>
      </c>
      <c r="F116" s="748">
        <v>5320</v>
      </c>
      <c r="G116" s="748">
        <v>5791</v>
      </c>
      <c r="H116" s="748">
        <v>6925</v>
      </c>
      <c r="I116" s="748">
        <v>6856</v>
      </c>
      <c r="J116" s="748">
        <v>7456</v>
      </c>
      <c r="K116" s="748">
        <v>6301</v>
      </c>
      <c r="L116" s="748">
        <v>6521</v>
      </c>
      <c r="M116" s="748">
        <v>6288</v>
      </c>
      <c r="N116" s="748">
        <v>4592</v>
      </c>
      <c r="O116" s="748">
        <v>3026</v>
      </c>
      <c r="P116" s="748">
        <v>3089</v>
      </c>
      <c r="Q116" s="748">
        <v>3277</v>
      </c>
      <c r="R116" s="748">
        <v>3312</v>
      </c>
      <c r="S116" s="748">
        <v>3430</v>
      </c>
      <c r="T116" s="748">
        <v>3553</v>
      </c>
      <c r="U116" s="748">
        <v>3410</v>
      </c>
      <c r="V116" s="748">
        <v>2986</v>
      </c>
      <c r="W116" s="748">
        <v>5090</v>
      </c>
      <c r="X116" s="748">
        <v>6970</v>
      </c>
      <c r="Y116" s="234">
        <v>6970</v>
      </c>
      <c r="Z116" s="234">
        <v>6970</v>
      </c>
      <c r="AA116" s="234">
        <v>6780</v>
      </c>
      <c r="AB116" s="234">
        <v>6780</v>
      </c>
      <c r="AC116" s="234">
        <v>6780</v>
      </c>
      <c r="AD116" s="234">
        <v>2804</v>
      </c>
      <c r="AE116" s="234">
        <v>2775</v>
      </c>
      <c r="AF116" s="234">
        <v>2775</v>
      </c>
      <c r="AG116" s="234">
        <v>2775</v>
      </c>
      <c r="AH116" s="234">
        <v>2775</v>
      </c>
      <c r="AI116" s="234">
        <v>3190</v>
      </c>
      <c r="AJ116" s="526">
        <v>3190</v>
      </c>
    </row>
    <row r="117" spans="1:42" ht="16.5" thickBot="1" x14ac:dyDescent="0.45">
      <c r="A117" s="790" t="s">
        <v>585</v>
      </c>
      <c r="B117" s="805" t="s">
        <v>583</v>
      </c>
      <c r="C117" s="791">
        <f t="shared" ref="C117:AJ117" si="38">C116*1000</f>
        <v>5370000</v>
      </c>
      <c r="D117" s="791">
        <f t="shared" si="38"/>
        <v>5653000</v>
      </c>
      <c r="E117" s="791">
        <f t="shared" si="38"/>
        <v>5090000</v>
      </c>
      <c r="F117" s="791">
        <f t="shared" si="38"/>
        <v>5320000</v>
      </c>
      <c r="G117" s="791">
        <f t="shared" si="38"/>
        <v>5791000</v>
      </c>
      <c r="H117" s="791">
        <f t="shared" si="38"/>
        <v>6925000</v>
      </c>
      <c r="I117" s="791">
        <f t="shared" si="38"/>
        <v>6856000</v>
      </c>
      <c r="J117" s="791">
        <f t="shared" si="38"/>
        <v>7456000</v>
      </c>
      <c r="K117" s="791">
        <f t="shared" si="38"/>
        <v>6301000</v>
      </c>
      <c r="L117" s="791">
        <f t="shared" si="38"/>
        <v>6521000</v>
      </c>
      <c r="M117" s="791">
        <f t="shared" si="38"/>
        <v>6288000</v>
      </c>
      <c r="N117" s="791">
        <f t="shared" si="38"/>
        <v>4592000</v>
      </c>
      <c r="O117" s="791">
        <f t="shared" si="38"/>
        <v>3026000</v>
      </c>
      <c r="P117" s="791">
        <f t="shared" si="38"/>
        <v>3089000</v>
      </c>
      <c r="Q117" s="791">
        <f t="shared" si="38"/>
        <v>3277000</v>
      </c>
      <c r="R117" s="791">
        <f t="shared" si="38"/>
        <v>3312000</v>
      </c>
      <c r="S117" s="791">
        <f t="shared" si="38"/>
        <v>3430000</v>
      </c>
      <c r="T117" s="791">
        <f t="shared" si="38"/>
        <v>3553000</v>
      </c>
      <c r="U117" s="791">
        <f t="shared" si="38"/>
        <v>3410000</v>
      </c>
      <c r="V117" s="791">
        <f t="shared" si="38"/>
        <v>2986000</v>
      </c>
      <c r="W117" s="791">
        <f t="shared" si="38"/>
        <v>5090000</v>
      </c>
      <c r="X117" s="791">
        <f t="shared" si="38"/>
        <v>6970000</v>
      </c>
      <c r="Y117" s="806">
        <f t="shared" si="38"/>
        <v>6970000</v>
      </c>
      <c r="Z117" s="791">
        <f t="shared" si="38"/>
        <v>6970000</v>
      </c>
      <c r="AA117" s="791">
        <f t="shared" si="38"/>
        <v>6780000</v>
      </c>
      <c r="AB117" s="791">
        <f t="shared" si="38"/>
        <v>6780000</v>
      </c>
      <c r="AC117" s="791">
        <f t="shared" si="38"/>
        <v>6780000</v>
      </c>
      <c r="AD117" s="791">
        <f t="shared" si="38"/>
        <v>2804000</v>
      </c>
      <c r="AE117" s="791">
        <f t="shared" si="38"/>
        <v>2775000</v>
      </c>
      <c r="AF117" s="791">
        <f t="shared" si="38"/>
        <v>2775000</v>
      </c>
      <c r="AG117" s="791">
        <f t="shared" si="38"/>
        <v>2775000</v>
      </c>
      <c r="AH117" s="791">
        <f t="shared" si="38"/>
        <v>2775000</v>
      </c>
      <c r="AI117" s="791">
        <f t="shared" si="38"/>
        <v>3190000</v>
      </c>
      <c r="AJ117" s="791">
        <f t="shared" si="38"/>
        <v>3190000</v>
      </c>
    </row>
    <row r="118" spans="1:42" ht="17" x14ac:dyDescent="0.45">
      <c r="A118" s="1454" t="s">
        <v>1349</v>
      </c>
      <c r="B118" s="801" t="s">
        <v>584</v>
      </c>
      <c r="C118" s="802">
        <f t="shared" ref="C118:AJ118" si="39">C117*$C$224</f>
        <v>1110481641.4297199</v>
      </c>
      <c r="D118" s="802">
        <f t="shared" si="39"/>
        <v>1169004230.7266679</v>
      </c>
      <c r="E118" s="802">
        <f t="shared" si="39"/>
        <v>1052579432.9380399</v>
      </c>
      <c r="F118" s="802">
        <f t="shared" si="39"/>
        <v>1100141961.3419199</v>
      </c>
      <c r="G118" s="802">
        <f t="shared" si="39"/>
        <v>1197541747.768996</v>
      </c>
      <c r="H118" s="802">
        <f t="shared" si="39"/>
        <v>1432045692.1603</v>
      </c>
      <c r="I118" s="802">
        <f t="shared" si="39"/>
        <v>1417776933.6391358</v>
      </c>
      <c r="J118" s="802">
        <f t="shared" si="39"/>
        <v>1541853094.6927359</v>
      </c>
      <c r="K118" s="802">
        <f t="shared" si="39"/>
        <v>1303006484.664556</v>
      </c>
      <c r="L118" s="802">
        <f t="shared" si="39"/>
        <v>1348501077.0508759</v>
      </c>
      <c r="M118" s="802">
        <f t="shared" si="39"/>
        <v>1300318167.841728</v>
      </c>
      <c r="N118" s="802">
        <f t="shared" si="39"/>
        <v>949596219.26355195</v>
      </c>
      <c r="O118" s="802">
        <f t="shared" si="39"/>
        <v>625757438.913656</v>
      </c>
      <c r="P118" s="802">
        <f t="shared" si="39"/>
        <v>638785435.82428396</v>
      </c>
      <c r="Q118" s="802">
        <f t="shared" si="39"/>
        <v>677662632.95441198</v>
      </c>
      <c r="R118" s="802">
        <f t="shared" si="39"/>
        <v>684900409.015872</v>
      </c>
      <c r="S118" s="802">
        <f t="shared" si="39"/>
        <v>709302054.02307999</v>
      </c>
      <c r="T118" s="802">
        <f t="shared" si="39"/>
        <v>734737667.03906798</v>
      </c>
      <c r="U118" s="802">
        <f t="shared" si="39"/>
        <v>705166181.98795998</v>
      </c>
      <c r="V118" s="802">
        <f t="shared" si="39"/>
        <v>617485694.84341598</v>
      </c>
      <c r="W118" s="802">
        <f t="shared" si="39"/>
        <v>1052579432.9380399</v>
      </c>
      <c r="X118" s="802">
        <f t="shared" si="39"/>
        <v>1441351404.2393198</v>
      </c>
      <c r="Y118" s="802">
        <f t="shared" si="39"/>
        <v>1441351404.2393198</v>
      </c>
      <c r="Z118" s="802">
        <f t="shared" si="39"/>
        <v>1441351404.2393198</v>
      </c>
      <c r="AA118" s="802">
        <f t="shared" si="39"/>
        <v>1402060619.9056799</v>
      </c>
      <c r="AB118" s="802">
        <f t="shared" si="39"/>
        <v>1402060619.9056799</v>
      </c>
      <c r="AC118" s="802">
        <f t="shared" si="39"/>
        <v>1402060619.9056799</v>
      </c>
      <c r="AD118" s="802">
        <f t="shared" si="39"/>
        <v>579849259.32382393</v>
      </c>
      <c r="AE118" s="802">
        <f t="shared" si="39"/>
        <v>573852244.87290001</v>
      </c>
      <c r="AF118" s="802">
        <f t="shared" si="39"/>
        <v>573852244.87290001</v>
      </c>
      <c r="AG118" s="802">
        <f t="shared" si="39"/>
        <v>573852244.87290001</v>
      </c>
      <c r="AH118" s="802">
        <f t="shared" si="39"/>
        <v>573852244.87290001</v>
      </c>
      <c r="AI118" s="802">
        <f t="shared" si="39"/>
        <v>659671589.60163999</v>
      </c>
      <c r="AJ118" s="802">
        <f t="shared" si="39"/>
        <v>659671589.60163999</v>
      </c>
    </row>
    <row r="119" spans="1:42" ht="17" x14ac:dyDescent="0.45">
      <c r="A119" s="1433" t="s">
        <v>1349</v>
      </c>
      <c r="B119" s="1443" t="s">
        <v>1189</v>
      </c>
      <c r="C119" s="766">
        <f t="shared" ref="C119:AJ119" si="40">C118/($B$244*1000000)</f>
        <v>0.50370599999999999</v>
      </c>
      <c r="D119" s="766">
        <f t="shared" si="40"/>
        <v>0.53025139999999993</v>
      </c>
      <c r="E119" s="766">
        <f t="shared" si="40"/>
        <v>0.47744199999999998</v>
      </c>
      <c r="F119" s="766">
        <f t="shared" si="40"/>
        <v>0.49901599999999996</v>
      </c>
      <c r="G119" s="766">
        <f t="shared" si="40"/>
        <v>0.54319580000000001</v>
      </c>
      <c r="H119" s="766">
        <f t="shared" si="40"/>
        <v>0.64956500000000006</v>
      </c>
      <c r="I119" s="766">
        <f t="shared" si="40"/>
        <v>0.64309279999999991</v>
      </c>
      <c r="J119" s="766">
        <f t="shared" si="40"/>
        <v>0.69937279999999991</v>
      </c>
      <c r="K119" s="766">
        <f t="shared" si="40"/>
        <v>0.59103380000000005</v>
      </c>
      <c r="L119" s="766">
        <f t="shared" si="40"/>
        <v>0.61166979999999993</v>
      </c>
      <c r="M119" s="766">
        <f t="shared" si="40"/>
        <v>0.58981439999999996</v>
      </c>
      <c r="N119" s="766">
        <f t="shared" si="40"/>
        <v>0.43072959999999999</v>
      </c>
      <c r="O119" s="766">
        <f t="shared" si="40"/>
        <v>0.2838388</v>
      </c>
      <c r="P119" s="766">
        <f t="shared" si="40"/>
        <v>0.28974819999999996</v>
      </c>
      <c r="Q119" s="766">
        <f t="shared" si="40"/>
        <v>0.30738260000000001</v>
      </c>
      <c r="R119" s="766">
        <f t="shared" si="40"/>
        <v>0.31066559999999999</v>
      </c>
      <c r="S119" s="766">
        <f t="shared" si="40"/>
        <v>0.32173400000000002</v>
      </c>
      <c r="T119" s="766">
        <f t="shared" si="40"/>
        <v>0.3332714</v>
      </c>
      <c r="U119" s="766">
        <f t="shared" si="40"/>
        <v>0.31985799999999998</v>
      </c>
      <c r="V119" s="766">
        <f t="shared" si="40"/>
        <v>0.28008679999999997</v>
      </c>
      <c r="W119" s="766">
        <f t="shared" si="40"/>
        <v>0.47744199999999998</v>
      </c>
      <c r="X119" s="766">
        <f t="shared" si="40"/>
        <v>0.65378599999999987</v>
      </c>
      <c r="Y119" s="766">
        <f t="shared" si="40"/>
        <v>0.65378599999999987</v>
      </c>
      <c r="Z119" s="766">
        <f t="shared" si="40"/>
        <v>0.65378599999999987</v>
      </c>
      <c r="AA119" s="766">
        <f t="shared" si="40"/>
        <v>0.63596399999999997</v>
      </c>
      <c r="AB119" s="766">
        <f t="shared" si="40"/>
        <v>0.63596399999999997</v>
      </c>
      <c r="AC119" s="766">
        <f t="shared" si="40"/>
        <v>0.63596399999999997</v>
      </c>
      <c r="AD119" s="766">
        <f t="shared" si="40"/>
        <v>0.26301519999999995</v>
      </c>
      <c r="AE119" s="766">
        <f t="shared" si="40"/>
        <v>0.260295</v>
      </c>
      <c r="AF119" s="766">
        <f t="shared" si="40"/>
        <v>0.260295</v>
      </c>
      <c r="AG119" s="766">
        <f t="shared" si="40"/>
        <v>0.260295</v>
      </c>
      <c r="AH119" s="766">
        <f t="shared" si="40"/>
        <v>0.260295</v>
      </c>
      <c r="AI119" s="766">
        <f t="shared" si="40"/>
        <v>0.29922199999999999</v>
      </c>
      <c r="AJ119" s="766">
        <f t="shared" si="40"/>
        <v>0.29922199999999999</v>
      </c>
    </row>
    <row r="120" spans="1:42" x14ac:dyDescent="0.4">
      <c r="A120" s="1299" t="s">
        <v>1063</v>
      </c>
      <c r="B120" s="665"/>
      <c r="C120" s="1300"/>
      <c r="D120" s="1300"/>
      <c r="E120" s="1300"/>
      <c r="F120" s="1300"/>
      <c r="G120" s="1300"/>
      <c r="H120" s="1300"/>
      <c r="I120" s="1300"/>
      <c r="J120" s="1300"/>
      <c r="K120" s="1300"/>
      <c r="L120" s="1300"/>
      <c r="M120" s="1300"/>
      <c r="N120" s="1300"/>
      <c r="O120" s="1300"/>
      <c r="P120" s="1300"/>
      <c r="Q120" s="1300"/>
      <c r="R120" s="1300"/>
      <c r="S120" s="1300"/>
      <c r="T120" s="1300"/>
      <c r="U120" s="1300"/>
      <c r="V120" s="1300"/>
      <c r="W120" s="1300"/>
      <c r="X120" s="1300"/>
      <c r="Y120" s="1300"/>
      <c r="Z120" s="1300"/>
      <c r="AA120" s="1300"/>
      <c r="AB120" s="1300"/>
      <c r="AC120" s="1300"/>
      <c r="AD120" s="1300"/>
      <c r="AE120" s="1300"/>
      <c r="AF120" s="1300"/>
      <c r="AG120" s="1300"/>
      <c r="AH120" s="1300"/>
      <c r="AI120" s="1300"/>
      <c r="AJ120" s="1300"/>
    </row>
    <row r="121" spans="1:42" x14ac:dyDescent="0.4">
      <c r="A121" s="754"/>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c r="AG121" s="293"/>
      <c r="AH121" s="293"/>
      <c r="AI121" s="293"/>
      <c r="AJ121" s="293"/>
    </row>
    <row r="122" spans="1:42" x14ac:dyDescent="0.4">
      <c r="A122" s="3" t="s">
        <v>457</v>
      </c>
      <c r="B122" s="237"/>
      <c r="C122" s="237"/>
      <c r="D122" s="237"/>
      <c r="E122" s="237"/>
      <c r="F122" s="237"/>
      <c r="G122" s="237"/>
      <c r="H122" s="237"/>
      <c r="I122" s="237"/>
      <c r="J122" s="237"/>
      <c r="M122" s="237"/>
      <c r="N122" s="237"/>
      <c r="O122" s="237"/>
      <c r="P122" s="237"/>
      <c r="Q122" s="237"/>
      <c r="R122" s="237"/>
      <c r="S122" s="237"/>
      <c r="T122" s="237"/>
      <c r="U122" s="237"/>
      <c r="V122" s="237"/>
      <c r="W122" s="237"/>
      <c r="X122" s="237"/>
    </row>
    <row r="123" spans="1:42" ht="17" x14ac:dyDescent="0.45">
      <c r="A123" s="1320" t="s">
        <v>1096</v>
      </c>
      <c r="B123" s="237"/>
      <c r="C123" s="237"/>
      <c r="D123" s="237"/>
      <c r="E123" s="237"/>
      <c r="F123" s="237"/>
      <c r="G123" s="237"/>
      <c r="H123" s="237"/>
      <c r="I123" s="237"/>
      <c r="J123" s="237"/>
      <c r="M123" s="237"/>
      <c r="N123" s="237"/>
      <c r="O123" s="237"/>
      <c r="P123" s="237"/>
      <c r="Q123" s="237"/>
      <c r="R123" s="237"/>
      <c r="S123" s="237"/>
      <c r="T123" s="237"/>
      <c r="U123" s="237"/>
      <c r="V123" s="237"/>
      <c r="W123" s="237"/>
      <c r="X123" s="237"/>
    </row>
    <row r="124" spans="1:42" ht="16.5" thickBot="1" x14ac:dyDescent="0.45">
      <c r="B124" s="774"/>
      <c r="K124" s="781"/>
      <c r="L124" s="227"/>
    </row>
    <row r="125" spans="1:42" x14ac:dyDescent="0.4">
      <c r="A125" s="807" t="s">
        <v>928</v>
      </c>
      <c r="B125" s="774"/>
      <c r="K125" s="781"/>
      <c r="AJ125" s="28"/>
      <c r="AM125" s="28"/>
      <c r="AN125" s="28"/>
      <c r="AO125" s="28"/>
      <c r="AP125" s="28"/>
    </row>
    <row r="126" spans="1:42" s="28" customFormat="1" x14ac:dyDescent="0.4">
      <c r="A126" s="1283" t="s">
        <v>936</v>
      </c>
      <c r="B126" s="71" t="s">
        <v>136</v>
      </c>
      <c r="C126" s="652" t="s">
        <v>391</v>
      </c>
      <c r="D126" s="652" t="s">
        <v>392</v>
      </c>
      <c r="E126" s="652" t="s">
        <v>393</v>
      </c>
      <c r="F126" s="652" t="s">
        <v>394</v>
      </c>
      <c r="G126" s="652" t="s">
        <v>395</v>
      </c>
      <c r="H126" s="652" t="s">
        <v>396</v>
      </c>
      <c r="I126" s="652" t="s">
        <v>397</v>
      </c>
      <c r="J126" s="652" t="s">
        <v>398</v>
      </c>
      <c r="K126" s="652" t="s">
        <v>399</v>
      </c>
      <c r="L126" s="652" t="s">
        <v>400</v>
      </c>
      <c r="M126" s="652" t="s">
        <v>401</v>
      </c>
      <c r="N126" s="652" t="s">
        <v>402</v>
      </c>
      <c r="O126" s="652" t="s">
        <v>403</v>
      </c>
      <c r="P126" s="652" t="s">
        <v>404</v>
      </c>
      <c r="Q126" s="652" t="s">
        <v>405</v>
      </c>
      <c r="R126" s="652" t="s">
        <v>406</v>
      </c>
      <c r="S126" s="652" t="s">
        <v>407</v>
      </c>
      <c r="T126" s="652" t="s">
        <v>408</v>
      </c>
      <c r="U126" s="652" t="s">
        <v>409</v>
      </c>
      <c r="V126" s="652" t="s">
        <v>410</v>
      </c>
      <c r="W126" s="652" t="s">
        <v>411</v>
      </c>
      <c r="X126" s="652" t="s">
        <v>412</v>
      </c>
      <c r="Y126" s="652" t="s">
        <v>413</v>
      </c>
      <c r="Z126" s="652" t="s">
        <v>414</v>
      </c>
      <c r="AA126" s="652" t="s">
        <v>415</v>
      </c>
      <c r="AB126" s="652" t="s">
        <v>416</v>
      </c>
      <c r="AC126" s="652" t="s">
        <v>417</v>
      </c>
      <c r="AD126" s="652" t="s">
        <v>418</v>
      </c>
      <c r="AE126" s="652" t="s">
        <v>419</v>
      </c>
      <c r="AF126" s="652" t="s">
        <v>420</v>
      </c>
      <c r="AG126" s="652" t="s">
        <v>421</v>
      </c>
      <c r="AH126" s="652" t="s">
        <v>422</v>
      </c>
      <c r="AI126" s="652" t="s">
        <v>423</v>
      </c>
      <c r="AK126" s="3"/>
      <c r="AL126" s="3"/>
    </row>
    <row r="127" spans="1:42" s="28" customFormat="1" x14ac:dyDescent="0.4">
      <c r="A127" s="741" t="s">
        <v>601</v>
      </c>
      <c r="B127" s="1382" t="s">
        <v>582</v>
      </c>
      <c r="C127" s="234">
        <f>'Solid Waste'!B90</f>
        <v>1968.8037600000002</v>
      </c>
      <c r="D127" s="234">
        <f>'Solid Waste'!C90</f>
        <v>1805.9756</v>
      </c>
      <c r="E127" s="234">
        <f>'Solid Waste'!D90</f>
        <v>2360.96</v>
      </c>
      <c r="F127" s="234">
        <f>'Solid Waste'!E90</f>
        <v>1862.3520000000001</v>
      </c>
      <c r="G127" s="234">
        <f>'Solid Waste'!F90</f>
        <v>1981.7531999999999</v>
      </c>
      <c r="H127" s="234">
        <f>'Solid Waste'!G90</f>
        <v>1830.14328</v>
      </c>
      <c r="I127" s="234">
        <f>'Solid Waste'!H90</f>
        <v>1945.29</v>
      </c>
      <c r="J127" s="234">
        <f>'Solid Waste'!I90</f>
        <v>1888.5</v>
      </c>
      <c r="K127" s="234">
        <f>'Solid Waste'!J90</f>
        <v>661.14</v>
      </c>
      <c r="L127" s="234">
        <f>'Solid Waste'!K90</f>
        <v>301.8</v>
      </c>
      <c r="M127" s="234">
        <f>'Solid Waste'!L90</f>
        <v>229.67999999999998</v>
      </c>
      <c r="N127" s="234">
        <f>'Solid Waste'!M90</f>
        <v>374</v>
      </c>
      <c r="O127" s="234">
        <f>'Solid Waste'!N90</f>
        <v>216</v>
      </c>
      <c r="P127" s="234">
        <f>'Solid Waste'!O90</f>
        <v>208</v>
      </c>
      <c r="Q127" s="234">
        <f>'Solid Waste'!P90</f>
        <v>206</v>
      </c>
      <c r="R127" s="234">
        <f>'Solid Waste'!Q90</f>
        <v>218</v>
      </c>
      <c r="S127" s="234">
        <f>'Solid Waste'!R90</f>
        <v>688</v>
      </c>
      <c r="T127" s="234">
        <f>'Solid Waste'!S90</f>
        <v>781</v>
      </c>
      <c r="U127" s="234">
        <f>'Solid Waste'!T90</f>
        <v>770</v>
      </c>
      <c r="V127" s="234">
        <f>'Solid Waste'!U90</f>
        <v>851</v>
      </c>
      <c r="W127" s="808" t="s">
        <v>32</v>
      </c>
      <c r="X127" s="808" t="s">
        <v>32</v>
      </c>
      <c r="Y127" s="808" t="s">
        <v>32</v>
      </c>
      <c r="Z127" s="808" t="s">
        <v>32</v>
      </c>
      <c r="AA127" s="808" t="s">
        <v>32</v>
      </c>
      <c r="AB127" s="808" t="s">
        <v>32</v>
      </c>
      <c r="AC127" s="808" t="s">
        <v>32</v>
      </c>
      <c r="AD127" s="808" t="s">
        <v>32</v>
      </c>
      <c r="AE127" s="808" t="s">
        <v>32</v>
      </c>
      <c r="AF127" s="808" t="s">
        <v>32</v>
      </c>
      <c r="AG127" s="808" t="s">
        <v>32</v>
      </c>
      <c r="AH127" s="808" t="s">
        <v>32</v>
      </c>
      <c r="AI127" s="808" t="s">
        <v>32</v>
      </c>
      <c r="AJ127" s="3"/>
      <c r="AK127" s="3"/>
      <c r="AL127" s="3"/>
    </row>
    <row r="128" spans="1:42" ht="16.5" thickBot="1" x14ac:dyDescent="0.45">
      <c r="A128" s="809" t="s">
        <v>591</v>
      </c>
      <c r="B128" s="1387" t="s">
        <v>583</v>
      </c>
      <c r="C128" s="810">
        <f t="shared" ref="C128:V128" si="41">C127*1000</f>
        <v>1968803.7600000002</v>
      </c>
      <c r="D128" s="810">
        <f t="shared" si="41"/>
        <v>1805975.6</v>
      </c>
      <c r="E128" s="810">
        <f t="shared" si="41"/>
        <v>2360960</v>
      </c>
      <c r="F128" s="810">
        <f t="shared" si="41"/>
        <v>1862352</v>
      </c>
      <c r="G128" s="810">
        <f t="shared" si="41"/>
        <v>1981753.2</v>
      </c>
      <c r="H128" s="810">
        <f t="shared" si="41"/>
        <v>1830143.28</v>
      </c>
      <c r="I128" s="810">
        <f t="shared" si="41"/>
        <v>1945290</v>
      </c>
      <c r="J128" s="810">
        <f t="shared" si="41"/>
        <v>1888500</v>
      </c>
      <c r="K128" s="810">
        <f t="shared" si="41"/>
        <v>661140</v>
      </c>
      <c r="L128" s="810">
        <f t="shared" si="41"/>
        <v>301800</v>
      </c>
      <c r="M128" s="810">
        <f t="shared" si="41"/>
        <v>229679.99999999997</v>
      </c>
      <c r="N128" s="810">
        <f t="shared" si="41"/>
        <v>374000</v>
      </c>
      <c r="O128" s="810">
        <f t="shared" si="41"/>
        <v>216000</v>
      </c>
      <c r="P128" s="810">
        <f t="shared" si="41"/>
        <v>208000</v>
      </c>
      <c r="Q128" s="810">
        <f t="shared" si="41"/>
        <v>206000</v>
      </c>
      <c r="R128" s="810">
        <f t="shared" si="41"/>
        <v>218000</v>
      </c>
      <c r="S128" s="810">
        <f t="shared" si="41"/>
        <v>688000</v>
      </c>
      <c r="T128" s="810">
        <f t="shared" si="41"/>
        <v>781000</v>
      </c>
      <c r="U128" s="810">
        <f t="shared" si="41"/>
        <v>770000</v>
      </c>
      <c r="V128" s="810">
        <f t="shared" si="41"/>
        <v>851000</v>
      </c>
      <c r="W128" s="811" t="s">
        <v>32</v>
      </c>
      <c r="X128" s="811" t="s">
        <v>32</v>
      </c>
      <c r="Y128" s="811" t="s">
        <v>32</v>
      </c>
      <c r="Z128" s="811" t="s">
        <v>32</v>
      </c>
      <c r="AA128" s="811" t="s">
        <v>32</v>
      </c>
      <c r="AB128" s="811" t="s">
        <v>32</v>
      </c>
      <c r="AC128" s="811" t="s">
        <v>32</v>
      </c>
      <c r="AD128" s="811" t="s">
        <v>32</v>
      </c>
      <c r="AE128" s="811" t="s">
        <v>32</v>
      </c>
      <c r="AF128" s="811" t="s">
        <v>32</v>
      </c>
      <c r="AG128" s="811" t="s">
        <v>32</v>
      </c>
      <c r="AH128" s="811" t="s">
        <v>32</v>
      </c>
      <c r="AI128" s="811" t="s">
        <v>32</v>
      </c>
    </row>
    <row r="129" spans="1:45" ht="17" x14ac:dyDescent="0.45">
      <c r="A129" s="1425" t="s">
        <v>1349</v>
      </c>
      <c r="B129" s="3" t="s">
        <v>584</v>
      </c>
      <c r="C129" s="776">
        <f t="shared" ref="C129:V129" si="42">C128*$C$232</f>
        <v>393680565.83988059</v>
      </c>
      <c r="D129" s="776">
        <f t="shared" si="42"/>
        <v>361121565.56477618</v>
      </c>
      <c r="E129" s="776">
        <f t="shared" si="42"/>
        <v>472095841.95700866</v>
      </c>
      <c r="F129" s="776">
        <f t="shared" si="42"/>
        <v>372394549.44612318</v>
      </c>
      <c r="G129" s="776">
        <f t="shared" si="42"/>
        <v>396269926.43034875</v>
      </c>
      <c r="H129" s="776">
        <f t="shared" si="42"/>
        <v>365954117.25465971</v>
      </c>
      <c r="I129" s="776">
        <f t="shared" si="42"/>
        <v>388978771.51690388</v>
      </c>
      <c r="J129" s="776">
        <f t="shared" si="42"/>
        <v>377623084.48080903</v>
      </c>
      <c r="K129" s="776">
        <f t="shared" si="42"/>
        <v>132201072.84810276</v>
      </c>
      <c r="L129" s="776">
        <f t="shared" si="42"/>
        <v>60347708.179141201</v>
      </c>
      <c r="M129" s="776">
        <f t="shared" si="42"/>
        <v>45926645.508897118</v>
      </c>
      <c r="N129" s="776">
        <f t="shared" si="42"/>
        <v>74784767.591115996</v>
      </c>
      <c r="O129" s="776">
        <f t="shared" si="42"/>
        <v>43191202.672944002</v>
      </c>
      <c r="P129" s="776">
        <f t="shared" si="42"/>
        <v>41591528.499871999</v>
      </c>
      <c r="Q129" s="776">
        <f t="shared" si="42"/>
        <v>41191609.956604004</v>
      </c>
      <c r="R129" s="776">
        <f t="shared" si="42"/>
        <v>43591121.216212004</v>
      </c>
      <c r="S129" s="776">
        <f t="shared" si="42"/>
        <v>137571978.88419199</v>
      </c>
      <c r="T129" s="776">
        <f t="shared" si="42"/>
        <v>156168191.14615402</v>
      </c>
      <c r="U129" s="776">
        <f t="shared" si="42"/>
        <v>153968639.15818</v>
      </c>
      <c r="V129" s="776">
        <f t="shared" si="42"/>
        <v>170165340.16053399</v>
      </c>
      <c r="W129" s="3" t="s">
        <v>32</v>
      </c>
      <c r="X129" s="3" t="s">
        <v>32</v>
      </c>
      <c r="Y129" s="3" t="s">
        <v>32</v>
      </c>
      <c r="Z129" s="3" t="s">
        <v>32</v>
      </c>
      <c r="AA129" s="3" t="s">
        <v>32</v>
      </c>
      <c r="AB129" s="3" t="s">
        <v>32</v>
      </c>
      <c r="AC129" s="3" t="s">
        <v>32</v>
      </c>
      <c r="AD129" s="3" t="s">
        <v>32</v>
      </c>
      <c r="AE129" s="3" t="s">
        <v>32</v>
      </c>
      <c r="AF129" s="3" t="s">
        <v>32</v>
      </c>
      <c r="AG129" s="3" t="s">
        <v>32</v>
      </c>
      <c r="AH129" s="3" t="s">
        <v>32</v>
      </c>
      <c r="AI129" s="3" t="s">
        <v>32</v>
      </c>
    </row>
    <row r="130" spans="1:45" ht="17" x14ac:dyDescent="0.45">
      <c r="A130" s="1446" t="s">
        <v>1349</v>
      </c>
      <c r="B130" s="1436" t="s">
        <v>1352</v>
      </c>
      <c r="C130" s="795">
        <f t="shared" ref="C130:V130" si="43">C129/$B$244</f>
        <v>178570.501032</v>
      </c>
      <c r="D130" s="795">
        <f t="shared" si="43"/>
        <v>163801.98692000002</v>
      </c>
      <c r="E130" s="795">
        <f t="shared" si="43"/>
        <v>214139.07199999999</v>
      </c>
      <c r="F130" s="795">
        <f t="shared" si="43"/>
        <v>168915.32639999999</v>
      </c>
      <c r="G130" s="795">
        <f t="shared" si="43"/>
        <v>179745.01524000001</v>
      </c>
      <c r="H130" s="795">
        <f t="shared" si="43"/>
        <v>165993.99549599999</v>
      </c>
      <c r="I130" s="795">
        <f t="shared" si="43"/>
        <v>176437.80300000001</v>
      </c>
      <c r="J130" s="795">
        <f t="shared" si="43"/>
        <v>171286.95</v>
      </c>
      <c r="K130" s="795">
        <f t="shared" si="43"/>
        <v>59965.398000000001</v>
      </c>
      <c r="L130" s="795">
        <f t="shared" si="43"/>
        <v>27373.26</v>
      </c>
      <c r="M130" s="795">
        <f t="shared" si="43"/>
        <v>20831.975999999999</v>
      </c>
      <c r="N130" s="795">
        <f t="shared" si="43"/>
        <v>33921.799999999996</v>
      </c>
      <c r="O130" s="795">
        <f t="shared" si="43"/>
        <v>19591.2</v>
      </c>
      <c r="P130" s="795">
        <f t="shared" si="43"/>
        <v>18865.599999999999</v>
      </c>
      <c r="Q130" s="795">
        <f t="shared" si="43"/>
        <v>18684.2</v>
      </c>
      <c r="R130" s="795">
        <f t="shared" si="43"/>
        <v>19772.600000000002</v>
      </c>
      <c r="S130" s="795">
        <f t="shared" si="43"/>
        <v>62401.599999999991</v>
      </c>
      <c r="T130" s="795">
        <f t="shared" si="43"/>
        <v>70836.7</v>
      </c>
      <c r="U130" s="795">
        <f t="shared" si="43"/>
        <v>69839</v>
      </c>
      <c r="V130" s="795">
        <f t="shared" si="43"/>
        <v>77185.7</v>
      </c>
      <c r="W130" s="812">
        <f>43768.9</f>
        <v>43768.9</v>
      </c>
      <c r="X130" s="812">
        <f>43294</f>
        <v>43294</v>
      </c>
      <c r="Y130" s="812">
        <f>39021</f>
        <v>39021</v>
      </c>
      <c r="Z130" s="812">
        <f>39180.7</f>
        <v>39180.699999999997</v>
      </c>
      <c r="AA130" s="812">
        <v>34638.9</v>
      </c>
      <c r="AB130" s="812">
        <v>36635.5</v>
      </c>
      <c r="AC130" s="812">
        <v>34650.699999999997</v>
      </c>
      <c r="AD130" s="812">
        <v>38190</v>
      </c>
      <c r="AE130" s="812">
        <v>25251.5</v>
      </c>
      <c r="AF130" s="813">
        <v>41408.6</v>
      </c>
      <c r="AG130" s="813">
        <v>35476</v>
      </c>
      <c r="AH130" s="813">
        <v>21306.2</v>
      </c>
      <c r="AI130" s="813">
        <v>8191.5</v>
      </c>
    </row>
    <row r="131" spans="1:45" ht="17" x14ac:dyDescent="0.45">
      <c r="A131" s="1446" t="s">
        <v>1349</v>
      </c>
      <c r="B131" s="1436" t="s">
        <v>1189</v>
      </c>
      <c r="C131" s="795">
        <f t="shared" ref="C131:AI131" si="44">C130/1000000</f>
        <v>0.17857050103200001</v>
      </c>
      <c r="D131" s="795">
        <f t="shared" si="44"/>
        <v>0.16380198692000003</v>
      </c>
      <c r="E131" s="795">
        <f t="shared" si="44"/>
        <v>0.21413907199999999</v>
      </c>
      <c r="F131" s="795">
        <f t="shared" si="44"/>
        <v>0.16891532639999998</v>
      </c>
      <c r="G131" s="795">
        <f t="shared" si="44"/>
        <v>0.17974501524</v>
      </c>
      <c r="H131" s="795">
        <f t="shared" si="44"/>
        <v>0.165993995496</v>
      </c>
      <c r="I131" s="795">
        <f t="shared" si="44"/>
        <v>0.176437803</v>
      </c>
      <c r="J131" s="795">
        <f t="shared" si="44"/>
        <v>0.17128695000000002</v>
      </c>
      <c r="K131" s="795">
        <f t="shared" si="44"/>
        <v>5.9965398000000003E-2</v>
      </c>
      <c r="L131" s="795">
        <f t="shared" si="44"/>
        <v>2.737326E-2</v>
      </c>
      <c r="M131" s="795">
        <f t="shared" si="44"/>
        <v>2.0831975999999999E-2</v>
      </c>
      <c r="N131" s="795">
        <f t="shared" si="44"/>
        <v>3.3921799999999995E-2</v>
      </c>
      <c r="O131" s="795">
        <f t="shared" si="44"/>
        <v>1.95912E-2</v>
      </c>
      <c r="P131" s="795">
        <f t="shared" si="44"/>
        <v>1.88656E-2</v>
      </c>
      <c r="Q131" s="795">
        <f t="shared" si="44"/>
        <v>1.8684200000000002E-2</v>
      </c>
      <c r="R131" s="795">
        <f t="shared" si="44"/>
        <v>1.9772600000000001E-2</v>
      </c>
      <c r="S131" s="795">
        <f t="shared" si="44"/>
        <v>6.2401599999999995E-2</v>
      </c>
      <c r="T131" s="795">
        <f t="shared" si="44"/>
        <v>7.0836700000000002E-2</v>
      </c>
      <c r="U131" s="795">
        <f t="shared" si="44"/>
        <v>6.9838999999999998E-2</v>
      </c>
      <c r="V131" s="795">
        <f t="shared" si="44"/>
        <v>7.7185699999999996E-2</v>
      </c>
      <c r="W131" s="812">
        <f t="shared" si="44"/>
        <v>4.3768899999999999E-2</v>
      </c>
      <c r="X131" s="812">
        <f t="shared" si="44"/>
        <v>4.3293999999999999E-2</v>
      </c>
      <c r="Y131" s="812">
        <f t="shared" si="44"/>
        <v>3.9021E-2</v>
      </c>
      <c r="Z131" s="812">
        <f t="shared" si="44"/>
        <v>3.9180699999999999E-2</v>
      </c>
      <c r="AA131" s="812">
        <f t="shared" si="44"/>
        <v>3.46389E-2</v>
      </c>
      <c r="AB131" s="812">
        <f t="shared" si="44"/>
        <v>3.6635500000000001E-2</v>
      </c>
      <c r="AC131" s="812">
        <f t="shared" si="44"/>
        <v>3.46507E-2</v>
      </c>
      <c r="AD131" s="812">
        <f t="shared" si="44"/>
        <v>3.8190000000000002E-2</v>
      </c>
      <c r="AE131" s="812">
        <f t="shared" si="44"/>
        <v>2.52515E-2</v>
      </c>
      <c r="AF131" s="812">
        <f t="shared" si="44"/>
        <v>4.1408599999999997E-2</v>
      </c>
      <c r="AG131" s="812">
        <f t="shared" si="44"/>
        <v>3.5476000000000001E-2</v>
      </c>
      <c r="AH131" s="812">
        <f t="shared" si="44"/>
        <v>2.1306200000000001E-2</v>
      </c>
      <c r="AI131" s="812">
        <f t="shared" si="44"/>
        <v>8.1915000000000009E-3</v>
      </c>
    </row>
    <row r="132" spans="1:45" x14ac:dyDescent="0.4">
      <c r="A132" s="1299" t="s">
        <v>1063</v>
      </c>
      <c r="B132" s="665"/>
      <c r="C132" s="1300"/>
      <c r="D132" s="1300"/>
      <c r="E132" s="1300"/>
      <c r="F132" s="1300"/>
      <c r="G132" s="1300"/>
      <c r="H132" s="1300"/>
      <c r="I132" s="1300"/>
      <c r="J132" s="1300"/>
      <c r="K132" s="1300"/>
      <c r="L132" s="1300"/>
      <c r="M132" s="1300"/>
      <c r="N132" s="1300"/>
      <c r="O132" s="1300"/>
      <c r="P132" s="1300"/>
      <c r="Q132" s="1300"/>
      <c r="R132" s="1300"/>
      <c r="S132" s="1300"/>
      <c r="T132" s="1300"/>
      <c r="U132" s="1300"/>
      <c r="V132" s="1300"/>
      <c r="W132" s="1300"/>
      <c r="X132" s="1300"/>
      <c r="Y132" s="1300"/>
      <c r="Z132" s="1300"/>
      <c r="AA132" s="1300"/>
      <c r="AB132" s="1300"/>
      <c r="AC132" s="1300"/>
      <c r="AD132" s="1300"/>
      <c r="AE132" s="1300"/>
      <c r="AF132" s="1300"/>
      <c r="AG132" s="1300"/>
      <c r="AH132" s="1300"/>
      <c r="AI132" s="1300"/>
      <c r="AJ132" s="1300"/>
    </row>
    <row r="133" spans="1:45" x14ac:dyDescent="0.4">
      <c r="A133" s="754"/>
      <c r="C133" s="293"/>
      <c r="D133" s="293"/>
      <c r="E133" s="293"/>
      <c r="F133" s="293"/>
      <c r="G133" s="293"/>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c r="AE133" s="293"/>
      <c r="AF133" s="293"/>
      <c r="AG133" s="293"/>
      <c r="AH133" s="293"/>
      <c r="AI133" s="293"/>
      <c r="AJ133" s="293"/>
    </row>
    <row r="134" spans="1:45" x14ac:dyDescent="0.4">
      <c r="A134" s="3" t="s">
        <v>457</v>
      </c>
      <c r="B134" s="237"/>
      <c r="C134" s="237"/>
      <c r="D134" s="237"/>
      <c r="E134" s="237"/>
      <c r="F134" s="237"/>
      <c r="G134" s="237"/>
      <c r="H134" s="237"/>
      <c r="I134" s="237"/>
      <c r="J134" s="237"/>
      <c r="K134" s="237"/>
      <c r="L134" s="237"/>
      <c r="M134" s="237"/>
      <c r="N134" s="237"/>
      <c r="O134" s="237"/>
      <c r="P134" s="237"/>
      <c r="Q134" s="237"/>
      <c r="R134" s="237"/>
      <c r="S134" s="237"/>
      <c r="T134" s="237"/>
      <c r="U134" s="237"/>
      <c r="V134" s="237"/>
      <c r="W134" s="237"/>
      <c r="X134" s="237"/>
      <c r="Y134" s="237"/>
      <c r="Z134" s="237"/>
      <c r="AA134" s="237"/>
      <c r="AB134" s="237"/>
      <c r="AC134" s="237"/>
      <c r="AD134" s="237"/>
      <c r="AE134" s="237"/>
      <c r="AF134" s="237"/>
      <c r="AG134" s="237"/>
      <c r="AH134" s="237"/>
      <c r="AI134" s="237"/>
    </row>
    <row r="135" spans="1:45" x14ac:dyDescent="0.4">
      <c r="A135" s="3" t="s">
        <v>896</v>
      </c>
      <c r="B135" s="237"/>
      <c r="C135" s="237"/>
      <c r="D135" s="237"/>
      <c r="E135" s="237"/>
      <c r="F135" s="237"/>
      <c r="G135" s="237"/>
      <c r="H135" s="237"/>
      <c r="I135" s="237"/>
      <c r="J135" s="237"/>
      <c r="K135" s="237"/>
      <c r="L135" s="237"/>
      <c r="M135" s="237"/>
      <c r="N135" s="237"/>
      <c r="O135" s="237"/>
      <c r="P135" s="237"/>
      <c r="Q135" s="237"/>
      <c r="R135" s="237"/>
      <c r="S135" s="237"/>
      <c r="T135" s="237"/>
      <c r="U135" s="237"/>
      <c r="V135" s="237"/>
      <c r="W135" s="237"/>
      <c r="X135" s="237"/>
      <c r="Y135" s="237"/>
      <c r="Z135" s="237"/>
      <c r="AA135" s="237"/>
      <c r="AB135" s="237"/>
      <c r="AC135" s="237"/>
      <c r="AD135" s="237"/>
      <c r="AE135" s="237"/>
      <c r="AF135" s="237"/>
      <c r="AG135" s="237"/>
      <c r="AH135" s="237"/>
      <c r="AI135" s="237"/>
    </row>
    <row r="136" spans="1:45" ht="17" x14ac:dyDescent="0.45">
      <c r="A136" s="1455" t="s">
        <v>1395</v>
      </c>
      <c r="B136" s="237"/>
      <c r="C136" s="237"/>
      <c r="D136" s="237"/>
      <c r="E136" s="237"/>
      <c r="F136" s="237"/>
      <c r="G136" s="237"/>
      <c r="H136" s="237"/>
      <c r="I136" s="237"/>
      <c r="J136" s="237"/>
      <c r="K136" s="237"/>
      <c r="L136" s="237"/>
      <c r="M136" s="237"/>
      <c r="N136" s="237"/>
      <c r="O136" s="237"/>
      <c r="P136" s="237"/>
      <c r="Q136" s="237"/>
      <c r="R136" s="237"/>
      <c r="S136" s="237"/>
      <c r="T136" s="237"/>
      <c r="U136" s="237"/>
      <c r="V136" s="237"/>
      <c r="W136" s="237"/>
      <c r="X136" s="237"/>
      <c r="Y136" s="237"/>
      <c r="Z136" s="237"/>
      <c r="AA136" s="237"/>
      <c r="AB136" s="237"/>
      <c r="AC136" s="237"/>
      <c r="AD136" s="237"/>
      <c r="AE136" s="237"/>
      <c r="AF136" s="237"/>
      <c r="AG136" s="237"/>
      <c r="AH136" s="237"/>
      <c r="AI136" s="237"/>
    </row>
    <row r="137" spans="1:45" ht="17" x14ac:dyDescent="0.45">
      <c r="A137" s="3" t="s">
        <v>586</v>
      </c>
      <c r="B137" s="237"/>
      <c r="C137" s="237"/>
      <c r="D137" s="237"/>
      <c r="E137" s="237"/>
      <c r="F137" s="237"/>
      <c r="G137" s="237"/>
      <c r="H137" s="237"/>
      <c r="I137" s="237"/>
      <c r="J137" s="237"/>
      <c r="K137" s="237"/>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row>
    <row r="138" spans="1:45" x14ac:dyDescent="0.4">
      <c r="A138" s="3" t="s">
        <v>602</v>
      </c>
      <c r="B138" s="237"/>
      <c r="C138" s="237"/>
      <c r="D138" s="237"/>
      <c r="F138" s="237"/>
      <c r="G138" s="237"/>
      <c r="H138" s="237"/>
      <c r="I138" s="237"/>
      <c r="J138" s="237"/>
      <c r="K138" s="237"/>
      <c r="L138" s="237"/>
      <c r="M138" s="237"/>
      <c r="N138" s="237"/>
      <c r="O138" s="237"/>
      <c r="P138" s="237"/>
      <c r="Q138" s="237"/>
      <c r="R138" s="237"/>
      <c r="S138" s="237"/>
      <c r="T138" s="237"/>
      <c r="U138" s="237"/>
      <c r="V138" s="237"/>
      <c r="W138" s="237"/>
      <c r="X138" s="237"/>
      <c r="Y138" s="237"/>
      <c r="Z138" s="237"/>
      <c r="AA138" s="237"/>
      <c r="AB138" s="237"/>
      <c r="AC138" s="237"/>
      <c r="AD138" s="237"/>
      <c r="AE138" s="237"/>
      <c r="AF138" s="237"/>
      <c r="AG138" s="237"/>
      <c r="AH138" s="237"/>
      <c r="AI138" s="237"/>
    </row>
    <row r="139" spans="1:45" ht="16.5" thickBot="1" x14ac:dyDescent="0.45">
      <c r="AM139" s="28"/>
      <c r="AN139" s="28"/>
      <c r="AO139" s="28"/>
      <c r="AP139" s="28"/>
      <c r="AQ139" s="28"/>
      <c r="AR139" s="28"/>
      <c r="AS139" s="28"/>
    </row>
    <row r="140" spans="1:45" ht="16.5" thickBot="1" x14ac:dyDescent="0.45">
      <c r="A140" s="780" t="s">
        <v>929</v>
      </c>
      <c r="AM140" s="28"/>
      <c r="AN140" s="28"/>
      <c r="AO140" s="28"/>
      <c r="AP140" s="28"/>
      <c r="AQ140" s="28"/>
      <c r="AR140" s="28"/>
      <c r="AS140" s="28"/>
    </row>
    <row r="141" spans="1:45" s="28" customFormat="1" x14ac:dyDescent="0.4">
      <c r="A141" s="1283" t="s">
        <v>936</v>
      </c>
      <c r="B141" s="71" t="s">
        <v>136</v>
      </c>
      <c r="C141" s="652" t="s">
        <v>391</v>
      </c>
      <c r="D141" s="652" t="s">
        <v>392</v>
      </c>
      <c r="E141" s="652" t="s">
        <v>393</v>
      </c>
      <c r="F141" s="652" t="s">
        <v>394</v>
      </c>
      <c r="G141" s="652" t="s">
        <v>395</v>
      </c>
      <c r="H141" s="652" t="s">
        <v>396</v>
      </c>
      <c r="I141" s="652" t="s">
        <v>397</v>
      </c>
      <c r="J141" s="652" t="s">
        <v>398</v>
      </c>
      <c r="K141" s="652" t="s">
        <v>399</v>
      </c>
      <c r="L141" s="652" t="s">
        <v>400</v>
      </c>
      <c r="M141" s="652" t="s">
        <v>401</v>
      </c>
      <c r="N141" s="652" t="s">
        <v>402</v>
      </c>
      <c r="O141" s="652" t="s">
        <v>403</v>
      </c>
      <c r="P141" s="652" t="s">
        <v>404</v>
      </c>
      <c r="Q141" s="652" t="s">
        <v>405</v>
      </c>
      <c r="R141" s="652" t="s">
        <v>406</v>
      </c>
      <c r="S141" s="652" t="s">
        <v>407</v>
      </c>
      <c r="T141" s="652" t="s">
        <v>408</v>
      </c>
      <c r="U141" s="652" t="s">
        <v>409</v>
      </c>
      <c r="V141" s="652" t="s">
        <v>410</v>
      </c>
      <c r="W141" s="652" t="s">
        <v>411</v>
      </c>
      <c r="X141" s="652" t="s">
        <v>412</v>
      </c>
      <c r="Y141" s="652" t="s">
        <v>413</v>
      </c>
      <c r="Z141" s="652" t="s">
        <v>414</v>
      </c>
      <c r="AA141" s="652" t="s">
        <v>415</v>
      </c>
      <c r="AB141" s="652" t="s">
        <v>416</v>
      </c>
      <c r="AC141" s="652" t="s">
        <v>417</v>
      </c>
      <c r="AD141" s="652" t="s">
        <v>418</v>
      </c>
      <c r="AE141" s="652" t="s">
        <v>419</v>
      </c>
      <c r="AF141" s="652" t="s">
        <v>420</v>
      </c>
      <c r="AG141" s="652" t="s">
        <v>421</v>
      </c>
      <c r="AH141" s="652" t="s">
        <v>422</v>
      </c>
      <c r="AI141" s="652" t="s">
        <v>423</v>
      </c>
      <c r="AJ141" s="652" t="s">
        <v>424</v>
      </c>
      <c r="AK141" s="3"/>
      <c r="AL141" s="3"/>
    </row>
    <row r="142" spans="1:45" x14ac:dyDescent="0.4">
      <c r="A142" s="804" t="s">
        <v>603</v>
      </c>
      <c r="B142" s="526" t="s">
        <v>582</v>
      </c>
      <c r="C142" s="748">
        <v>0</v>
      </c>
      <c r="D142" s="748">
        <v>0</v>
      </c>
      <c r="E142" s="748">
        <v>0</v>
      </c>
      <c r="F142" s="748">
        <v>0</v>
      </c>
      <c r="G142" s="748">
        <v>0</v>
      </c>
      <c r="H142" s="748">
        <v>0</v>
      </c>
      <c r="I142" s="748">
        <v>0</v>
      </c>
      <c r="J142" s="748">
        <v>0</v>
      </c>
      <c r="K142" s="748">
        <v>0</v>
      </c>
      <c r="L142" s="748">
        <v>0</v>
      </c>
      <c r="M142" s="748">
        <v>0</v>
      </c>
      <c r="N142" s="748">
        <v>0</v>
      </c>
      <c r="O142" s="748">
        <v>1</v>
      </c>
      <c r="P142" s="748">
        <v>1</v>
      </c>
      <c r="Q142" s="748">
        <v>10</v>
      </c>
      <c r="R142" s="748">
        <v>82</v>
      </c>
      <c r="S142" s="748">
        <v>224</v>
      </c>
      <c r="T142" s="748">
        <v>237</v>
      </c>
      <c r="U142" s="748">
        <v>189</v>
      </c>
      <c r="V142" s="748">
        <v>204</v>
      </c>
      <c r="W142" s="748">
        <v>332</v>
      </c>
      <c r="X142" s="748">
        <v>340</v>
      </c>
      <c r="Y142" s="748">
        <v>323</v>
      </c>
      <c r="Z142" s="748">
        <v>342</v>
      </c>
      <c r="AA142" s="748">
        <v>275</v>
      </c>
      <c r="AB142" s="748">
        <v>272</v>
      </c>
      <c r="AC142" s="748">
        <v>273</v>
      </c>
      <c r="AD142" s="748">
        <v>279</v>
      </c>
      <c r="AE142" s="748">
        <v>283</v>
      </c>
      <c r="AF142" s="748">
        <v>291</v>
      </c>
      <c r="AG142" s="748">
        <v>295</v>
      </c>
      <c r="AH142" s="748">
        <v>295</v>
      </c>
      <c r="AI142" s="748">
        <v>307</v>
      </c>
      <c r="AJ142" s="526">
        <v>307</v>
      </c>
      <c r="AM142" s="28"/>
      <c r="AN142" s="28"/>
      <c r="AO142" s="28"/>
      <c r="AP142" s="28"/>
      <c r="AQ142" s="28"/>
      <c r="AR142" s="28"/>
      <c r="AS142" s="28"/>
    </row>
    <row r="143" spans="1:45" ht="16.5" thickBot="1" x14ac:dyDescent="0.45">
      <c r="A143" s="747" t="s">
        <v>591</v>
      </c>
      <c r="B143" s="796" t="s">
        <v>583</v>
      </c>
      <c r="C143" s="791">
        <f t="shared" ref="C143:AJ143" si="45">C142*1000</f>
        <v>0</v>
      </c>
      <c r="D143" s="791">
        <f t="shared" si="45"/>
        <v>0</v>
      </c>
      <c r="E143" s="791">
        <f t="shared" si="45"/>
        <v>0</v>
      </c>
      <c r="F143" s="791">
        <f t="shared" si="45"/>
        <v>0</v>
      </c>
      <c r="G143" s="791">
        <f t="shared" si="45"/>
        <v>0</v>
      </c>
      <c r="H143" s="791">
        <f t="shared" si="45"/>
        <v>0</v>
      </c>
      <c r="I143" s="791">
        <f t="shared" si="45"/>
        <v>0</v>
      </c>
      <c r="J143" s="791">
        <f t="shared" si="45"/>
        <v>0</v>
      </c>
      <c r="K143" s="791">
        <f t="shared" si="45"/>
        <v>0</v>
      </c>
      <c r="L143" s="791">
        <f t="shared" si="45"/>
        <v>0</v>
      </c>
      <c r="M143" s="791">
        <f t="shared" si="45"/>
        <v>0</v>
      </c>
      <c r="N143" s="791">
        <f t="shared" si="45"/>
        <v>0</v>
      </c>
      <c r="O143" s="791">
        <f t="shared" si="45"/>
        <v>1000</v>
      </c>
      <c r="P143" s="791">
        <f t="shared" si="45"/>
        <v>1000</v>
      </c>
      <c r="Q143" s="791">
        <f t="shared" si="45"/>
        <v>10000</v>
      </c>
      <c r="R143" s="791">
        <f t="shared" si="45"/>
        <v>82000</v>
      </c>
      <c r="S143" s="791">
        <f t="shared" si="45"/>
        <v>224000</v>
      </c>
      <c r="T143" s="791">
        <f t="shared" si="45"/>
        <v>237000</v>
      </c>
      <c r="U143" s="791">
        <f t="shared" si="45"/>
        <v>189000</v>
      </c>
      <c r="V143" s="791">
        <f t="shared" si="45"/>
        <v>204000</v>
      </c>
      <c r="W143" s="791">
        <f t="shared" si="45"/>
        <v>332000</v>
      </c>
      <c r="X143" s="791">
        <f t="shared" si="45"/>
        <v>340000</v>
      </c>
      <c r="Y143" s="791">
        <f t="shared" si="45"/>
        <v>323000</v>
      </c>
      <c r="Z143" s="791">
        <f t="shared" si="45"/>
        <v>342000</v>
      </c>
      <c r="AA143" s="791">
        <f t="shared" si="45"/>
        <v>275000</v>
      </c>
      <c r="AB143" s="791">
        <f t="shared" si="45"/>
        <v>272000</v>
      </c>
      <c r="AC143" s="791">
        <f t="shared" si="45"/>
        <v>273000</v>
      </c>
      <c r="AD143" s="791">
        <f t="shared" si="45"/>
        <v>279000</v>
      </c>
      <c r="AE143" s="791">
        <f t="shared" si="45"/>
        <v>283000</v>
      </c>
      <c r="AF143" s="791">
        <f t="shared" si="45"/>
        <v>291000</v>
      </c>
      <c r="AG143" s="791">
        <f t="shared" si="45"/>
        <v>295000</v>
      </c>
      <c r="AH143" s="791">
        <f t="shared" si="45"/>
        <v>295000</v>
      </c>
      <c r="AI143" s="791">
        <f t="shared" si="45"/>
        <v>307000</v>
      </c>
      <c r="AJ143" s="791">
        <f t="shared" si="45"/>
        <v>307000</v>
      </c>
      <c r="AM143" s="28"/>
      <c r="AN143" s="28"/>
      <c r="AO143" s="28"/>
      <c r="AP143" s="28"/>
      <c r="AQ143" s="28"/>
      <c r="AR143" s="28"/>
      <c r="AS143" s="28"/>
    </row>
    <row r="144" spans="1:45" ht="17" x14ac:dyDescent="0.45">
      <c r="A144" s="1444" t="s">
        <v>1349</v>
      </c>
      <c r="B144" s="801" t="s">
        <v>584</v>
      </c>
      <c r="C144" s="772">
        <f t="shared" ref="C144:AJ144" si="46">C143*$C$228</f>
        <v>0</v>
      </c>
      <c r="D144" s="772">
        <f t="shared" si="46"/>
        <v>0</v>
      </c>
      <c r="E144" s="772">
        <f t="shared" si="46"/>
        <v>0</v>
      </c>
      <c r="F144" s="772">
        <f t="shared" si="46"/>
        <v>0</v>
      </c>
      <c r="G144" s="772">
        <f t="shared" si="46"/>
        <v>0</v>
      </c>
      <c r="H144" s="772">
        <f t="shared" si="46"/>
        <v>0</v>
      </c>
      <c r="I144" s="772">
        <f t="shared" si="46"/>
        <v>0</v>
      </c>
      <c r="J144" s="772">
        <f t="shared" si="46"/>
        <v>0</v>
      </c>
      <c r="K144" s="772">
        <f t="shared" si="46"/>
        <v>0</v>
      </c>
      <c r="L144" s="772">
        <f t="shared" si="46"/>
        <v>0</v>
      </c>
      <c r="M144" s="772">
        <f t="shared" si="46"/>
        <v>0</v>
      </c>
      <c r="N144" s="772">
        <f t="shared" si="46"/>
        <v>0</v>
      </c>
      <c r="O144" s="772">
        <f t="shared" si="46"/>
        <v>150884.37211279999</v>
      </c>
      <c r="P144" s="772">
        <f t="shared" si="46"/>
        <v>150884.37211279999</v>
      </c>
      <c r="Q144" s="772">
        <f t="shared" si="46"/>
        <v>1508843.7211279997</v>
      </c>
      <c r="R144" s="772">
        <f t="shared" si="46"/>
        <v>12372518.513249598</v>
      </c>
      <c r="S144" s="772">
        <f t="shared" si="46"/>
        <v>33798099.353267193</v>
      </c>
      <c r="T144" s="772">
        <f t="shared" si="46"/>
        <v>35759596.190733597</v>
      </c>
      <c r="U144" s="772">
        <f t="shared" si="46"/>
        <v>28517146.329319198</v>
      </c>
      <c r="V144" s="772">
        <f t="shared" si="46"/>
        <v>30780411.911011197</v>
      </c>
      <c r="W144" s="772">
        <f t="shared" si="46"/>
        <v>50093611.541449592</v>
      </c>
      <c r="X144" s="772">
        <f t="shared" si="46"/>
        <v>51300686.518351994</v>
      </c>
      <c r="Y144" s="772">
        <f t="shared" si="46"/>
        <v>48735652.192434393</v>
      </c>
      <c r="Z144" s="772">
        <f t="shared" si="46"/>
        <v>51602455.262577593</v>
      </c>
      <c r="AA144" s="772">
        <f t="shared" si="46"/>
        <v>41493202.331019998</v>
      </c>
      <c r="AB144" s="772">
        <f t="shared" si="46"/>
        <v>41040549.214681596</v>
      </c>
      <c r="AC144" s="772">
        <f t="shared" si="46"/>
        <v>41191433.586794391</v>
      </c>
      <c r="AD144" s="772">
        <f t="shared" si="46"/>
        <v>42096739.819471195</v>
      </c>
      <c r="AE144" s="772">
        <f t="shared" si="46"/>
        <v>42700277.307922393</v>
      </c>
      <c r="AF144" s="772">
        <f t="shared" si="46"/>
        <v>43907352.284824796</v>
      </c>
      <c r="AG144" s="772">
        <f t="shared" si="46"/>
        <v>44510889.773275994</v>
      </c>
      <c r="AH144" s="772">
        <f t="shared" si="46"/>
        <v>44510889.773275994</v>
      </c>
      <c r="AI144" s="772">
        <f t="shared" si="46"/>
        <v>46321502.238629594</v>
      </c>
      <c r="AJ144" s="772">
        <f t="shared" si="46"/>
        <v>46321502.238629594</v>
      </c>
      <c r="AM144" s="28"/>
      <c r="AN144" s="28"/>
      <c r="AO144" s="28"/>
      <c r="AP144" s="28"/>
      <c r="AQ144" s="28"/>
      <c r="AR144" s="28"/>
      <c r="AS144" s="28"/>
    </row>
    <row r="145" spans="1:45" ht="17" x14ac:dyDescent="0.45">
      <c r="A145" s="1445" t="s">
        <v>1349</v>
      </c>
      <c r="B145" s="1443" t="s">
        <v>1189</v>
      </c>
      <c r="C145" s="766">
        <f t="shared" ref="C145:AJ145" si="47">C144/($B$244*1000000)</f>
        <v>0</v>
      </c>
      <c r="D145" s="766">
        <f t="shared" si="47"/>
        <v>0</v>
      </c>
      <c r="E145" s="766">
        <f t="shared" si="47"/>
        <v>0</v>
      </c>
      <c r="F145" s="766">
        <f t="shared" si="47"/>
        <v>0</v>
      </c>
      <c r="G145" s="766">
        <f t="shared" si="47"/>
        <v>0</v>
      </c>
      <c r="H145" s="766">
        <f t="shared" si="47"/>
        <v>0</v>
      </c>
      <c r="I145" s="766">
        <f t="shared" si="47"/>
        <v>0</v>
      </c>
      <c r="J145" s="766">
        <f t="shared" si="47"/>
        <v>0</v>
      </c>
      <c r="K145" s="766">
        <f t="shared" si="47"/>
        <v>0</v>
      </c>
      <c r="L145" s="766">
        <f t="shared" si="47"/>
        <v>0</v>
      </c>
      <c r="M145" s="766">
        <f t="shared" si="47"/>
        <v>0</v>
      </c>
      <c r="N145" s="766">
        <f t="shared" si="47"/>
        <v>0</v>
      </c>
      <c r="O145" s="766">
        <f t="shared" si="47"/>
        <v>6.8439999999999988E-5</v>
      </c>
      <c r="P145" s="766">
        <f t="shared" si="47"/>
        <v>6.8439999999999988E-5</v>
      </c>
      <c r="Q145" s="766">
        <f t="shared" si="47"/>
        <v>6.8439999999999983E-4</v>
      </c>
      <c r="R145" s="766">
        <f t="shared" si="47"/>
        <v>5.6120799999999993E-3</v>
      </c>
      <c r="S145" s="766">
        <f t="shared" si="47"/>
        <v>1.5330559999999997E-2</v>
      </c>
      <c r="T145" s="766">
        <f t="shared" si="47"/>
        <v>1.622028E-2</v>
      </c>
      <c r="U145" s="766">
        <f t="shared" si="47"/>
        <v>1.2935159999999999E-2</v>
      </c>
      <c r="V145" s="766">
        <f t="shared" si="47"/>
        <v>1.3961759999999998E-2</v>
      </c>
      <c r="W145" s="766">
        <f t="shared" si="47"/>
        <v>2.2722079999999995E-2</v>
      </c>
      <c r="X145" s="766">
        <f t="shared" si="47"/>
        <v>2.3269599999999998E-2</v>
      </c>
      <c r="Y145" s="766">
        <f t="shared" si="47"/>
        <v>2.2106119999999996E-2</v>
      </c>
      <c r="Z145" s="766">
        <f t="shared" si="47"/>
        <v>2.3406479999999997E-2</v>
      </c>
      <c r="AA145" s="766">
        <f t="shared" si="47"/>
        <v>1.8820999999999997E-2</v>
      </c>
      <c r="AB145" s="766">
        <f t="shared" si="47"/>
        <v>1.8615679999999999E-2</v>
      </c>
      <c r="AC145" s="766">
        <f t="shared" si="47"/>
        <v>1.8684119999999995E-2</v>
      </c>
      <c r="AD145" s="766">
        <f t="shared" si="47"/>
        <v>1.9094759999999999E-2</v>
      </c>
      <c r="AE145" s="766">
        <f t="shared" si="47"/>
        <v>1.9368519999999997E-2</v>
      </c>
      <c r="AF145" s="766">
        <f t="shared" si="47"/>
        <v>1.9916039999999999E-2</v>
      </c>
      <c r="AG145" s="766">
        <f t="shared" si="47"/>
        <v>2.0189799999999997E-2</v>
      </c>
      <c r="AH145" s="766">
        <f t="shared" si="47"/>
        <v>2.0189799999999997E-2</v>
      </c>
      <c r="AI145" s="766">
        <f t="shared" si="47"/>
        <v>2.1011079999999998E-2</v>
      </c>
      <c r="AJ145" s="766">
        <f t="shared" si="47"/>
        <v>2.1011079999999998E-2</v>
      </c>
      <c r="AM145" s="28"/>
      <c r="AN145" s="28"/>
      <c r="AO145" s="28"/>
      <c r="AP145" s="28"/>
      <c r="AQ145" s="28"/>
      <c r="AR145" s="28"/>
      <c r="AS145" s="28"/>
    </row>
    <row r="146" spans="1:45" ht="17" x14ac:dyDescent="0.45">
      <c r="A146" s="1446" t="s">
        <v>1042</v>
      </c>
      <c r="B146" s="798" t="s">
        <v>584</v>
      </c>
      <c r="C146" s="802">
        <f t="shared" ref="C146:AJ146" si="48">C143*$D$228</f>
        <v>0</v>
      </c>
      <c r="D146" s="802">
        <f t="shared" si="48"/>
        <v>0</v>
      </c>
      <c r="E146" s="802">
        <f t="shared" si="48"/>
        <v>0</v>
      </c>
      <c r="F146" s="802">
        <f t="shared" si="48"/>
        <v>0</v>
      </c>
      <c r="G146" s="802">
        <f t="shared" si="48"/>
        <v>0</v>
      </c>
      <c r="H146" s="802">
        <f t="shared" si="48"/>
        <v>0</v>
      </c>
      <c r="I146" s="802">
        <f t="shared" si="48"/>
        <v>0</v>
      </c>
      <c r="J146" s="802">
        <f t="shared" si="48"/>
        <v>0</v>
      </c>
      <c r="K146" s="802">
        <f t="shared" si="48"/>
        <v>0</v>
      </c>
      <c r="L146" s="802">
        <f t="shared" si="48"/>
        <v>0</v>
      </c>
      <c r="M146" s="802">
        <f t="shared" si="48"/>
        <v>0</v>
      </c>
      <c r="N146" s="802">
        <f t="shared" si="48"/>
        <v>0</v>
      </c>
      <c r="O146" s="802">
        <f t="shared" si="48"/>
        <v>2.4250848820000002</v>
      </c>
      <c r="P146" s="802">
        <f t="shared" si="48"/>
        <v>2.4250848820000002</v>
      </c>
      <c r="Q146" s="802">
        <f t="shared" si="48"/>
        <v>24.250848820000002</v>
      </c>
      <c r="R146" s="802">
        <f t="shared" si="48"/>
        <v>198.856960324</v>
      </c>
      <c r="S146" s="802">
        <f t="shared" si="48"/>
        <v>543.21901356800004</v>
      </c>
      <c r="T146" s="802">
        <f t="shared" si="48"/>
        <v>574.74511703400003</v>
      </c>
      <c r="U146" s="802">
        <f t="shared" si="48"/>
        <v>458.34104269800002</v>
      </c>
      <c r="V146" s="802">
        <f t="shared" si="48"/>
        <v>494.717315928</v>
      </c>
      <c r="W146" s="802">
        <f t="shared" si="48"/>
        <v>805.12818082399997</v>
      </c>
      <c r="X146" s="802">
        <f t="shared" si="48"/>
        <v>824.52885988000003</v>
      </c>
      <c r="Y146" s="802">
        <f t="shared" si="48"/>
        <v>783.30241688600006</v>
      </c>
      <c r="Z146" s="802">
        <f t="shared" si="48"/>
        <v>829.37902964399996</v>
      </c>
      <c r="AA146" s="802">
        <f t="shared" si="48"/>
        <v>666.89834255000005</v>
      </c>
      <c r="AB146" s="802">
        <f t="shared" si="48"/>
        <v>659.62308790400004</v>
      </c>
      <c r="AC146" s="802">
        <f t="shared" si="48"/>
        <v>662.04817278600001</v>
      </c>
      <c r="AD146" s="802">
        <f t="shared" si="48"/>
        <v>676.59868207800002</v>
      </c>
      <c r="AE146" s="802">
        <f t="shared" si="48"/>
        <v>686.299021606</v>
      </c>
      <c r="AF146" s="802">
        <f t="shared" si="48"/>
        <v>705.69970066200005</v>
      </c>
      <c r="AG146" s="802">
        <f t="shared" si="48"/>
        <v>715.40004019000003</v>
      </c>
      <c r="AH146" s="802">
        <f t="shared" si="48"/>
        <v>715.40004019000003</v>
      </c>
      <c r="AI146" s="802">
        <f t="shared" si="48"/>
        <v>744.50105877400006</v>
      </c>
      <c r="AJ146" s="802">
        <f t="shared" si="48"/>
        <v>744.50105877400006</v>
      </c>
      <c r="AM146" s="28"/>
      <c r="AN146" s="28"/>
      <c r="AO146" s="28"/>
      <c r="AP146" s="28"/>
      <c r="AQ146" s="28"/>
      <c r="AR146" s="28"/>
      <c r="AS146" s="28"/>
    </row>
    <row r="147" spans="1:45" ht="17" x14ac:dyDescent="0.45">
      <c r="A147" s="1447" t="s">
        <v>1353</v>
      </c>
      <c r="B147" s="798" t="s">
        <v>584</v>
      </c>
      <c r="C147" s="748">
        <f t="shared" ref="C147:AJ147" si="49">C146*$B$249</f>
        <v>0</v>
      </c>
      <c r="D147" s="748">
        <f t="shared" si="49"/>
        <v>0</v>
      </c>
      <c r="E147" s="748">
        <f t="shared" si="49"/>
        <v>0</v>
      </c>
      <c r="F147" s="748">
        <f t="shared" si="49"/>
        <v>0</v>
      </c>
      <c r="G147" s="748">
        <f t="shared" si="49"/>
        <v>0</v>
      </c>
      <c r="H147" s="748">
        <f t="shared" si="49"/>
        <v>0</v>
      </c>
      <c r="I147" s="748">
        <f t="shared" si="49"/>
        <v>0</v>
      </c>
      <c r="J147" s="748">
        <f t="shared" si="49"/>
        <v>0</v>
      </c>
      <c r="K147" s="748">
        <f t="shared" si="49"/>
        <v>0</v>
      </c>
      <c r="L147" s="748">
        <f t="shared" si="49"/>
        <v>0</v>
      </c>
      <c r="M147" s="748">
        <f t="shared" si="49"/>
        <v>0</v>
      </c>
      <c r="N147" s="748">
        <f t="shared" si="49"/>
        <v>0</v>
      </c>
      <c r="O147" s="748">
        <f t="shared" si="49"/>
        <v>60.627122050000004</v>
      </c>
      <c r="P147" s="748">
        <f t="shared" si="49"/>
        <v>60.627122050000004</v>
      </c>
      <c r="Q147" s="748">
        <f t="shared" si="49"/>
        <v>606.27122050000003</v>
      </c>
      <c r="R147" s="748">
        <f t="shared" si="49"/>
        <v>4971.4240080999998</v>
      </c>
      <c r="S147" s="748">
        <f t="shared" si="49"/>
        <v>13580.4753392</v>
      </c>
      <c r="T147" s="748">
        <f t="shared" si="49"/>
        <v>14368.62792585</v>
      </c>
      <c r="U147" s="748">
        <f t="shared" si="49"/>
        <v>11458.52606745</v>
      </c>
      <c r="V147" s="748">
        <f t="shared" si="49"/>
        <v>12367.932898200001</v>
      </c>
      <c r="W147" s="748">
        <f t="shared" si="49"/>
        <v>20128.2045206</v>
      </c>
      <c r="X147" s="748">
        <f t="shared" si="49"/>
        <v>20613.221497000002</v>
      </c>
      <c r="Y147" s="748">
        <f t="shared" si="49"/>
        <v>19582.56042215</v>
      </c>
      <c r="Z147" s="748">
        <f t="shared" si="49"/>
        <v>20734.475741099999</v>
      </c>
      <c r="AA147" s="748">
        <f t="shared" si="49"/>
        <v>16672.458563750002</v>
      </c>
      <c r="AB147" s="748">
        <f t="shared" si="49"/>
        <v>16490.5771976</v>
      </c>
      <c r="AC147" s="748">
        <f t="shared" si="49"/>
        <v>16551.204319650002</v>
      </c>
      <c r="AD147" s="748">
        <f t="shared" si="49"/>
        <v>16914.96705195</v>
      </c>
      <c r="AE147" s="748">
        <f t="shared" si="49"/>
        <v>17157.475540150001</v>
      </c>
      <c r="AF147" s="748">
        <f t="shared" si="49"/>
        <v>17642.492516550003</v>
      </c>
      <c r="AG147" s="748">
        <f t="shared" si="49"/>
        <v>17885.00100475</v>
      </c>
      <c r="AH147" s="748">
        <f t="shared" si="49"/>
        <v>17885.00100475</v>
      </c>
      <c r="AI147" s="748">
        <f t="shared" si="49"/>
        <v>18612.526469350003</v>
      </c>
      <c r="AJ147" s="748">
        <f t="shared" si="49"/>
        <v>18612.526469350003</v>
      </c>
      <c r="AM147" s="28"/>
      <c r="AN147" s="28"/>
      <c r="AO147" s="28"/>
      <c r="AP147" s="28"/>
      <c r="AQ147" s="28"/>
      <c r="AR147" s="28"/>
      <c r="AS147" s="28"/>
    </row>
    <row r="148" spans="1:45" ht="17" x14ac:dyDescent="0.45">
      <c r="A148" s="1448" t="s">
        <v>1354</v>
      </c>
      <c r="B148" s="1443" t="s">
        <v>1189</v>
      </c>
      <c r="C148" s="766">
        <f t="shared" ref="C148:AJ148" si="50">C147/($B$244*1000000)</f>
        <v>0</v>
      </c>
      <c r="D148" s="766">
        <f t="shared" si="50"/>
        <v>0</v>
      </c>
      <c r="E148" s="766">
        <f t="shared" si="50"/>
        <v>0</v>
      </c>
      <c r="F148" s="766">
        <f t="shared" si="50"/>
        <v>0</v>
      </c>
      <c r="G148" s="766">
        <f t="shared" si="50"/>
        <v>0</v>
      </c>
      <c r="H148" s="766">
        <f t="shared" si="50"/>
        <v>0</v>
      </c>
      <c r="I148" s="766">
        <f t="shared" si="50"/>
        <v>0</v>
      </c>
      <c r="J148" s="766">
        <f t="shared" si="50"/>
        <v>0</v>
      </c>
      <c r="K148" s="766">
        <f t="shared" si="50"/>
        <v>0</v>
      </c>
      <c r="L148" s="766">
        <f t="shared" si="50"/>
        <v>0</v>
      </c>
      <c r="M148" s="766">
        <f t="shared" si="50"/>
        <v>0</v>
      </c>
      <c r="N148" s="766">
        <f t="shared" si="50"/>
        <v>0</v>
      </c>
      <c r="O148" s="766">
        <f t="shared" si="50"/>
        <v>2.7500000000000001E-8</v>
      </c>
      <c r="P148" s="766">
        <f t="shared" si="50"/>
        <v>2.7500000000000001E-8</v>
      </c>
      <c r="Q148" s="766">
        <f t="shared" si="50"/>
        <v>2.7500000000000001E-7</v>
      </c>
      <c r="R148" s="766">
        <f t="shared" si="50"/>
        <v>2.255E-6</v>
      </c>
      <c r="S148" s="766">
        <f t="shared" si="50"/>
        <v>6.1600000000000003E-6</v>
      </c>
      <c r="T148" s="766">
        <f t="shared" si="50"/>
        <v>6.5174999999999999E-6</v>
      </c>
      <c r="U148" s="766">
        <f t="shared" si="50"/>
        <v>5.1975000000000006E-6</v>
      </c>
      <c r="V148" s="766">
        <f t="shared" si="50"/>
        <v>5.6100000000000005E-6</v>
      </c>
      <c r="W148" s="766">
        <f t="shared" si="50"/>
        <v>9.1300000000000007E-6</v>
      </c>
      <c r="X148" s="766">
        <f t="shared" si="50"/>
        <v>9.3500000000000003E-6</v>
      </c>
      <c r="Y148" s="766">
        <f t="shared" si="50"/>
        <v>8.8825000000000001E-6</v>
      </c>
      <c r="Z148" s="766">
        <f t="shared" si="50"/>
        <v>9.4049999999999989E-6</v>
      </c>
      <c r="AA148" s="766">
        <f t="shared" si="50"/>
        <v>7.5625000000000009E-6</v>
      </c>
      <c r="AB148" s="766">
        <f t="shared" si="50"/>
        <v>7.4799999999999995E-6</v>
      </c>
      <c r="AC148" s="766">
        <f t="shared" si="50"/>
        <v>7.5075000000000005E-6</v>
      </c>
      <c r="AD148" s="766">
        <f t="shared" si="50"/>
        <v>7.6724999999999998E-6</v>
      </c>
      <c r="AE148" s="766">
        <f t="shared" si="50"/>
        <v>7.7825000000000004E-6</v>
      </c>
      <c r="AF148" s="766">
        <f t="shared" si="50"/>
        <v>8.0025000000000017E-6</v>
      </c>
      <c r="AG148" s="766">
        <f t="shared" si="50"/>
        <v>8.1125000000000007E-6</v>
      </c>
      <c r="AH148" s="766">
        <f t="shared" si="50"/>
        <v>8.1125000000000007E-6</v>
      </c>
      <c r="AI148" s="766">
        <f t="shared" si="50"/>
        <v>8.4425000000000009E-6</v>
      </c>
      <c r="AJ148" s="766">
        <f t="shared" si="50"/>
        <v>8.4425000000000009E-6</v>
      </c>
      <c r="AM148" s="28"/>
      <c r="AN148" s="28"/>
      <c r="AO148" s="28"/>
      <c r="AP148" s="28"/>
      <c r="AQ148" s="28"/>
      <c r="AR148" s="28"/>
      <c r="AS148" s="28"/>
    </row>
    <row r="149" spans="1:45" ht="17" x14ac:dyDescent="0.45">
      <c r="A149" s="1449" t="s">
        <v>967</v>
      </c>
      <c r="B149" s="798" t="s">
        <v>584</v>
      </c>
      <c r="C149" s="802">
        <f t="shared" ref="C149:AJ149" si="51">C143*$E$228</f>
        <v>0</v>
      </c>
      <c r="D149" s="802">
        <f t="shared" si="51"/>
        <v>0</v>
      </c>
      <c r="E149" s="802">
        <f t="shared" si="51"/>
        <v>0</v>
      </c>
      <c r="F149" s="802">
        <f t="shared" si="51"/>
        <v>0</v>
      </c>
      <c r="G149" s="802">
        <f t="shared" si="51"/>
        <v>0</v>
      </c>
      <c r="H149" s="802">
        <f t="shared" si="51"/>
        <v>0</v>
      </c>
      <c r="I149" s="802">
        <f t="shared" si="51"/>
        <v>0</v>
      </c>
      <c r="J149" s="802">
        <f t="shared" si="51"/>
        <v>0</v>
      </c>
      <c r="K149" s="802">
        <f t="shared" si="51"/>
        <v>0</v>
      </c>
      <c r="L149" s="802">
        <f t="shared" si="51"/>
        <v>0</v>
      </c>
      <c r="M149" s="802">
        <f t="shared" si="51"/>
        <v>0</v>
      </c>
      <c r="N149" s="802">
        <f t="shared" si="51"/>
        <v>0</v>
      </c>
      <c r="O149" s="802">
        <f t="shared" si="51"/>
        <v>0.24250848819999998</v>
      </c>
      <c r="P149" s="802">
        <f t="shared" si="51"/>
        <v>0.24250848819999998</v>
      </c>
      <c r="Q149" s="802">
        <f t="shared" si="51"/>
        <v>2.4250848819999997</v>
      </c>
      <c r="R149" s="802">
        <f t="shared" si="51"/>
        <v>19.885696032399999</v>
      </c>
      <c r="S149" s="802">
        <f t="shared" si="51"/>
        <v>54.321901356799998</v>
      </c>
      <c r="T149" s="802">
        <f t="shared" si="51"/>
        <v>57.474511703399997</v>
      </c>
      <c r="U149" s="802">
        <f t="shared" si="51"/>
        <v>45.834104269800001</v>
      </c>
      <c r="V149" s="802">
        <f t="shared" si="51"/>
        <v>49.471731592799998</v>
      </c>
      <c r="W149" s="802">
        <f t="shared" si="51"/>
        <v>80.512818082400003</v>
      </c>
      <c r="X149" s="802">
        <f t="shared" si="51"/>
        <v>82.452885987999991</v>
      </c>
      <c r="Y149" s="802">
        <f t="shared" si="51"/>
        <v>78.330241688599997</v>
      </c>
      <c r="Z149" s="802">
        <f t="shared" si="51"/>
        <v>82.937902964399996</v>
      </c>
      <c r="AA149" s="802">
        <f t="shared" si="51"/>
        <v>66.689834254999994</v>
      </c>
      <c r="AB149" s="802">
        <f t="shared" si="51"/>
        <v>65.962308790400002</v>
      </c>
      <c r="AC149" s="802">
        <f t="shared" si="51"/>
        <v>66.20481727859999</v>
      </c>
      <c r="AD149" s="802">
        <f t="shared" si="51"/>
        <v>67.659868207800002</v>
      </c>
      <c r="AE149" s="802">
        <f t="shared" si="51"/>
        <v>68.629902160599997</v>
      </c>
      <c r="AF149" s="802">
        <f t="shared" si="51"/>
        <v>70.5699700662</v>
      </c>
      <c r="AG149" s="802">
        <f t="shared" si="51"/>
        <v>71.540004018999994</v>
      </c>
      <c r="AH149" s="802">
        <f t="shared" si="51"/>
        <v>71.540004018999994</v>
      </c>
      <c r="AI149" s="802">
        <f t="shared" si="51"/>
        <v>74.450105877399992</v>
      </c>
      <c r="AJ149" s="802">
        <f t="shared" si="51"/>
        <v>74.450105877399992</v>
      </c>
      <c r="AM149" s="28"/>
      <c r="AN149" s="28"/>
      <c r="AO149" s="28"/>
      <c r="AP149" s="28"/>
      <c r="AQ149" s="28"/>
      <c r="AR149" s="28"/>
      <c r="AS149" s="28"/>
    </row>
    <row r="150" spans="1:45" ht="17" x14ac:dyDescent="0.45">
      <c r="A150" s="1447" t="s">
        <v>1355</v>
      </c>
      <c r="B150" s="798" t="s">
        <v>584</v>
      </c>
      <c r="C150" s="748">
        <f t="shared" ref="C150:AJ150" si="52">C149*$B$250</f>
        <v>0</v>
      </c>
      <c r="D150" s="748">
        <f t="shared" si="52"/>
        <v>0</v>
      </c>
      <c r="E150" s="748">
        <f t="shared" si="52"/>
        <v>0</v>
      </c>
      <c r="F150" s="748">
        <f t="shared" si="52"/>
        <v>0</v>
      </c>
      <c r="G150" s="748">
        <f t="shared" si="52"/>
        <v>0</v>
      </c>
      <c r="H150" s="748">
        <f t="shared" si="52"/>
        <v>0</v>
      </c>
      <c r="I150" s="748">
        <f t="shared" si="52"/>
        <v>0</v>
      </c>
      <c r="J150" s="748">
        <f t="shared" si="52"/>
        <v>0</v>
      </c>
      <c r="K150" s="748">
        <f t="shared" si="52"/>
        <v>0</v>
      </c>
      <c r="L150" s="748">
        <f t="shared" si="52"/>
        <v>0</v>
      </c>
      <c r="M150" s="748">
        <f t="shared" si="52"/>
        <v>0</v>
      </c>
      <c r="N150" s="748">
        <f t="shared" si="52"/>
        <v>0</v>
      </c>
      <c r="O150" s="748">
        <f t="shared" si="52"/>
        <v>72.267529483600001</v>
      </c>
      <c r="P150" s="748">
        <f t="shared" si="52"/>
        <v>72.267529483600001</v>
      </c>
      <c r="Q150" s="748">
        <f t="shared" si="52"/>
        <v>722.67529483599992</v>
      </c>
      <c r="R150" s="748">
        <f t="shared" si="52"/>
        <v>5925.9374176551992</v>
      </c>
      <c r="S150" s="748">
        <f t="shared" si="52"/>
        <v>16187.9266043264</v>
      </c>
      <c r="T150" s="748">
        <f t="shared" si="52"/>
        <v>17127.404487613199</v>
      </c>
      <c r="U150" s="748">
        <f t="shared" si="52"/>
        <v>13658.5630724004</v>
      </c>
      <c r="V150" s="748">
        <f t="shared" si="52"/>
        <v>14742.5760146544</v>
      </c>
      <c r="W150" s="748">
        <f t="shared" si="52"/>
        <v>23992.8197885552</v>
      </c>
      <c r="X150" s="748">
        <f t="shared" si="52"/>
        <v>24570.960024423999</v>
      </c>
      <c r="Y150" s="748">
        <f t="shared" si="52"/>
        <v>23342.4120232028</v>
      </c>
      <c r="Z150" s="748">
        <f t="shared" si="52"/>
        <v>24715.495083391197</v>
      </c>
      <c r="AA150" s="748">
        <f t="shared" si="52"/>
        <v>19873.570607989997</v>
      </c>
      <c r="AB150" s="748">
        <f t="shared" si="52"/>
        <v>19656.768019539202</v>
      </c>
      <c r="AC150" s="748">
        <f t="shared" si="52"/>
        <v>19729.035549022796</v>
      </c>
      <c r="AD150" s="748">
        <f t="shared" si="52"/>
        <v>20162.640725924401</v>
      </c>
      <c r="AE150" s="748">
        <f t="shared" si="52"/>
        <v>20451.7108438588</v>
      </c>
      <c r="AF150" s="748">
        <f t="shared" si="52"/>
        <v>21029.851079727599</v>
      </c>
      <c r="AG150" s="748">
        <f t="shared" si="52"/>
        <v>21318.921197661999</v>
      </c>
      <c r="AH150" s="748">
        <f t="shared" si="52"/>
        <v>21318.921197661999</v>
      </c>
      <c r="AI150" s="748">
        <f t="shared" si="52"/>
        <v>22186.131551465198</v>
      </c>
      <c r="AJ150" s="748">
        <f t="shared" si="52"/>
        <v>22186.131551465198</v>
      </c>
      <c r="AM150" s="28"/>
      <c r="AN150" s="28"/>
      <c r="AO150" s="28"/>
      <c r="AP150" s="28"/>
      <c r="AQ150" s="28"/>
      <c r="AR150" s="28"/>
      <c r="AS150" s="28"/>
    </row>
    <row r="151" spans="1:45" ht="17" x14ac:dyDescent="0.45">
      <c r="A151" s="1450" t="s">
        <v>1356</v>
      </c>
      <c r="B151" s="1443" t="s">
        <v>1189</v>
      </c>
      <c r="C151" s="766">
        <f t="shared" ref="C151:AJ151" si="53">C150/($B$244*1000000)</f>
        <v>0</v>
      </c>
      <c r="D151" s="766">
        <f t="shared" si="53"/>
        <v>0</v>
      </c>
      <c r="E151" s="766">
        <f t="shared" si="53"/>
        <v>0</v>
      </c>
      <c r="F151" s="766">
        <f t="shared" si="53"/>
        <v>0</v>
      </c>
      <c r="G151" s="766">
        <f t="shared" si="53"/>
        <v>0</v>
      </c>
      <c r="H151" s="766">
        <f t="shared" si="53"/>
        <v>0</v>
      </c>
      <c r="I151" s="766">
        <f t="shared" si="53"/>
        <v>0</v>
      </c>
      <c r="J151" s="766">
        <f t="shared" si="53"/>
        <v>0</v>
      </c>
      <c r="K151" s="766">
        <f t="shared" si="53"/>
        <v>0</v>
      </c>
      <c r="L151" s="766">
        <f t="shared" si="53"/>
        <v>0</v>
      </c>
      <c r="M151" s="766">
        <f t="shared" si="53"/>
        <v>0</v>
      </c>
      <c r="N151" s="766">
        <f t="shared" si="53"/>
        <v>0</v>
      </c>
      <c r="O151" s="766">
        <f t="shared" si="53"/>
        <v>3.278E-8</v>
      </c>
      <c r="P151" s="766">
        <f t="shared" si="53"/>
        <v>3.278E-8</v>
      </c>
      <c r="Q151" s="766">
        <f t="shared" si="53"/>
        <v>3.2779999999999996E-7</v>
      </c>
      <c r="R151" s="766">
        <f t="shared" si="53"/>
        <v>2.6879599999999997E-6</v>
      </c>
      <c r="S151" s="766">
        <f t="shared" si="53"/>
        <v>7.3427199999999997E-6</v>
      </c>
      <c r="T151" s="766">
        <f t="shared" si="53"/>
        <v>7.76886E-6</v>
      </c>
      <c r="U151" s="766">
        <f t="shared" si="53"/>
        <v>6.1954200000000006E-6</v>
      </c>
      <c r="V151" s="766">
        <f t="shared" si="53"/>
        <v>6.6871199999999996E-6</v>
      </c>
      <c r="W151" s="766">
        <f t="shared" si="53"/>
        <v>1.088296E-5</v>
      </c>
      <c r="X151" s="766">
        <f t="shared" si="53"/>
        <v>1.11452E-5</v>
      </c>
      <c r="Y151" s="766">
        <f t="shared" si="53"/>
        <v>1.058794E-5</v>
      </c>
      <c r="Z151" s="766">
        <f t="shared" si="53"/>
        <v>1.1210759999999998E-5</v>
      </c>
      <c r="AA151" s="766">
        <f t="shared" si="53"/>
        <v>9.0144999999999981E-6</v>
      </c>
      <c r="AB151" s="766">
        <f t="shared" si="53"/>
        <v>8.9161600000000017E-6</v>
      </c>
      <c r="AC151" s="766">
        <f t="shared" si="53"/>
        <v>8.9489399999999977E-6</v>
      </c>
      <c r="AD151" s="766">
        <f t="shared" si="53"/>
        <v>9.1456200000000007E-6</v>
      </c>
      <c r="AE151" s="766">
        <f t="shared" si="53"/>
        <v>9.2767399999999999E-6</v>
      </c>
      <c r="AF151" s="766">
        <f t="shared" si="53"/>
        <v>9.5389799999999999E-6</v>
      </c>
      <c r="AG151" s="766">
        <f t="shared" si="53"/>
        <v>9.6700999999999991E-6</v>
      </c>
      <c r="AH151" s="766">
        <f t="shared" si="53"/>
        <v>9.6700999999999991E-6</v>
      </c>
      <c r="AI151" s="766">
        <f t="shared" si="53"/>
        <v>1.0063459999999998E-5</v>
      </c>
      <c r="AJ151" s="766">
        <f t="shared" si="53"/>
        <v>1.0063459999999998E-5</v>
      </c>
      <c r="AM151" s="28"/>
      <c r="AN151" s="28"/>
      <c r="AO151" s="28"/>
      <c r="AP151" s="28"/>
      <c r="AQ151" s="28"/>
      <c r="AR151" s="28"/>
      <c r="AS151" s="28"/>
    </row>
    <row r="152" spans="1:45" ht="17" x14ac:dyDescent="0.45">
      <c r="A152" s="1450" t="s">
        <v>1394</v>
      </c>
      <c r="B152" s="1443" t="s">
        <v>1189</v>
      </c>
      <c r="C152" s="767">
        <f t="shared" ref="C152:AJ152" si="54">C148+C151</f>
        <v>0</v>
      </c>
      <c r="D152" s="767">
        <f t="shared" si="54"/>
        <v>0</v>
      </c>
      <c r="E152" s="767">
        <f t="shared" si="54"/>
        <v>0</v>
      </c>
      <c r="F152" s="767">
        <f t="shared" si="54"/>
        <v>0</v>
      </c>
      <c r="G152" s="767">
        <f t="shared" si="54"/>
        <v>0</v>
      </c>
      <c r="H152" s="767">
        <f t="shared" si="54"/>
        <v>0</v>
      </c>
      <c r="I152" s="767">
        <f t="shared" si="54"/>
        <v>0</v>
      </c>
      <c r="J152" s="767">
        <f t="shared" si="54"/>
        <v>0</v>
      </c>
      <c r="K152" s="767">
        <f t="shared" si="54"/>
        <v>0</v>
      </c>
      <c r="L152" s="767">
        <f t="shared" si="54"/>
        <v>0</v>
      </c>
      <c r="M152" s="767">
        <f t="shared" si="54"/>
        <v>0</v>
      </c>
      <c r="N152" s="767">
        <f t="shared" si="54"/>
        <v>0</v>
      </c>
      <c r="O152" s="767">
        <f t="shared" si="54"/>
        <v>6.0280000000000008E-8</v>
      </c>
      <c r="P152" s="767">
        <f t="shared" si="54"/>
        <v>6.0280000000000008E-8</v>
      </c>
      <c r="Q152" s="767">
        <f t="shared" si="54"/>
        <v>6.0279999999999997E-7</v>
      </c>
      <c r="R152" s="767">
        <f t="shared" si="54"/>
        <v>4.9429599999999997E-6</v>
      </c>
      <c r="S152" s="767">
        <f t="shared" si="54"/>
        <v>1.350272E-5</v>
      </c>
      <c r="T152" s="767">
        <f t="shared" si="54"/>
        <v>1.428636E-5</v>
      </c>
      <c r="U152" s="767">
        <f t="shared" si="54"/>
        <v>1.1392920000000002E-5</v>
      </c>
      <c r="V152" s="767">
        <f t="shared" si="54"/>
        <v>1.2297119999999999E-5</v>
      </c>
      <c r="W152" s="767">
        <f t="shared" si="54"/>
        <v>2.001296E-5</v>
      </c>
      <c r="X152" s="767">
        <f t="shared" si="54"/>
        <v>2.04952E-5</v>
      </c>
      <c r="Y152" s="767">
        <f t="shared" si="54"/>
        <v>1.9470439999999999E-5</v>
      </c>
      <c r="Z152" s="767">
        <f t="shared" si="54"/>
        <v>2.0615759999999997E-5</v>
      </c>
      <c r="AA152" s="767">
        <f t="shared" si="54"/>
        <v>1.6577000000000001E-5</v>
      </c>
      <c r="AB152" s="767">
        <f t="shared" si="54"/>
        <v>1.6396160000000001E-5</v>
      </c>
      <c r="AC152" s="767">
        <f t="shared" si="54"/>
        <v>1.6456439999999997E-5</v>
      </c>
      <c r="AD152" s="767">
        <f t="shared" si="54"/>
        <v>1.6818120000000002E-5</v>
      </c>
      <c r="AE152" s="767">
        <f t="shared" si="54"/>
        <v>1.705924E-5</v>
      </c>
      <c r="AF152" s="767">
        <f t="shared" si="54"/>
        <v>1.754148E-5</v>
      </c>
      <c r="AG152" s="767">
        <f t="shared" si="54"/>
        <v>1.7782600000000001E-5</v>
      </c>
      <c r="AH152" s="767">
        <f t="shared" si="54"/>
        <v>1.7782600000000001E-5</v>
      </c>
      <c r="AI152" s="767">
        <f t="shared" si="54"/>
        <v>1.8505959999999999E-5</v>
      </c>
      <c r="AJ152" s="767">
        <f t="shared" si="54"/>
        <v>1.8505959999999999E-5</v>
      </c>
      <c r="AM152" s="28"/>
      <c r="AN152" s="28"/>
      <c r="AO152" s="28"/>
      <c r="AP152" s="28"/>
      <c r="AQ152" s="28"/>
      <c r="AR152" s="28"/>
      <c r="AS152" s="28"/>
    </row>
    <row r="153" spans="1:45" x14ac:dyDescent="0.4">
      <c r="A153" s="1299" t="s">
        <v>1063</v>
      </c>
      <c r="B153" s="665"/>
      <c r="C153" s="1300"/>
      <c r="D153" s="1300"/>
      <c r="E153" s="1300"/>
      <c r="F153" s="1300"/>
      <c r="G153" s="1300"/>
      <c r="H153" s="1300"/>
      <c r="I153" s="1300"/>
      <c r="J153" s="1300"/>
      <c r="K153" s="1300"/>
      <c r="L153" s="1300"/>
      <c r="M153" s="1300"/>
      <c r="N153" s="1300"/>
      <c r="O153" s="1300"/>
      <c r="P153" s="1300"/>
      <c r="Q153" s="1300"/>
      <c r="R153" s="1300"/>
      <c r="S153" s="1300"/>
      <c r="T153" s="1300"/>
      <c r="U153" s="1300"/>
      <c r="V153" s="1300"/>
      <c r="W153" s="1300"/>
      <c r="X153" s="1300"/>
      <c r="Y153" s="1300"/>
      <c r="Z153" s="1300"/>
      <c r="AA153" s="1300"/>
      <c r="AB153" s="1300"/>
      <c r="AC153" s="1300"/>
      <c r="AD153" s="1300"/>
      <c r="AE153" s="1300"/>
      <c r="AF153" s="1300"/>
      <c r="AG153" s="1300"/>
      <c r="AH153" s="1300"/>
      <c r="AI153" s="1300"/>
      <c r="AJ153" s="1300"/>
      <c r="AM153" s="28"/>
      <c r="AN153" s="28"/>
      <c r="AO153" s="28"/>
      <c r="AP153" s="28"/>
      <c r="AQ153" s="28"/>
      <c r="AR153" s="28"/>
      <c r="AS153" s="28"/>
    </row>
    <row r="154" spans="1:45" ht="16.5" thickBot="1" x14ac:dyDescent="0.45">
      <c r="A154" s="236"/>
      <c r="B154" s="237"/>
      <c r="C154" s="237"/>
      <c r="D154" s="237"/>
      <c r="E154" s="237"/>
      <c r="F154" s="237"/>
      <c r="G154" s="237"/>
      <c r="H154" s="237"/>
      <c r="I154" s="237"/>
      <c r="J154" s="237"/>
      <c r="K154" s="237"/>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37"/>
      <c r="AI154" s="237"/>
      <c r="AM154" s="28"/>
      <c r="AN154" s="28"/>
      <c r="AO154" s="28"/>
      <c r="AP154" s="28"/>
      <c r="AQ154" s="28"/>
      <c r="AR154" s="28"/>
      <c r="AS154" s="28"/>
    </row>
    <row r="155" spans="1:45" ht="16.5" thickBot="1" x14ac:dyDescent="0.45">
      <c r="A155" s="782" t="s">
        <v>930</v>
      </c>
      <c r="B155" s="237"/>
      <c r="C155" s="237"/>
      <c r="D155" s="237"/>
      <c r="E155" s="237"/>
      <c r="F155" s="237"/>
      <c r="G155" s="237"/>
      <c r="H155" s="237"/>
      <c r="I155" s="237"/>
      <c r="J155" s="237"/>
      <c r="K155" s="237"/>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M155" s="28"/>
      <c r="AN155" s="28"/>
      <c r="AO155" s="28"/>
      <c r="AP155" s="28"/>
      <c r="AQ155" s="28"/>
      <c r="AR155" s="28"/>
      <c r="AS155" s="28"/>
    </row>
    <row r="156" spans="1:45" s="28" customFormat="1" x14ac:dyDescent="0.4">
      <c r="A156" s="1283" t="s">
        <v>936</v>
      </c>
      <c r="B156" s="71" t="s">
        <v>136</v>
      </c>
      <c r="C156" s="652" t="s">
        <v>391</v>
      </c>
      <c r="D156" s="652" t="s">
        <v>392</v>
      </c>
      <c r="E156" s="652" t="s">
        <v>393</v>
      </c>
      <c r="F156" s="652" t="s">
        <v>394</v>
      </c>
      <c r="G156" s="652" t="s">
        <v>395</v>
      </c>
      <c r="H156" s="652" t="s">
        <v>396</v>
      </c>
      <c r="I156" s="652" t="s">
        <v>397</v>
      </c>
      <c r="J156" s="652" t="s">
        <v>398</v>
      </c>
      <c r="K156" s="652" t="s">
        <v>399</v>
      </c>
      <c r="L156" s="652" t="s">
        <v>400</v>
      </c>
      <c r="M156" s="652" t="s">
        <v>401</v>
      </c>
      <c r="N156" s="652" t="s">
        <v>402</v>
      </c>
      <c r="O156" s="652" t="s">
        <v>403</v>
      </c>
      <c r="P156" s="652" t="s">
        <v>404</v>
      </c>
      <c r="Q156" s="652" t="s">
        <v>405</v>
      </c>
      <c r="R156" s="652" t="s">
        <v>406</v>
      </c>
      <c r="S156" s="652" t="s">
        <v>407</v>
      </c>
      <c r="T156" s="652" t="s">
        <v>408</v>
      </c>
      <c r="U156" s="652" t="s">
        <v>409</v>
      </c>
      <c r="V156" s="652" t="s">
        <v>410</v>
      </c>
      <c r="W156" s="652" t="s">
        <v>411</v>
      </c>
      <c r="X156" s="652" t="s">
        <v>412</v>
      </c>
      <c r="Y156" s="652" t="s">
        <v>413</v>
      </c>
      <c r="Z156" s="652" t="s">
        <v>414</v>
      </c>
      <c r="AA156" s="652" t="s">
        <v>415</v>
      </c>
      <c r="AB156" s="652" t="s">
        <v>416</v>
      </c>
      <c r="AC156" s="652" t="s">
        <v>417</v>
      </c>
      <c r="AD156" s="652" t="s">
        <v>418</v>
      </c>
      <c r="AE156" s="652" t="s">
        <v>419</v>
      </c>
      <c r="AF156" s="652" t="s">
        <v>420</v>
      </c>
      <c r="AG156" s="652" t="s">
        <v>421</v>
      </c>
      <c r="AH156" s="652" t="s">
        <v>422</v>
      </c>
      <c r="AI156" s="652" t="s">
        <v>423</v>
      </c>
      <c r="AJ156" s="652" t="s">
        <v>424</v>
      </c>
      <c r="AK156" s="3"/>
      <c r="AL156" s="3"/>
    </row>
    <row r="157" spans="1:45" x14ac:dyDescent="0.4">
      <c r="A157" s="741" t="s">
        <v>604</v>
      </c>
      <c r="B157" s="798" t="s">
        <v>582</v>
      </c>
      <c r="C157" s="748">
        <v>18077</v>
      </c>
      <c r="D157" s="748">
        <v>18951</v>
      </c>
      <c r="E157" s="748">
        <v>19883</v>
      </c>
      <c r="F157" s="748">
        <v>20573</v>
      </c>
      <c r="G157" s="748">
        <v>19528</v>
      </c>
      <c r="H157" s="748">
        <v>19528</v>
      </c>
      <c r="I157" s="748">
        <v>20279</v>
      </c>
      <c r="J157" s="748">
        <v>14529</v>
      </c>
      <c r="K157" s="748">
        <v>12911</v>
      </c>
      <c r="L157" s="748">
        <v>13251</v>
      </c>
      <c r="M157" s="748">
        <v>14270</v>
      </c>
      <c r="N157" s="748">
        <v>11496</v>
      </c>
      <c r="O157" s="748">
        <v>11670</v>
      </c>
      <c r="P157" s="748">
        <v>12284</v>
      </c>
      <c r="Q157" s="748">
        <v>12591</v>
      </c>
      <c r="R157" s="748">
        <v>3578</v>
      </c>
      <c r="S157" s="748">
        <v>3173</v>
      </c>
      <c r="T157" s="748">
        <v>3507</v>
      </c>
      <c r="U157" s="748">
        <v>3924</v>
      </c>
      <c r="V157" s="748">
        <v>10204</v>
      </c>
      <c r="W157" s="748">
        <v>10944</v>
      </c>
      <c r="X157" s="748">
        <v>10615</v>
      </c>
      <c r="Y157" s="234">
        <v>8870</v>
      </c>
      <c r="Z157" s="234">
        <v>11575</v>
      </c>
      <c r="AA157" s="234">
        <v>11714</v>
      </c>
      <c r="AB157" s="234">
        <v>10521</v>
      </c>
      <c r="AC157" s="234">
        <v>8403</v>
      </c>
      <c r="AD157" s="234">
        <v>8324</v>
      </c>
      <c r="AE157" s="234">
        <v>8320</v>
      </c>
      <c r="AF157" s="234">
        <v>10196</v>
      </c>
      <c r="AG157" s="234">
        <v>9446</v>
      </c>
      <c r="AH157" s="3">
        <v>9766</v>
      </c>
      <c r="AI157" s="3">
        <v>12304</v>
      </c>
      <c r="AJ157" s="526">
        <v>10460</v>
      </c>
      <c r="AM157" s="28"/>
      <c r="AN157" s="28"/>
      <c r="AO157" s="28"/>
      <c r="AP157" s="28"/>
      <c r="AQ157" s="28"/>
      <c r="AR157" s="28"/>
      <c r="AS157" s="28"/>
    </row>
    <row r="158" spans="1:45" ht="16.5" thickBot="1" x14ac:dyDescent="0.45">
      <c r="A158" s="814" t="s">
        <v>591</v>
      </c>
      <c r="B158" s="805" t="s">
        <v>583</v>
      </c>
      <c r="C158" s="791">
        <f t="shared" ref="C158:AJ158" si="55">C157*1000</f>
        <v>18077000</v>
      </c>
      <c r="D158" s="791">
        <f t="shared" si="55"/>
        <v>18951000</v>
      </c>
      <c r="E158" s="791">
        <f t="shared" si="55"/>
        <v>19883000</v>
      </c>
      <c r="F158" s="791">
        <f t="shared" si="55"/>
        <v>20573000</v>
      </c>
      <c r="G158" s="791">
        <f t="shared" si="55"/>
        <v>19528000</v>
      </c>
      <c r="H158" s="791">
        <f t="shared" si="55"/>
        <v>19528000</v>
      </c>
      <c r="I158" s="791">
        <f t="shared" si="55"/>
        <v>20279000</v>
      </c>
      <c r="J158" s="791">
        <f t="shared" si="55"/>
        <v>14529000</v>
      </c>
      <c r="K158" s="791">
        <f t="shared" si="55"/>
        <v>12911000</v>
      </c>
      <c r="L158" s="791">
        <f t="shared" si="55"/>
        <v>13251000</v>
      </c>
      <c r="M158" s="791">
        <f t="shared" si="55"/>
        <v>14270000</v>
      </c>
      <c r="N158" s="791">
        <f t="shared" si="55"/>
        <v>11496000</v>
      </c>
      <c r="O158" s="791">
        <f t="shared" si="55"/>
        <v>11670000</v>
      </c>
      <c r="P158" s="791">
        <f t="shared" si="55"/>
        <v>12284000</v>
      </c>
      <c r="Q158" s="791">
        <f t="shared" si="55"/>
        <v>12591000</v>
      </c>
      <c r="R158" s="791">
        <f t="shared" si="55"/>
        <v>3578000</v>
      </c>
      <c r="S158" s="791">
        <f t="shared" si="55"/>
        <v>3173000</v>
      </c>
      <c r="T158" s="791">
        <f t="shared" si="55"/>
        <v>3507000</v>
      </c>
      <c r="U158" s="791">
        <f t="shared" si="55"/>
        <v>3924000</v>
      </c>
      <c r="V158" s="791">
        <f t="shared" si="55"/>
        <v>10204000</v>
      </c>
      <c r="W158" s="791">
        <f t="shared" si="55"/>
        <v>10944000</v>
      </c>
      <c r="X158" s="791">
        <f t="shared" si="55"/>
        <v>10615000</v>
      </c>
      <c r="Y158" s="791">
        <f t="shared" si="55"/>
        <v>8870000</v>
      </c>
      <c r="Z158" s="791">
        <f t="shared" si="55"/>
        <v>11575000</v>
      </c>
      <c r="AA158" s="791">
        <f t="shared" si="55"/>
        <v>11714000</v>
      </c>
      <c r="AB158" s="791">
        <f t="shared" si="55"/>
        <v>10521000</v>
      </c>
      <c r="AC158" s="791">
        <f t="shared" si="55"/>
        <v>8403000</v>
      </c>
      <c r="AD158" s="791">
        <f t="shared" si="55"/>
        <v>8324000</v>
      </c>
      <c r="AE158" s="791">
        <f t="shared" si="55"/>
        <v>8320000</v>
      </c>
      <c r="AF158" s="791">
        <f t="shared" si="55"/>
        <v>10196000</v>
      </c>
      <c r="AG158" s="791">
        <f t="shared" si="55"/>
        <v>9446000</v>
      </c>
      <c r="AH158" s="791">
        <f t="shared" si="55"/>
        <v>9766000</v>
      </c>
      <c r="AI158" s="791">
        <f t="shared" si="55"/>
        <v>12304000</v>
      </c>
      <c r="AJ158" s="791">
        <f t="shared" si="55"/>
        <v>10460000</v>
      </c>
      <c r="AM158" s="28"/>
      <c r="AN158" s="28"/>
      <c r="AO158" s="28"/>
      <c r="AP158" s="28"/>
      <c r="AQ158" s="28"/>
      <c r="AR158" s="28"/>
      <c r="AS158" s="28"/>
    </row>
    <row r="159" spans="1:45" ht="17" x14ac:dyDescent="0.45">
      <c r="A159" s="1446" t="s">
        <v>1349</v>
      </c>
      <c r="B159" s="3" t="s">
        <v>584</v>
      </c>
      <c r="C159" s="802">
        <f t="shared" ref="C159:AJ159" si="56">C158*$C$224</f>
        <v>3738207938.9432116</v>
      </c>
      <c r="D159" s="802">
        <f t="shared" si="56"/>
        <v>3918945546.8779559</v>
      </c>
      <c r="E159" s="802">
        <f t="shared" si="56"/>
        <v>4111677183.7145476</v>
      </c>
      <c r="F159" s="802">
        <f t="shared" si="56"/>
        <v>4254364768.9261875</v>
      </c>
      <c r="G159" s="802">
        <f t="shared" si="56"/>
        <v>4038265455.0911679</v>
      </c>
      <c r="H159" s="802">
        <f t="shared" si="56"/>
        <v>4038265455.0911679</v>
      </c>
      <c r="I159" s="802">
        <f t="shared" si="56"/>
        <v>4193567450.0099239</v>
      </c>
      <c r="J159" s="802">
        <f t="shared" si="56"/>
        <v>3004504239.9129238</v>
      </c>
      <c r="K159" s="802">
        <f t="shared" si="56"/>
        <v>2669912192.2717156</v>
      </c>
      <c r="L159" s="802">
        <f t="shared" si="56"/>
        <v>2740222016.8687558</v>
      </c>
      <c r="M159" s="802">
        <f t="shared" si="56"/>
        <v>2950944697.0581198</v>
      </c>
      <c r="N159" s="802">
        <f t="shared" si="56"/>
        <v>2377299245.7869759</v>
      </c>
      <c r="O159" s="802">
        <f t="shared" si="56"/>
        <v>2413281332.4925199</v>
      </c>
      <c r="P159" s="802">
        <f t="shared" si="56"/>
        <v>2540252603.9707036</v>
      </c>
      <c r="Q159" s="802">
        <f t="shared" si="56"/>
        <v>2603738239.709796</v>
      </c>
      <c r="R159" s="802">
        <f t="shared" si="56"/>
        <v>739907507.082968</v>
      </c>
      <c r="S159" s="802">
        <f t="shared" si="56"/>
        <v>656156098.37178791</v>
      </c>
      <c r="T159" s="802">
        <f t="shared" si="56"/>
        <v>725225161.35829198</v>
      </c>
      <c r="U159" s="802">
        <f t="shared" si="56"/>
        <v>811458093.29054391</v>
      </c>
      <c r="V159" s="802">
        <f t="shared" si="56"/>
        <v>2110121912.318224</v>
      </c>
      <c r="W159" s="802">
        <f t="shared" si="56"/>
        <v>2263149177.6176639</v>
      </c>
      <c r="X159" s="802">
        <f t="shared" si="56"/>
        <v>2195114082.6399398</v>
      </c>
      <c r="Y159" s="802">
        <f t="shared" si="56"/>
        <v>1834259247.5757198</v>
      </c>
      <c r="Z159" s="802">
        <f t="shared" si="56"/>
        <v>2393635940.3256998</v>
      </c>
      <c r="AA159" s="802">
        <f t="shared" si="56"/>
        <v>2422380250.9697838</v>
      </c>
      <c r="AB159" s="802">
        <f t="shared" si="56"/>
        <v>2175675484.0748758</v>
      </c>
      <c r="AC159" s="802">
        <f t="shared" si="56"/>
        <v>1737686635.5556679</v>
      </c>
      <c r="AD159" s="802">
        <f t="shared" si="56"/>
        <v>1721349941.0169439</v>
      </c>
      <c r="AE159" s="802">
        <f t="shared" si="56"/>
        <v>1720522766.6099198</v>
      </c>
      <c r="AF159" s="802">
        <f t="shared" si="56"/>
        <v>2108467563.5041759</v>
      </c>
      <c r="AG159" s="802">
        <f t="shared" si="56"/>
        <v>1953372362.187176</v>
      </c>
      <c r="AH159" s="802">
        <f t="shared" si="56"/>
        <v>2019546314.7490959</v>
      </c>
      <c r="AI159" s="802">
        <f t="shared" si="56"/>
        <v>2544388476.0058236</v>
      </c>
      <c r="AJ159" s="802">
        <f t="shared" si="56"/>
        <v>2163061074.3677597</v>
      </c>
      <c r="AM159" s="28"/>
      <c r="AN159" s="28"/>
      <c r="AO159" s="28"/>
      <c r="AP159" s="28"/>
      <c r="AQ159" s="28"/>
      <c r="AR159" s="28"/>
      <c r="AS159" s="28"/>
    </row>
    <row r="160" spans="1:45" ht="17" x14ac:dyDescent="0.45">
      <c r="A160" s="1446" t="s">
        <v>1349</v>
      </c>
      <c r="B160" s="1436" t="s">
        <v>1189</v>
      </c>
      <c r="C160" s="766">
        <f t="shared" ref="C160:AJ160" si="57">C159/($B$244*1000000)</f>
        <v>1.6956225999999999</v>
      </c>
      <c r="D160" s="766">
        <f t="shared" si="57"/>
        <v>1.7776038000000001</v>
      </c>
      <c r="E160" s="766">
        <f t="shared" si="57"/>
        <v>1.8650253999999999</v>
      </c>
      <c r="F160" s="766">
        <f t="shared" si="57"/>
        <v>1.9297473999999999</v>
      </c>
      <c r="G160" s="766">
        <f t="shared" si="57"/>
        <v>1.8317264</v>
      </c>
      <c r="H160" s="766">
        <f t="shared" si="57"/>
        <v>1.8317264</v>
      </c>
      <c r="I160" s="766">
        <f t="shared" si="57"/>
        <v>1.9021702</v>
      </c>
      <c r="J160" s="766">
        <f t="shared" si="57"/>
        <v>1.3628201999999998</v>
      </c>
      <c r="K160" s="766">
        <f t="shared" si="57"/>
        <v>1.2110517999999999</v>
      </c>
      <c r="L160" s="766">
        <f t="shared" si="57"/>
        <v>1.2429437999999999</v>
      </c>
      <c r="M160" s="766">
        <f t="shared" si="57"/>
        <v>1.3385259999999999</v>
      </c>
      <c r="N160" s="766">
        <f t="shared" si="57"/>
        <v>1.0783247999999999</v>
      </c>
      <c r="O160" s="766">
        <f t="shared" si="57"/>
        <v>1.094646</v>
      </c>
      <c r="P160" s="766">
        <f t="shared" si="57"/>
        <v>1.1522391999999999</v>
      </c>
      <c r="Q160" s="766">
        <f t="shared" si="57"/>
        <v>1.1810358000000001</v>
      </c>
      <c r="R160" s="766">
        <f t="shared" si="57"/>
        <v>0.33561639999999998</v>
      </c>
      <c r="S160" s="766">
        <f t="shared" si="57"/>
        <v>0.29762739999999993</v>
      </c>
      <c r="T160" s="766">
        <f t="shared" si="57"/>
        <v>0.32895659999999999</v>
      </c>
      <c r="U160" s="766">
        <f t="shared" si="57"/>
        <v>0.36807119999999999</v>
      </c>
      <c r="V160" s="766">
        <f t="shared" si="57"/>
        <v>0.95713519999999996</v>
      </c>
      <c r="W160" s="766">
        <f t="shared" si="57"/>
        <v>1.0265472</v>
      </c>
      <c r="X160" s="766">
        <f t="shared" si="57"/>
        <v>0.99568699999999988</v>
      </c>
      <c r="Y160" s="766">
        <f t="shared" si="57"/>
        <v>0.83200599999999991</v>
      </c>
      <c r="Z160" s="766">
        <f t="shared" si="57"/>
        <v>1.0857349999999999</v>
      </c>
      <c r="AA160" s="766">
        <f t="shared" si="57"/>
        <v>1.0987731999999999</v>
      </c>
      <c r="AB160" s="766">
        <f t="shared" si="57"/>
        <v>0.98686979999999991</v>
      </c>
      <c r="AC160" s="766">
        <f t="shared" si="57"/>
        <v>0.78820139999999994</v>
      </c>
      <c r="AD160" s="766">
        <f t="shared" si="57"/>
        <v>0.78079120000000002</v>
      </c>
      <c r="AE160" s="766">
        <f t="shared" si="57"/>
        <v>0.78041599999999989</v>
      </c>
      <c r="AF160" s="766">
        <f t="shared" si="57"/>
        <v>0.95638479999999992</v>
      </c>
      <c r="AG160" s="766">
        <f t="shared" si="57"/>
        <v>0.88603480000000001</v>
      </c>
      <c r="AH160" s="766">
        <f t="shared" si="57"/>
        <v>0.91605079999999994</v>
      </c>
      <c r="AI160" s="766">
        <f t="shared" si="57"/>
        <v>1.1541151999999999</v>
      </c>
      <c r="AJ160" s="766">
        <f t="shared" si="57"/>
        <v>0.98114799999999991</v>
      </c>
      <c r="AM160" s="28"/>
      <c r="AN160" s="28"/>
      <c r="AO160" s="28"/>
      <c r="AP160" s="28"/>
      <c r="AQ160" s="28"/>
      <c r="AR160" s="28"/>
      <c r="AS160" s="28"/>
    </row>
    <row r="161" spans="1:45" x14ac:dyDescent="0.4">
      <c r="A161" s="1299" t="s">
        <v>1063</v>
      </c>
      <c r="B161" s="665"/>
      <c r="C161" s="1300"/>
      <c r="D161" s="1300"/>
      <c r="E161" s="1300"/>
      <c r="F161" s="1300"/>
      <c r="G161" s="1300"/>
      <c r="H161" s="1300"/>
      <c r="I161" s="1300"/>
      <c r="J161" s="1300"/>
      <c r="K161" s="1300"/>
      <c r="L161" s="1300"/>
      <c r="M161" s="1300"/>
      <c r="N161" s="1300"/>
      <c r="O161" s="1300"/>
      <c r="P161" s="1300"/>
      <c r="Q161" s="1300"/>
      <c r="R161" s="1300"/>
      <c r="S161" s="1300"/>
      <c r="T161" s="1300"/>
      <c r="U161" s="1300"/>
      <c r="V161" s="1300"/>
      <c r="W161" s="1300"/>
      <c r="X161" s="1300"/>
      <c r="Y161" s="1300"/>
      <c r="Z161" s="1300"/>
      <c r="AA161" s="1300"/>
      <c r="AB161" s="1300"/>
      <c r="AC161" s="1300"/>
      <c r="AD161" s="1300"/>
      <c r="AE161" s="1300"/>
      <c r="AF161" s="1300"/>
      <c r="AG161" s="1300"/>
      <c r="AH161" s="1300"/>
      <c r="AI161" s="1300"/>
      <c r="AJ161" s="1300"/>
      <c r="AM161" s="28"/>
      <c r="AN161" s="28"/>
      <c r="AO161" s="28"/>
      <c r="AP161" s="28"/>
      <c r="AQ161" s="28"/>
      <c r="AR161" s="28"/>
      <c r="AS161" s="28"/>
    </row>
    <row r="162" spans="1:45" x14ac:dyDescent="0.4">
      <c r="A162" s="754"/>
      <c r="C162" s="293"/>
      <c r="D162" s="293"/>
      <c r="E162" s="293"/>
      <c r="F162" s="293"/>
      <c r="G162" s="293"/>
      <c r="H162" s="293"/>
      <c r="I162" s="293"/>
      <c r="J162" s="293"/>
      <c r="K162" s="293"/>
      <c r="L162" s="293"/>
      <c r="M162" s="293"/>
      <c r="N162" s="293"/>
      <c r="O162" s="293"/>
      <c r="P162" s="293"/>
      <c r="Q162" s="293"/>
      <c r="R162" s="293"/>
      <c r="S162" s="293"/>
      <c r="T162" s="293"/>
      <c r="U162" s="293"/>
      <c r="V162" s="293"/>
      <c r="W162" s="293"/>
      <c r="X162" s="293"/>
      <c r="Y162" s="293"/>
      <c r="Z162" s="293"/>
      <c r="AA162" s="293"/>
      <c r="AB162" s="293"/>
      <c r="AC162" s="293"/>
      <c r="AD162" s="293"/>
      <c r="AE162" s="293"/>
      <c r="AF162" s="293"/>
      <c r="AG162" s="293"/>
      <c r="AH162" s="293"/>
      <c r="AI162" s="293"/>
      <c r="AJ162" s="293"/>
      <c r="AM162" s="28"/>
      <c r="AN162" s="28"/>
      <c r="AO162" s="28"/>
      <c r="AP162" s="28"/>
      <c r="AQ162" s="28"/>
      <c r="AR162" s="28"/>
      <c r="AS162" s="28"/>
    </row>
    <row r="163" spans="1:45" x14ac:dyDescent="0.4">
      <c r="A163" s="754" t="s">
        <v>457</v>
      </c>
      <c r="B163" s="237"/>
      <c r="C163" s="237"/>
      <c r="D163" s="237"/>
      <c r="E163" s="237"/>
      <c r="F163" s="237"/>
      <c r="G163" s="237"/>
      <c r="H163" s="237"/>
      <c r="I163" s="237"/>
      <c r="J163" s="237"/>
      <c r="K163" s="237"/>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M163" s="28"/>
      <c r="AN163" s="28"/>
      <c r="AO163" s="28"/>
      <c r="AP163" s="28"/>
      <c r="AQ163" s="28"/>
      <c r="AR163" s="28"/>
      <c r="AS163" s="28"/>
    </row>
    <row r="164" spans="1:45" ht="17" x14ac:dyDescent="0.45">
      <c r="A164" s="3" t="s">
        <v>884</v>
      </c>
      <c r="B164" s="237"/>
      <c r="C164" s="237"/>
      <c r="D164" s="237"/>
      <c r="E164" s="237"/>
      <c r="F164" s="237"/>
      <c r="G164" s="237"/>
      <c r="H164" s="237"/>
      <c r="I164" s="237"/>
      <c r="J164" s="237"/>
      <c r="K164" s="237"/>
      <c r="L164" s="237"/>
      <c r="M164" s="237"/>
      <c r="N164" s="237"/>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M164" s="28"/>
      <c r="AN164" s="28"/>
      <c r="AO164" s="28"/>
      <c r="AP164" s="28"/>
      <c r="AQ164" s="28"/>
      <c r="AR164" s="28"/>
      <c r="AS164" s="28"/>
    </row>
    <row r="165" spans="1:45" ht="16.5" thickBot="1" x14ac:dyDescent="0.45">
      <c r="A165" s="783"/>
      <c r="B165" s="237"/>
      <c r="C165" s="237"/>
      <c r="E165" s="237"/>
      <c r="F165" s="237"/>
      <c r="G165" s="237"/>
      <c r="H165" s="237"/>
      <c r="I165" s="237"/>
      <c r="J165" s="237"/>
      <c r="K165" s="237"/>
      <c r="L165" s="237"/>
      <c r="M165" s="237"/>
      <c r="N165" s="237"/>
      <c r="O165" s="237"/>
      <c r="P165" s="237"/>
      <c r="Q165" s="237"/>
      <c r="R165" s="237"/>
      <c r="S165" s="237"/>
      <c r="T165" s="237"/>
      <c r="U165" s="237"/>
      <c r="V165" s="237"/>
      <c r="W165" s="237"/>
      <c r="X165" s="237"/>
      <c r="Y165" s="237"/>
      <c r="Z165" s="237"/>
      <c r="AA165" s="237"/>
      <c r="AB165" s="237"/>
      <c r="AC165" s="237"/>
      <c r="AD165" s="237"/>
      <c r="AM165" s="28"/>
      <c r="AN165" s="28"/>
      <c r="AO165" s="28"/>
      <c r="AP165" s="28"/>
      <c r="AQ165" s="28"/>
      <c r="AR165" s="28"/>
      <c r="AS165" s="28"/>
    </row>
    <row r="166" spans="1:45" x14ac:dyDescent="0.4">
      <c r="A166" s="816" t="s">
        <v>931</v>
      </c>
      <c r="C166" s="237"/>
      <c r="D166" s="237"/>
      <c r="E166" s="237"/>
      <c r="F166" s="237"/>
      <c r="G166" s="237"/>
      <c r="H166" s="237"/>
      <c r="I166" s="237"/>
      <c r="J166" s="237"/>
      <c r="K166" s="237"/>
      <c r="L166" s="237"/>
      <c r="M166" s="237"/>
      <c r="N166" s="237"/>
      <c r="O166" s="237"/>
      <c r="P166" s="237"/>
      <c r="Q166" s="237"/>
      <c r="R166" s="237"/>
      <c r="S166" s="237"/>
      <c r="T166" s="237"/>
      <c r="U166" s="237"/>
      <c r="V166" s="237"/>
      <c r="W166" s="237"/>
      <c r="X166" s="237"/>
      <c r="Y166" s="237"/>
      <c r="Z166" s="237"/>
      <c r="AA166" s="237"/>
      <c r="AB166" s="237"/>
      <c r="AC166" s="237"/>
      <c r="AD166" s="237"/>
      <c r="AM166" s="28"/>
      <c r="AN166" s="28"/>
      <c r="AO166" s="28"/>
      <c r="AP166" s="28"/>
      <c r="AQ166" s="28"/>
      <c r="AR166" s="28"/>
      <c r="AS166" s="28"/>
    </row>
    <row r="167" spans="1:45" s="28" customFormat="1" x14ac:dyDescent="0.4">
      <c r="A167" s="1283" t="s">
        <v>936</v>
      </c>
      <c r="B167" s="71" t="s">
        <v>136</v>
      </c>
      <c r="C167" s="652" t="s">
        <v>391</v>
      </c>
      <c r="D167" s="652" t="s">
        <v>392</v>
      </c>
      <c r="E167" s="652" t="s">
        <v>393</v>
      </c>
      <c r="F167" s="652" t="s">
        <v>394</v>
      </c>
      <c r="G167" s="652" t="s">
        <v>395</v>
      </c>
      <c r="H167" s="652" t="s">
        <v>396</v>
      </c>
      <c r="I167" s="652" t="s">
        <v>397</v>
      </c>
      <c r="J167" s="652" t="s">
        <v>398</v>
      </c>
      <c r="K167" s="652" t="s">
        <v>399</v>
      </c>
      <c r="L167" s="652" t="s">
        <v>400</v>
      </c>
      <c r="M167" s="652" t="s">
        <v>401</v>
      </c>
      <c r="N167" s="652" t="s">
        <v>402</v>
      </c>
      <c r="O167" s="652" t="s">
        <v>403</v>
      </c>
      <c r="P167" s="652" t="s">
        <v>404</v>
      </c>
      <c r="Q167" s="652" t="s">
        <v>405</v>
      </c>
      <c r="R167" s="652" t="s">
        <v>406</v>
      </c>
      <c r="S167" s="652" t="s">
        <v>407</v>
      </c>
      <c r="T167" s="652" t="s">
        <v>408</v>
      </c>
      <c r="U167" s="652" t="s">
        <v>409</v>
      </c>
      <c r="V167" s="652" t="s">
        <v>410</v>
      </c>
      <c r="W167" s="652" t="s">
        <v>411</v>
      </c>
      <c r="X167" s="652" t="s">
        <v>412</v>
      </c>
      <c r="Y167" s="652" t="s">
        <v>413</v>
      </c>
      <c r="Z167" s="652" t="s">
        <v>414</v>
      </c>
      <c r="AA167" s="652" t="s">
        <v>415</v>
      </c>
      <c r="AB167" s="652" t="s">
        <v>416</v>
      </c>
      <c r="AC167" s="652" t="s">
        <v>417</v>
      </c>
      <c r="AD167" s="652" t="s">
        <v>418</v>
      </c>
      <c r="AE167" s="652" t="s">
        <v>419</v>
      </c>
      <c r="AF167" s="652" t="s">
        <v>420</v>
      </c>
      <c r="AG167" s="652" t="s">
        <v>421</v>
      </c>
      <c r="AH167" s="652" t="s">
        <v>422</v>
      </c>
      <c r="AI167" s="652" t="s">
        <v>423</v>
      </c>
      <c r="AJ167" s="652" t="s">
        <v>424</v>
      </c>
      <c r="AK167" s="3"/>
      <c r="AL167" s="3"/>
    </row>
    <row r="168" spans="1:45" x14ac:dyDescent="0.4">
      <c r="A168" s="800" t="s">
        <v>605</v>
      </c>
      <c r="B168" s="526" t="s">
        <v>582</v>
      </c>
      <c r="C168" s="526">
        <v>0</v>
      </c>
      <c r="D168" s="526">
        <v>0</v>
      </c>
      <c r="E168" s="526">
        <v>0</v>
      </c>
      <c r="F168" s="526">
        <v>0</v>
      </c>
      <c r="G168" s="526">
        <v>0</v>
      </c>
      <c r="H168" s="526">
        <v>0</v>
      </c>
      <c r="I168" s="526">
        <v>0</v>
      </c>
      <c r="J168" s="526">
        <v>0</v>
      </c>
      <c r="K168" s="526">
        <v>0</v>
      </c>
      <c r="L168" s="526">
        <v>0</v>
      </c>
      <c r="M168" s="526">
        <v>0</v>
      </c>
      <c r="N168" s="526">
        <v>7</v>
      </c>
      <c r="O168" s="526">
        <v>11</v>
      </c>
      <c r="P168" s="526">
        <v>9</v>
      </c>
      <c r="Q168" s="526">
        <v>18</v>
      </c>
      <c r="R168" s="526">
        <v>60.5</v>
      </c>
      <c r="S168" s="526">
        <v>174</v>
      </c>
      <c r="T168" s="526">
        <v>236</v>
      </c>
      <c r="U168" s="526">
        <v>202.5</v>
      </c>
      <c r="V168" s="526">
        <v>214.5</v>
      </c>
      <c r="W168" s="526">
        <v>173.5</v>
      </c>
      <c r="X168" s="526">
        <v>588.5</v>
      </c>
      <c r="Y168" s="526">
        <v>568.5</v>
      </c>
      <c r="Z168" s="526">
        <v>1270</v>
      </c>
      <c r="AA168" s="526">
        <v>881.5</v>
      </c>
      <c r="AB168" s="3">
        <v>919</v>
      </c>
      <c r="AC168" s="3">
        <v>1387.5</v>
      </c>
      <c r="AD168" s="3">
        <v>1169.5</v>
      </c>
      <c r="AE168" s="3">
        <v>1038</v>
      </c>
      <c r="AF168" s="28">
        <v>871.5</v>
      </c>
      <c r="AG168" s="3">
        <v>944</v>
      </c>
      <c r="AH168" s="3">
        <v>739.5</v>
      </c>
      <c r="AI168" s="526">
        <v>692</v>
      </c>
      <c r="AJ168" s="526">
        <v>935.5</v>
      </c>
      <c r="AM168" s="28"/>
      <c r="AN168" s="28"/>
      <c r="AO168" s="28"/>
      <c r="AP168" s="28"/>
      <c r="AQ168" s="28"/>
      <c r="AR168" s="28"/>
      <c r="AS168" s="28"/>
    </row>
    <row r="169" spans="1:45" ht="16.5" thickBot="1" x14ac:dyDescent="0.45">
      <c r="A169" s="815" t="s">
        <v>591</v>
      </c>
      <c r="B169" s="796" t="s">
        <v>583</v>
      </c>
      <c r="C169" s="791">
        <f t="shared" ref="C169:AJ169" si="58">C168*1000</f>
        <v>0</v>
      </c>
      <c r="D169" s="791">
        <f t="shared" si="58"/>
        <v>0</v>
      </c>
      <c r="E169" s="791">
        <f t="shared" si="58"/>
        <v>0</v>
      </c>
      <c r="F169" s="791">
        <f t="shared" si="58"/>
        <v>0</v>
      </c>
      <c r="G169" s="791">
        <f t="shared" si="58"/>
        <v>0</v>
      </c>
      <c r="H169" s="791">
        <f t="shared" si="58"/>
        <v>0</v>
      </c>
      <c r="I169" s="791">
        <f t="shared" si="58"/>
        <v>0</v>
      </c>
      <c r="J169" s="791">
        <f t="shared" si="58"/>
        <v>0</v>
      </c>
      <c r="K169" s="791">
        <f t="shared" si="58"/>
        <v>0</v>
      </c>
      <c r="L169" s="791">
        <f t="shared" si="58"/>
        <v>0</v>
      </c>
      <c r="M169" s="791">
        <f t="shared" si="58"/>
        <v>0</v>
      </c>
      <c r="N169" s="791">
        <f t="shared" si="58"/>
        <v>7000</v>
      </c>
      <c r="O169" s="791">
        <f t="shared" si="58"/>
        <v>11000</v>
      </c>
      <c r="P169" s="791">
        <f t="shared" si="58"/>
        <v>9000</v>
      </c>
      <c r="Q169" s="791">
        <f t="shared" si="58"/>
        <v>18000</v>
      </c>
      <c r="R169" s="791">
        <f t="shared" si="58"/>
        <v>60500</v>
      </c>
      <c r="S169" s="791">
        <f t="shared" si="58"/>
        <v>174000</v>
      </c>
      <c r="T169" s="791">
        <f t="shared" si="58"/>
        <v>236000</v>
      </c>
      <c r="U169" s="791">
        <f t="shared" si="58"/>
        <v>202500</v>
      </c>
      <c r="V169" s="791">
        <f t="shared" si="58"/>
        <v>214500</v>
      </c>
      <c r="W169" s="791">
        <f t="shared" si="58"/>
        <v>173500</v>
      </c>
      <c r="X169" s="791">
        <f t="shared" si="58"/>
        <v>588500</v>
      </c>
      <c r="Y169" s="791">
        <f t="shared" si="58"/>
        <v>568500</v>
      </c>
      <c r="Z169" s="791">
        <f t="shared" si="58"/>
        <v>1270000</v>
      </c>
      <c r="AA169" s="791">
        <f t="shared" si="58"/>
        <v>881500</v>
      </c>
      <c r="AB169" s="791">
        <f t="shared" si="58"/>
        <v>919000</v>
      </c>
      <c r="AC169" s="791">
        <f t="shared" si="58"/>
        <v>1387500</v>
      </c>
      <c r="AD169" s="791">
        <f t="shared" si="58"/>
        <v>1169500</v>
      </c>
      <c r="AE169" s="791">
        <f t="shared" si="58"/>
        <v>1038000</v>
      </c>
      <c r="AF169" s="791">
        <f t="shared" si="58"/>
        <v>871500</v>
      </c>
      <c r="AG169" s="791">
        <f t="shared" si="58"/>
        <v>944000</v>
      </c>
      <c r="AH169" s="791">
        <f t="shared" si="58"/>
        <v>739500</v>
      </c>
      <c r="AI169" s="791">
        <f t="shared" si="58"/>
        <v>692000</v>
      </c>
      <c r="AJ169" s="791">
        <f t="shared" si="58"/>
        <v>935500</v>
      </c>
      <c r="AM169" s="28"/>
      <c r="AN169" s="28"/>
      <c r="AO169" s="28"/>
      <c r="AP169" s="28"/>
      <c r="AQ169" s="28"/>
      <c r="AR169" s="28"/>
      <c r="AS169" s="28"/>
    </row>
    <row r="170" spans="1:45" ht="17" x14ac:dyDescent="0.45">
      <c r="A170" s="1446" t="s">
        <v>1349</v>
      </c>
      <c r="B170" s="549" t="s">
        <v>584</v>
      </c>
      <c r="C170" s="772">
        <f t="shared" ref="C170:AJ170" si="59">C169*$C$230</f>
        <v>0</v>
      </c>
      <c r="D170" s="772">
        <f t="shared" si="59"/>
        <v>0</v>
      </c>
      <c r="E170" s="772">
        <f t="shared" si="59"/>
        <v>0</v>
      </c>
      <c r="F170" s="772">
        <f t="shared" si="59"/>
        <v>0</v>
      </c>
      <c r="G170" s="772">
        <f t="shared" si="59"/>
        <v>0</v>
      </c>
      <c r="H170" s="772">
        <f t="shared" si="59"/>
        <v>0</v>
      </c>
      <c r="I170" s="772">
        <f t="shared" si="59"/>
        <v>0</v>
      </c>
      <c r="J170" s="772">
        <f t="shared" si="59"/>
        <v>0</v>
      </c>
      <c r="K170" s="772">
        <f t="shared" si="59"/>
        <v>0</v>
      </c>
      <c r="L170" s="772">
        <f t="shared" si="59"/>
        <v>0</v>
      </c>
      <c r="M170" s="772">
        <f t="shared" si="59"/>
        <v>0</v>
      </c>
      <c r="N170" s="772">
        <f t="shared" si="59"/>
        <v>1139525.3398255999</v>
      </c>
      <c r="O170" s="772">
        <f t="shared" si="59"/>
        <v>1790682.6768687998</v>
      </c>
      <c r="P170" s="772">
        <f t="shared" si="59"/>
        <v>1465104.0083472</v>
      </c>
      <c r="Q170" s="772">
        <f t="shared" si="59"/>
        <v>2930208.0166944</v>
      </c>
      <c r="R170" s="772">
        <f t="shared" si="59"/>
        <v>9848754.7227783985</v>
      </c>
      <c r="S170" s="772">
        <f t="shared" si="59"/>
        <v>28325344.161379199</v>
      </c>
      <c r="T170" s="772">
        <f t="shared" si="59"/>
        <v>38418282.8855488</v>
      </c>
      <c r="U170" s="772">
        <f t="shared" si="59"/>
        <v>32964840.187811997</v>
      </c>
      <c r="V170" s="772">
        <f t="shared" si="59"/>
        <v>34918312.198941596</v>
      </c>
      <c r="W170" s="772">
        <f t="shared" si="59"/>
        <v>28243949.4942488</v>
      </c>
      <c r="X170" s="772">
        <f t="shared" si="59"/>
        <v>95801523.212480798</v>
      </c>
      <c r="Y170" s="772">
        <f t="shared" si="59"/>
        <v>92545736.527264789</v>
      </c>
      <c r="Z170" s="772">
        <f t="shared" si="59"/>
        <v>206742454.51121598</v>
      </c>
      <c r="AA170" s="772">
        <f t="shared" si="59"/>
        <v>143498798.15089518</v>
      </c>
      <c r="AB170" s="772">
        <f t="shared" si="59"/>
        <v>149603398.1856752</v>
      </c>
      <c r="AC170" s="772">
        <f t="shared" si="59"/>
        <v>225870201.28685999</v>
      </c>
      <c r="AD170" s="772">
        <f t="shared" si="59"/>
        <v>190382126.41800559</v>
      </c>
      <c r="AE170" s="772">
        <f t="shared" si="59"/>
        <v>168975328.96271038</v>
      </c>
      <c r="AF170" s="772">
        <f t="shared" si="59"/>
        <v>141870904.8082872</v>
      </c>
      <c r="AG170" s="772">
        <f t="shared" si="59"/>
        <v>153673131.5421952</v>
      </c>
      <c r="AH170" s="772">
        <f t="shared" si="59"/>
        <v>120382712.68586159</v>
      </c>
      <c r="AI170" s="772">
        <f t="shared" si="59"/>
        <v>112650219.30847359</v>
      </c>
      <c r="AJ170" s="772">
        <f t="shared" si="59"/>
        <v>152289422.2009784</v>
      </c>
      <c r="AM170" s="28"/>
      <c r="AN170" s="28"/>
      <c r="AO170" s="28"/>
      <c r="AP170" s="28"/>
      <c r="AQ170" s="28"/>
      <c r="AR170" s="28"/>
      <c r="AS170" s="28"/>
    </row>
    <row r="171" spans="1:45" ht="17" x14ac:dyDescent="0.45">
      <c r="A171" s="1446" t="s">
        <v>1349</v>
      </c>
      <c r="B171" s="1436" t="s">
        <v>1189</v>
      </c>
      <c r="C171" s="766">
        <f t="shared" ref="C171:AJ171" si="60">C170/($B$244*1000000)</f>
        <v>0</v>
      </c>
      <c r="D171" s="766">
        <f t="shared" si="60"/>
        <v>0</v>
      </c>
      <c r="E171" s="766">
        <f t="shared" si="60"/>
        <v>0</v>
      </c>
      <c r="F171" s="766">
        <f t="shared" si="60"/>
        <v>0</v>
      </c>
      <c r="G171" s="766">
        <f t="shared" si="60"/>
        <v>0</v>
      </c>
      <c r="H171" s="766">
        <f t="shared" si="60"/>
        <v>0</v>
      </c>
      <c r="I171" s="766">
        <f t="shared" si="60"/>
        <v>0</v>
      </c>
      <c r="J171" s="766">
        <f t="shared" si="60"/>
        <v>0</v>
      </c>
      <c r="K171" s="766">
        <f t="shared" si="60"/>
        <v>0</v>
      </c>
      <c r="L171" s="766">
        <f t="shared" si="60"/>
        <v>0</v>
      </c>
      <c r="M171" s="766">
        <f t="shared" si="60"/>
        <v>0</v>
      </c>
      <c r="N171" s="766">
        <f t="shared" si="60"/>
        <v>5.1687999999999994E-4</v>
      </c>
      <c r="O171" s="766">
        <f t="shared" si="60"/>
        <v>8.1223999999999988E-4</v>
      </c>
      <c r="P171" s="766">
        <f t="shared" si="60"/>
        <v>6.6456000000000002E-4</v>
      </c>
      <c r="Q171" s="766">
        <f t="shared" si="60"/>
        <v>1.32912E-3</v>
      </c>
      <c r="R171" s="766">
        <f t="shared" si="60"/>
        <v>4.4673199999999995E-3</v>
      </c>
      <c r="S171" s="766">
        <f t="shared" si="60"/>
        <v>1.2848159999999999E-2</v>
      </c>
      <c r="T171" s="766">
        <f t="shared" si="60"/>
        <v>1.7426239999999999E-2</v>
      </c>
      <c r="U171" s="766">
        <f t="shared" si="60"/>
        <v>1.4952599999999998E-2</v>
      </c>
      <c r="V171" s="766">
        <f t="shared" si="60"/>
        <v>1.5838679999999997E-2</v>
      </c>
      <c r="W171" s="766">
        <f t="shared" si="60"/>
        <v>1.281124E-2</v>
      </c>
      <c r="X171" s="766">
        <f t="shared" si="60"/>
        <v>4.3454840000000002E-2</v>
      </c>
      <c r="Y171" s="766">
        <f t="shared" si="60"/>
        <v>4.1978039999999994E-2</v>
      </c>
      <c r="Z171" s="766">
        <f t="shared" si="60"/>
        <v>9.3776799999999993E-2</v>
      </c>
      <c r="AA171" s="766">
        <f t="shared" si="60"/>
        <v>6.5089959999999988E-2</v>
      </c>
      <c r="AB171" s="766">
        <f t="shared" si="60"/>
        <v>6.7858959999999996E-2</v>
      </c>
      <c r="AC171" s="766">
        <f t="shared" si="60"/>
        <v>0.10245299999999999</v>
      </c>
      <c r="AD171" s="766">
        <f t="shared" si="60"/>
        <v>8.6355879999999996E-2</v>
      </c>
      <c r="AE171" s="766">
        <f t="shared" si="60"/>
        <v>7.6645919999999992E-2</v>
      </c>
      <c r="AF171" s="766">
        <f t="shared" si="60"/>
        <v>6.4351560000000002E-2</v>
      </c>
      <c r="AG171" s="766">
        <f t="shared" si="60"/>
        <v>6.9704959999999996E-2</v>
      </c>
      <c r="AH171" s="766">
        <f t="shared" si="60"/>
        <v>5.4604679999999996E-2</v>
      </c>
      <c r="AI171" s="766">
        <f t="shared" si="60"/>
        <v>5.1097279999999995E-2</v>
      </c>
      <c r="AJ171" s="766">
        <f t="shared" si="60"/>
        <v>6.9077319999999998E-2</v>
      </c>
      <c r="AM171" s="28"/>
      <c r="AN171" s="28"/>
      <c r="AO171" s="28"/>
      <c r="AP171" s="28"/>
      <c r="AQ171" s="28"/>
      <c r="AR171" s="28"/>
      <c r="AS171" s="28"/>
    </row>
    <row r="172" spans="1:45" ht="17" x14ac:dyDescent="0.45">
      <c r="A172" s="1456" t="s">
        <v>1042</v>
      </c>
      <c r="B172" s="526" t="s">
        <v>584</v>
      </c>
      <c r="C172" s="772">
        <f t="shared" ref="C172:AJ172" si="61">C169*$D$230</f>
        <v>0</v>
      </c>
      <c r="D172" s="772">
        <f t="shared" si="61"/>
        <v>0</v>
      </c>
      <c r="E172" s="772">
        <f t="shared" si="61"/>
        <v>0</v>
      </c>
      <c r="F172" s="772">
        <f t="shared" si="61"/>
        <v>0</v>
      </c>
      <c r="G172" s="772">
        <f t="shared" si="61"/>
        <v>0</v>
      </c>
      <c r="H172" s="772">
        <f t="shared" si="61"/>
        <v>0</v>
      </c>
      <c r="I172" s="772">
        <f t="shared" si="61"/>
        <v>0</v>
      </c>
      <c r="J172" s="772">
        <f t="shared" si="61"/>
        <v>0</v>
      </c>
      <c r="K172" s="772">
        <f t="shared" si="61"/>
        <v>0</v>
      </c>
      <c r="L172" s="772">
        <f t="shared" si="61"/>
        <v>0</v>
      </c>
      <c r="M172" s="772">
        <f t="shared" si="61"/>
        <v>0</v>
      </c>
      <c r="N172" s="772">
        <f t="shared" si="61"/>
        <v>16.975594174000001</v>
      </c>
      <c r="O172" s="772">
        <f t="shared" si="61"/>
        <v>26.675933702000002</v>
      </c>
      <c r="P172" s="772">
        <f t="shared" si="61"/>
        <v>21.825763938000001</v>
      </c>
      <c r="Q172" s="772">
        <f t="shared" si="61"/>
        <v>43.651527876000003</v>
      </c>
      <c r="R172" s="772">
        <f t="shared" si="61"/>
        <v>146.71763536099999</v>
      </c>
      <c r="S172" s="772">
        <f t="shared" si="61"/>
        <v>421.96476946799999</v>
      </c>
      <c r="T172" s="772">
        <f t="shared" si="61"/>
        <v>572.32003215199995</v>
      </c>
      <c r="U172" s="772">
        <f t="shared" si="61"/>
        <v>491.079688605</v>
      </c>
      <c r="V172" s="772">
        <f t="shared" si="61"/>
        <v>520.18070718900003</v>
      </c>
      <c r="W172" s="772">
        <f t="shared" si="61"/>
        <v>420.752227027</v>
      </c>
      <c r="X172" s="772">
        <f t="shared" si="61"/>
        <v>1427.162453057</v>
      </c>
      <c r="Y172" s="772">
        <f t="shared" si="61"/>
        <v>1378.660755417</v>
      </c>
      <c r="Z172" s="772">
        <f t="shared" si="61"/>
        <v>3079.8578001400001</v>
      </c>
      <c r="AA172" s="772">
        <f t="shared" si="61"/>
        <v>2137.7123234830001</v>
      </c>
      <c r="AB172" s="772">
        <f t="shared" si="61"/>
        <v>2228.653006558</v>
      </c>
      <c r="AC172" s="772">
        <f t="shared" si="61"/>
        <v>3364.8052737749999</v>
      </c>
      <c r="AD172" s="772">
        <f t="shared" si="61"/>
        <v>2836.1367694989999</v>
      </c>
      <c r="AE172" s="772">
        <f t="shared" si="61"/>
        <v>2517.2381075160001</v>
      </c>
      <c r="AF172" s="772">
        <f t="shared" si="61"/>
        <v>2113.461474663</v>
      </c>
      <c r="AG172" s="772">
        <f t="shared" si="61"/>
        <v>2289.2801286079998</v>
      </c>
      <c r="AH172" s="772">
        <f t="shared" si="61"/>
        <v>1793.3502702390001</v>
      </c>
      <c r="AI172" s="772">
        <f t="shared" si="61"/>
        <v>1678.1587383440001</v>
      </c>
      <c r="AJ172" s="772">
        <f t="shared" si="61"/>
        <v>2268.666907111</v>
      </c>
      <c r="AM172" s="28"/>
      <c r="AN172" s="28"/>
      <c r="AO172" s="28"/>
      <c r="AP172" s="28"/>
      <c r="AQ172" s="28"/>
      <c r="AR172" s="28"/>
      <c r="AS172" s="28"/>
    </row>
    <row r="173" spans="1:45" ht="17" x14ac:dyDescent="0.45">
      <c r="A173" s="1447" t="s">
        <v>1353</v>
      </c>
      <c r="B173" s="526" t="s">
        <v>584</v>
      </c>
      <c r="C173" s="748">
        <f t="shared" ref="C173:AJ173" si="62">C172*$B$249</f>
        <v>0</v>
      </c>
      <c r="D173" s="748">
        <f t="shared" si="62"/>
        <v>0</v>
      </c>
      <c r="E173" s="748">
        <f t="shared" si="62"/>
        <v>0</v>
      </c>
      <c r="F173" s="748">
        <f t="shared" si="62"/>
        <v>0</v>
      </c>
      <c r="G173" s="748">
        <f t="shared" si="62"/>
        <v>0</v>
      </c>
      <c r="H173" s="748">
        <f t="shared" si="62"/>
        <v>0</v>
      </c>
      <c r="I173" s="748">
        <f t="shared" si="62"/>
        <v>0</v>
      </c>
      <c r="J173" s="748">
        <f t="shared" si="62"/>
        <v>0</v>
      </c>
      <c r="K173" s="748">
        <f t="shared" si="62"/>
        <v>0</v>
      </c>
      <c r="L173" s="748">
        <f t="shared" si="62"/>
        <v>0</v>
      </c>
      <c r="M173" s="748">
        <f t="shared" si="62"/>
        <v>0</v>
      </c>
      <c r="N173" s="748">
        <f t="shared" si="62"/>
        <v>424.38985435000001</v>
      </c>
      <c r="O173" s="748">
        <f t="shared" si="62"/>
        <v>666.89834255000005</v>
      </c>
      <c r="P173" s="748">
        <f t="shared" si="62"/>
        <v>545.64409845</v>
      </c>
      <c r="Q173" s="748">
        <f t="shared" si="62"/>
        <v>1091.2881969</v>
      </c>
      <c r="R173" s="748">
        <f t="shared" si="62"/>
        <v>3667.9408840249998</v>
      </c>
      <c r="S173" s="748">
        <f t="shared" si="62"/>
        <v>10549.1192367</v>
      </c>
      <c r="T173" s="748">
        <f t="shared" si="62"/>
        <v>14308.0008038</v>
      </c>
      <c r="U173" s="748">
        <f t="shared" si="62"/>
        <v>12276.992215124999</v>
      </c>
      <c r="V173" s="748">
        <f t="shared" si="62"/>
        <v>13004.517679725001</v>
      </c>
      <c r="W173" s="748">
        <f t="shared" si="62"/>
        <v>10518.805675674999</v>
      </c>
      <c r="X173" s="748">
        <f t="shared" si="62"/>
        <v>35679.061326424999</v>
      </c>
      <c r="Y173" s="748">
        <f t="shared" si="62"/>
        <v>34466.518885425001</v>
      </c>
      <c r="Z173" s="748">
        <f t="shared" si="62"/>
        <v>76996.445003500005</v>
      </c>
      <c r="AA173" s="748">
        <f t="shared" si="62"/>
        <v>53442.808087075005</v>
      </c>
      <c r="AB173" s="748">
        <f t="shared" si="62"/>
        <v>55716.325163950001</v>
      </c>
      <c r="AC173" s="748">
        <f t="shared" si="62"/>
        <v>84120.131844374991</v>
      </c>
      <c r="AD173" s="748">
        <f t="shared" si="62"/>
        <v>70903.419237474998</v>
      </c>
      <c r="AE173" s="748">
        <f t="shared" si="62"/>
        <v>62930.952687900004</v>
      </c>
      <c r="AF173" s="748">
        <f t="shared" si="62"/>
        <v>52836.536866574999</v>
      </c>
      <c r="AG173" s="748">
        <f t="shared" si="62"/>
        <v>57232.003215199999</v>
      </c>
      <c r="AH173" s="748">
        <f t="shared" si="62"/>
        <v>44833.756755975002</v>
      </c>
      <c r="AI173" s="748">
        <f t="shared" si="62"/>
        <v>41953.9684586</v>
      </c>
      <c r="AJ173" s="748">
        <f t="shared" si="62"/>
        <v>56716.672677775001</v>
      </c>
      <c r="AM173" s="28"/>
      <c r="AN173" s="28"/>
      <c r="AO173" s="28"/>
      <c r="AP173" s="28"/>
      <c r="AQ173" s="28"/>
      <c r="AR173" s="28"/>
      <c r="AS173" s="28"/>
    </row>
    <row r="174" spans="1:45" ht="17" x14ac:dyDescent="0.45">
      <c r="A174" s="1448" t="s">
        <v>1354</v>
      </c>
      <c r="B174" s="1436" t="s">
        <v>1189</v>
      </c>
      <c r="C174" s="766">
        <f t="shared" ref="C174:AJ174" si="63">C173/($B$244*1000000)</f>
        <v>0</v>
      </c>
      <c r="D174" s="766">
        <f t="shared" si="63"/>
        <v>0</v>
      </c>
      <c r="E174" s="766">
        <f t="shared" si="63"/>
        <v>0</v>
      </c>
      <c r="F174" s="766">
        <f t="shared" si="63"/>
        <v>0</v>
      </c>
      <c r="G174" s="766">
        <f t="shared" si="63"/>
        <v>0</v>
      </c>
      <c r="H174" s="766">
        <f t="shared" si="63"/>
        <v>0</v>
      </c>
      <c r="I174" s="766">
        <f t="shared" si="63"/>
        <v>0</v>
      </c>
      <c r="J174" s="766">
        <f t="shared" si="63"/>
        <v>0</v>
      </c>
      <c r="K174" s="766">
        <f t="shared" si="63"/>
        <v>0</v>
      </c>
      <c r="L174" s="766">
        <f t="shared" si="63"/>
        <v>0</v>
      </c>
      <c r="M174" s="766">
        <f t="shared" si="63"/>
        <v>0</v>
      </c>
      <c r="N174" s="766">
        <f t="shared" si="63"/>
        <v>1.9250000000000001E-7</v>
      </c>
      <c r="O174" s="766">
        <f t="shared" si="63"/>
        <v>3.0250000000000002E-7</v>
      </c>
      <c r="P174" s="766">
        <f t="shared" si="63"/>
        <v>2.4750000000000001E-7</v>
      </c>
      <c r="Q174" s="766">
        <f t="shared" si="63"/>
        <v>4.9500000000000003E-7</v>
      </c>
      <c r="R174" s="766">
        <f t="shared" si="63"/>
        <v>1.66375E-6</v>
      </c>
      <c r="S174" s="766">
        <f t="shared" si="63"/>
        <v>4.7849999999999999E-6</v>
      </c>
      <c r="T174" s="766">
        <f t="shared" si="63"/>
        <v>6.4899999999999997E-6</v>
      </c>
      <c r="U174" s="766">
        <f t="shared" si="63"/>
        <v>5.5687499999999998E-6</v>
      </c>
      <c r="V174" s="766">
        <f t="shared" si="63"/>
        <v>5.8987500000000001E-6</v>
      </c>
      <c r="W174" s="766">
        <f t="shared" si="63"/>
        <v>4.7712499999999994E-6</v>
      </c>
      <c r="X174" s="766">
        <f t="shared" si="63"/>
        <v>1.6183749999999999E-5</v>
      </c>
      <c r="Y174" s="766">
        <f t="shared" si="63"/>
        <v>1.5633749999999999E-5</v>
      </c>
      <c r="Z174" s="766">
        <f t="shared" si="63"/>
        <v>3.4925000000000002E-5</v>
      </c>
      <c r="AA174" s="766">
        <f t="shared" si="63"/>
        <v>2.4241250000000001E-5</v>
      </c>
      <c r="AB174" s="766">
        <f t="shared" si="63"/>
        <v>2.5272499999999999E-5</v>
      </c>
      <c r="AC174" s="766">
        <f t="shared" si="63"/>
        <v>3.8156249999999996E-5</v>
      </c>
      <c r="AD174" s="766">
        <f t="shared" si="63"/>
        <v>3.2161249999999996E-5</v>
      </c>
      <c r="AE174" s="766">
        <f t="shared" si="63"/>
        <v>2.8545000000000002E-5</v>
      </c>
      <c r="AF174" s="766">
        <f t="shared" si="63"/>
        <v>2.3966250000000001E-5</v>
      </c>
      <c r="AG174" s="766">
        <f t="shared" si="63"/>
        <v>2.5959999999999999E-5</v>
      </c>
      <c r="AH174" s="766">
        <f t="shared" si="63"/>
        <v>2.033625E-5</v>
      </c>
      <c r="AI174" s="766">
        <f t="shared" si="63"/>
        <v>1.9029999999999999E-5</v>
      </c>
      <c r="AJ174" s="766">
        <f t="shared" si="63"/>
        <v>2.5726250000000001E-5</v>
      </c>
      <c r="AM174" s="28"/>
      <c r="AN174" s="28"/>
      <c r="AO174" s="28"/>
      <c r="AP174" s="28"/>
      <c r="AQ174" s="28"/>
      <c r="AR174" s="28"/>
      <c r="AS174" s="28"/>
    </row>
    <row r="175" spans="1:45" ht="17" x14ac:dyDescent="0.45">
      <c r="A175" s="1449" t="s">
        <v>967</v>
      </c>
      <c r="B175" s="526" t="s">
        <v>584</v>
      </c>
      <c r="C175" s="772">
        <f t="shared" ref="C175:AJ175" si="64">C169*$E$230</f>
        <v>0</v>
      </c>
      <c r="D175" s="772">
        <f t="shared" si="64"/>
        <v>0</v>
      </c>
      <c r="E175" s="772">
        <f t="shared" si="64"/>
        <v>0</v>
      </c>
      <c r="F175" s="772">
        <f t="shared" si="64"/>
        <v>0</v>
      </c>
      <c r="G175" s="772">
        <f t="shared" si="64"/>
        <v>0</v>
      </c>
      <c r="H175" s="772">
        <f t="shared" si="64"/>
        <v>0</v>
      </c>
      <c r="I175" s="772">
        <f t="shared" si="64"/>
        <v>0</v>
      </c>
      <c r="J175" s="772">
        <f t="shared" si="64"/>
        <v>0</v>
      </c>
      <c r="K175" s="772">
        <f t="shared" si="64"/>
        <v>0</v>
      </c>
      <c r="L175" s="772">
        <f t="shared" si="64"/>
        <v>0</v>
      </c>
      <c r="M175" s="772">
        <f t="shared" si="64"/>
        <v>0</v>
      </c>
      <c r="N175" s="772">
        <f t="shared" si="64"/>
        <v>1.6975594173999999</v>
      </c>
      <c r="O175" s="772">
        <f t="shared" si="64"/>
        <v>2.6675933701999996</v>
      </c>
      <c r="P175" s="772">
        <f t="shared" si="64"/>
        <v>2.1825763937999998</v>
      </c>
      <c r="Q175" s="772">
        <f t="shared" si="64"/>
        <v>4.3651527875999996</v>
      </c>
      <c r="R175" s="772">
        <f t="shared" si="64"/>
        <v>14.671763536099999</v>
      </c>
      <c r="S175" s="772">
        <f t="shared" si="64"/>
        <v>42.196476946799997</v>
      </c>
      <c r="T175" s="772">
        <f t="shared" si="64"/>
        <v>57.232003215199995</v>
      </c>
      <c r="U175" s="772">
        <f t="shared" si="64"/>
        <v>49.107968860499994</v>
      </c>
      <c r="V175" s="772">
        <f t="shared" si="64"/>
        <v>52.018070718899999</v>
      </c>
      <c r="W175" s="772">
        <f t="shared" si="64"/>
        <v>42.075222702699996</v>
      </c>
      <c r="X175" s="772">
        <f t="shared" si="64"/>
        <v>142.7162453057</v>
      </c>
      <c r="Y175" s="772">
        <f t="shared" si="64"/>
        <v>137.86607554169998</v>
      </c>
      <c r="Z175" s="772">
        <f t="shared" si="64"/>
        <v>307.985780014</v>
      </c>
      <c r="AA175" s="772">
        <f t="shared" si="64"/>
        <v>213.77123234829998</v>
      </c>
      <c r="AB175" s="772">
        <f t="shared" si="64"/>
        <v>222.86530065579998</v>
      </c>
      <c r="AC175" s="772">
        <f t="shared" si="64"/>
        <v>336.48052737749998</v>
      </c>
      <c r="AD175" s="772">
        <f t="shared" si="64"/>
        <v>283.61367694989997</v>
      </c>
      <c r="AE175" s="772">
        <f t="shared" si="64"/>
        <v>251.72381075159998</v>
      </c>
      <c r="AF175" s="772">
        <f t="shared" si="64"/>
        <v>211.34614746629998</v>
      </c>
      <c r="AG175" s="772">
        <f t="shared" si="64"/>
        <v>228.92801286079998</v>
      </c>
      <c r="AH175" s="772">
        <f t="shared" si="64"/>
        <v>179.33502702389998</v>
      </c>
      <c r="AI175" s="772">
        <f t="shared" si="64"/>
        <v>167.81587383439998</v>
      </c>
      <c r="AJ175" s="772">
        <f t="shared" si="64"/>
        <v>226.86669071109998</v>
      </c>
      <c r="AM175" s="28"/>
      <c r="AN175" s="28"/>
      <c r="AO175" s="28"/>
      <c r="AP175" s="28"/>
      <c r="AQ175" s="28"/>
      <c r="AR175" s="28"/>
      <c r="AS175" s="28"/>
    </row>
    <row r="176" spans="1:45" ht="17" x14ac:dyDescent="0.45">
      <c r="A176" s="1447" t="s">
        <v>1355</v>
      </c>
      <c r="B176" s="526" t="s">
        <v>584</v>
      </c>
      <c r="C176" s="748">
        <f t="shared" ref="C176:AJ176" si="65">C175*$B$250</f>
        <v>0</v>
      </c>
      <c r="D176" s="748">
        <f t="shared" si="65"/>
        <v>0</v>
      </c>
      <c r="E176" s="748">
        <f t="shared" si="65"/>
        <v>0</v>
      </c>
      <c r="F176" s="748">
        <f t="shared" si="65"/>
        <v>0</v>
      </c>
      <c r="G176" s="748">
        <f t="shared" si="65"/>
        <v>0</v>
      </c>
      <c r="H176" s="748">
        <f t="shared" si="65"/>
        <v>0</v>
      </c>
      <c r="I176" s="748">
        <f t="shared" si="65"/>
        <v>0</v>
      </c>
      <c r="J176" s="748">
        <f t="shared" si="65"/>
        <v>0</v>
      </c>
      <c r="K176" s="748">
        <f t="shared" si="65"/>
        <v>0</v>
      </c>
      <c r="L176" s="748">
        <f t="shared" si="65"/>
        <v>0</v>
      </c>
      <c r="M176" s="748">
        <f t="shared" si="65"/>
        <v>0</v>
      </c>
      <c r="N176" s="748">
        <f t="shared" si="65"/>
        <v>505.87270638519999</v>
      </c>
      <c r="O176" s="748">
        <f t="shared" si="65"/>
        <v>794.94282431959994</v>
      </c>
      <c r="P176" s="748">
        <f t="shared" si="65"/>
        <v>650.40776535239991</v>
      </c>
      <c r="Q176" s="748">
        <f t="shared" si="65"/>
        <v>1300.8155307047998</v>
      </c>
      <c r="R176" s="748">
        <f t="shared" si="65"/>
        <v>4372.1855337577999</v>
      </c>
      <c r="S176" s="748">
        <f t="shared" si="65"/>
        <v>12574.550130146399</v>
      </c>
      <c r="T176" s="748">
        <f t="shared" si="65"/>
        <v>17055.136958129598</v>
      </c>
      <c r="U176" s="748">
        <f t="shared" si="65"/>
        <v>14634.174720428999</v>
      </c>
      <c r="V176" s="748">
        <f t="shared" si="65"/>
        <v>15501.385074232199</v>
      </c>
      <c r="W176" s="748">
        <f t="shared" si="65"/>
        <v>12538.416365404599</v>
      </c>
      <c r="X176" s="748">
        <f t="shared" si="65"/>
        <v>42529.4411010986</v>
      </c>
      <c r="Y176" s="748">
        <f t="shared" si="65"/>
        <v>41084.090511426599</v>
      </c>
      <c r="Z176" s="748">
        <f t="shared" si="65"/>
        <v>91779.762444171996</v>
      </c>
      <c r="AA176" s="748">
        <f t="shared" si="65"/>
        <v>63703.827239793391</v>
      </c>
      <c r="AB176" s="748">
        <f t="shared" si="65"/>
        <v>66413.859595428396</v>
      </c>
      <c r="AC176" s="748">
        <f t="shared" si="65"/>
        <v>100271.19715849499</v>
      </c>
      <c r="AD176" s="748">
        <f t="shared" si="65"/>
        <v>84516.875731070191</v>
      </c>
      <c r="AE176" s="748">
        <f t="shared" si="65"/>
        <v>75013.695603976797</v>
      </c>
      <c r="AF176" s="748">
        <f t="shared" si="65"/>
        <v>62981.151944957397</v>
      </c>
      <c r="AG176" s="748">
        <f t="shared" si="65"/>
        <v>68220.547832518394</v>
      </c>
      <c r="AH176" s="748">
        <f t="shared" si="65"/>
        <v>53441.838053122192</v>
      </c>
      <c r="AI176" s="748">
        <f t="shared" si="65"/>
        <v>50009.130402651193</v>
      </c>
      <c r="AJ176" s="748">
        <f t="shared" si="65"/>
        <v>67606.273831907791</v>
      </c>
      <c r="AM176" s="28"/>
      <c r="AN176" s="28"/>
      <c r="AO176" s="28"/>
      <c r="AP176" s="28"/>
      <c r="AQ176" s="28"/>
      <c r="AR176" s="28"/>
      <c r="AS176" s="28"/>
    </row>
    <row r="177" spans="1:45" ht="17" x14ac:dyDescent="0.45">
      <c r="A177" s="1450" t="s">
        <v>1356</v>
      </c>
      <c r="B177" s="1436" t="s">
        <v>1189</v>
      </c>
      <c r="C177" s="766">
        <f t="shared" ref="C177:AJ177" si="66">C176/($B$244*1000000)</f>
        <v>0</v>
      </c>
      <c r="D177" s="766">
        <f t="shared" si="66"/>
        <v>0</v>
      </c>
      <c r="E177" s="766">
        <f t="shared" si="66"/>
        <v>0</v>
      </c>
      <c r="F177" s="766">
        <f t="shared" si="66"/>
        <v>0</v>
      </c>
      <c r="G177" s="766">
        <f t="shared" si="66"/>
        <v>0</v>
      </c>
      <c r="H177" s="766">
        <f t="shared" si="66"/>
        <v>0</v>
      </c>
      <c r="I177" s="766">
        <f t="shared" si="66"/>
        <v>0</v>
      </c>
      <c r="J177" s="766">
        <f t="shared" si="66"/>
        <v>0</v>
      </c>
      <c r="K177" s="766">
        <f t="shared" si="66"/>
        <v>0</v>
      </c>
      <c r="L177" s="766">
        <f t="shared" si="66"/>
        <v>0</v>
      </c>
      <c r="M177" s="766">
        <f t="shared" si="66"/>
        <v>0</v>
      </c>
      <c r="N177" s="766">
        <f t="shared" si="66"/>
        <v>2.2945999999999999E-7</v>
      </c>
      <c r="O177" s="766">
        <f t="shared" si="66"/>
        <v>3.6057999999999996E-7</v>
      </c>
      <c r="P177" s="766">
        <f t="shared" si="66"/>
        <v>2.9501999999999995E-7</v>
      </c>
      <c r="Q177" s="766">
        <f t="shared" si="66"/>
        <v>5.900399999999999E-7</v>
      </c>
      <c r="R177" s="766">
        <f t="shared" si="66"/>
        <v>1.9831900000000001E-6</v>
      </c>
      <c r="S177" s="766">
        <f t="shared" si="66"/>
        <v>5.7037199999999998E-6</v>
      </c>
      <c r="T177" s="766">
        <f t="shared" si="66"/>
        <v>7.736079999999999E-6</v>
      </c>
      <c r="U177" s="766">
        <f t="shared" si="66"/>
        <v>6.6379499999999997E-6</v>
      </c>
      <c r="V177" s="766">
        <f t="shared" si="66"/>
        <v>7.0313099999999998E-6</v>
      </c>
      <c r="W177" s="766">
        <f t="shared" si="66"/>
        <v>5.6873299999999993E-6</v>
      </c>
      <c r="X177" s="766">
        <f t="shared" si="66"/>
        <v>1.9291030000000001E-5</v>
      </c>
      <c r="Y177" s="766">
        <f t="shared" si="66"/>
        <v>1.863543E-5</v>
      </c>
      <c r="Z177" s="766">
        <f t="shared" si="66"/>
        <v>4.1630600000000001E-5</v>
      </c>
      <c r="AA177" s="766">
        <f t="shared" si="66"/>
        <v>2.8895569999999996E-5</v>
      </c>
      <c r="AB177" s="766">
        <f t="shared" si="66"/>
        <v>3.0124819999999998E-5</v>
      </c>
      <c r="AC177" s="766">
        <f t="shared" si="66"/>
        <v>4.548225E-5</v>
      </c>
      <c r="AD177" s="766">
        <f t="shared" si="66"/>
        <v>3.8336209999999995E-5</v>
      </c>
      <c r="AE177" s="766">
        <f t="shared" si="66"/>
        <v>3.4025639999999998E-5</v>
      </c>
      <c r="AF177" s="766">
        <f t="shared" si="66"/>
        <v>2.8567769999999999E-5</v>
      </c>
      <c r="AG177" s="766">
        <f t="shared" si="66"/>
        <v>3.0944319999999996E-5</v>
      </c>
      <c r="AH177" s="766">
        <f t="shared" si="66"/>
        <v>2.4240809999999997E-5</v>
      </c>
      <c r="AI177" s="766">
        <f t="shared" si="66"/>
        <v>2.2683759999999998E-5</v>
      </c>
      <c r="AJ177" s="766">
        <f t="shared" si="66"/>
        <v>3.0665689999999993E-5</v>
      </c>
      <c r="AM177" s="28"/>
      <c r="AN177" s="28"/>
      <c r="AO177" s="28"/>
      <c r="AP177" s="28"/>
      <c r="AQ177" s="28"/>
      <c r="AR177" s="28"/>
      <c r="AS177" s="28"/>
    </row>
    <row r="178" spans="1:45" ht="17" x14ac:dyDescent="0.45">
      <c r="A178" s="1450" t="s">
        <v>1394</v>
      </c>
      <c r="B178" s="1436" t="s">
        <v>1189</v>
      </c>
      <c r="C178" s="767">
        <f t="shared" ref="C178:AJ178" si="67">C174+C177</f>
        <v>0</v>
      </c>
      <c r="D178" s="767">
        <f t="shared" si="67"/>
        <v>0</v>
      </c>
      <c r="E178" s="767">
        <f t="shared" si="67"/>
        <v>0</v>
      </c>
      <c r="F178" s="767">
        <f t="shared" si="67"/>
        <v>0</v>
      </c>
      <c r="G178" s="767">
        <f t="shared" si="67"/>
        <v>0</v>
      </c>
      <c r="H178" s="767">
        <f t="shared" si="67"/>
        <v>0</v>
      </c>
      <c r="I178" s="767">
        <f t="shared" si="67"/>
        <v>0</v>
      </c>
      <c r="J178" s="767">
        <f t="shared" si="67"/>
        <v>0</v>
      </c>
      <c r="K178" s="767">
        <f t="shared" si="67"/>
        <v>0</v>
      </c>
      <c r="L178" s="767">
        <f t="shared" si="67"/>
        <v>0</v>
      </c>
      <c r="M178" s="767">
        <f t="shared" si="67"/>
        <v>0</v>
      </c>
      <c r="N178" s="767">
        <f t="shared" si="67"/>
        <v>4.2196E-7</v>
      </c>
      <c r="O178" s="767">
        <f t="shared" si="67"/>
        <v>6.6307999999999993E-7</v>
      </c>
      <c r="P178" s="767">
        <f t="shared" si="67"/>
        <v>5.4252000000000002E-7</v>
      </c>
      <c r="Q178" s="767">
        <f t="shared" si="67"/>
        <v>1.08504E-6</v>
      </c>
      <c r="R178" s="767">
        <f t="shared" si="67"/>
        <v>3.64694E-6</v>
      </c>
      <c r="S178" s="767">
        <f t="shared" si="67"/>
        <v>1.048872E-5</v>
      </c>
      <c r="T178" s="767">
        <f t="shared" si="67"/>
        <v>1.4226079999999998E-5</v>
      </c>
      <c r="U178" s="767">
        <f t="shared" si="67"/>
        <v>1.22067E-5</v>
      </c>
      <c r="V178" s="767">
        <f t="shared" si="67"/>
        <v>1.2930060000000001E-5</v>
      </c>
      <c r="W178" s="767">
        <f t="shared" si="67"/>
        <v>1.0458579999999999E-5</v>
      </c>
      <c r="X178" s="767">
        <f t="shared" si="67"/>
        <v>3.547478E-5</v>
      </c>
      <c r="Y178" s="767">
        <f t="shared" si="67"/>
        <v>3.4269179999999999E-5</v>
      </c>
      <c r="Z178" s="767">
        <f t="shared" si="67"/>
        <v>7.6555600000000003E-5</v>
      </c>
      <c r="AA178" s="767">
        <f t="shared" si="67"/>
        <v>5.3136819999999997E-5</v>
      </c>
      <c r="AB178" s="767">
        <f t="shared" si="67"/>
        <v>5.5397319999999994E-5</v>
      </c>
      <c r="AC178" s="767">
        <f t="shared" si="67"/>
        <v>8.3638499999999996E-5</v>
      </c>
      <c r="AD178" s="767">
        <f t="shared" si="67"/>
        <v>7.0497459999999991E-5</v>
      </c>
      <c r="AE178" s="767">
        <f t="shared" si="67"/>
        <v>6.2570639999999996E-5</v>
      </c>
      <c r="AF178" s="767">
        <f t="shared" si="67"/>
        <v>5.2534019999999997E-5</v>
      </c>
      <c r="AG178" s="767">
        <f t="shared" si="67"/>
        <v>5.6904319999999991E-5</v>
      </c>
      <c r="AH178" s="767">
        <f t="shared" si="67"/>
        <v>4.4577059999999994E-5</v>
      </c>
      <c r="AI178" s="767">
        <f t="shared" si="67"/>
        <v>4.1713759999999998E-5</v>
      </c>
      <c r="AJ178" s="767">
        <f t="shared" si="67"/>
        <v>5.6391939999999994E-5</v>
      </c>
      <c r="AM178" s="28"/>
      <c r="AN178" s="28"/>
      <c r="AO178" s="28"/>
      <c r="AP178" s="28"/>
      <c r="AQ178" s="28"/>
      <c r="AR178" s="28"/>
      <c r="AS178" s="28"/>
    </row>
    <row r="179" spans="1:45" x14ac:dyDescent="0.4">
      <c r="A179" s="1299" t="s">
        <v>1063</v>
      </c>
      <c r="B179" s="665"/>
      <c r="C179" s="1300"/>
      <c r="D179" s="1300"/>
      <c r="E179" s="1300"/>
      <c r="F179" s="1300"/>
      <c r="G179" s="1300"/>
      <c r="H179" s="1300"/>
      <c r="I179" s="1300"/>
      <c r="J179" s="1300"/>
      <c r="K179" s="1300"/>
      <c r="L179" s="1300"/>
      <c r="M179" s="1300"/>
      <c r="N179" s="1300"/>
      <c r="O179" s="1300"/>
      <c r="P179" s="1300"/>
      <c r="Q179" s="1300"/>
      <c r="R179" s="1300"/>
      <c r="S179" s="1300"/>
      <c r="T179" s="1300"/>
      <c r="U179" s="1300"/>
      <c r="V179" s="1300"/>
      <c r="W179" s="1300"/>
      <c r="X179" s="1300"/>
      <c r="Y179" s="1300"/>
      <c r="Z179" s="1300"/>
      <c r="AA179" s="1300"/>
      <c r="AB179" s="1300"/>
      <c r="AC179" s="1300"/>
      <c r="AD179" s="1300"/>
      <c r="AE179" s="1300"/>
      <c r="AF179" s="1300"/>
      <c r="AG179" s="1300"/>
      <c r="AH179" s="1300"/>
      <c r="AI179" s="1300"/>
      <c r="AJ179" s="1300"/>
      <c r="AM179" s="28"/>
      <c r="AN179" s="28"/>
      <c r="AO179" s="28"/>
      <c r="AP179" s="28"/>
      <c r="AQ179" s="28"/>
      <c r="AR179" s="28"/>
      <c r="AS179" s="28"/>
    </row>
    <row r="180" spans="1:45" x14ac:dyDescent="0.4">
      <c r="A180" s="754"/>
      <c r="C180" s="293"/>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c r="AE180" s="293"/>
      <c r="AF180" s="293"/>
      <c r="AG180" s="293"/>
      <c r="AH180" s="293"/>
      <c r="AI180" s="293"/>
      <c r="AJ180" s="293"/>
      <c r="AM180" s="28"/>
      <c r="AN180" s="28"/>
      <c r="AO180" s="28"/>
      <c r="AP180" s="28"/>
      <c r="AQ180" s="28"/>
      <c r="AR180" s="28"/>
      <c r="AS180" s="28"/>
    </row>
    <row r="181" spans="1:45" x14ac:dyDescent="0.4">
      <c r="A181" s="754" t="s">
        <v>457</v>
      </c>
      <c r="B181" s="237"/>
      <c r="C181" s="237"/>
      <c r="D181" s="237"/>
      <c r="E181" s="237"/>
      <c r="F181" s="237"/>
      <c r="G181" s="237"/>
      <c r="H181" s="237"/>
      <c r="I181" s="237"/>
      <c r="J181" s="237"/>
      <c r="K181" s="237"/>
      <c r="L181" s="237"/>
      <c r="M181" s="237"/>
      <c r="N181" s="237"/>
      <c r="O181" s="237"/>
      <c r="P181" s="237"/>
      <c r="Q181" s="237"/>
      <c r="R181" s="237"/>
      <c r="S181" s="237"/>
      <c r="T181" s="237"/>
      <c r="U181" s="237"/>
      <c r="V181" s="237"/>
      <c r="W181" s="237"/>
      <c r="X181" s="237"/>
      <c r="Y181" s="237"/>
      <c r="Z181" s="237"/>
      <c r="AA181" s="237"/>
      <c r="AM181" s="28"/>
      <c r="AN181" s="28"/>
      <c r="AO181" s="28"/>
      <c r="AP181" s="28"/>
      <c r="AQ181" s="28"/>
      <c r="AR181" s="28"/>
      <c r="AS181" s="28"/>
    </row>
    <row r="182" spans="1:45" x14ac:dyDescent="0.4">
      <c r="A182" s="237" t="s">
        <v>606</v>
      </c>
      <c r="B182" s="237"/>
      <c r="C182" s="237"/>
      <c r="D182" s="237"/>
      <c r="E182" s="237"/>
      <c r="F182" s="237"/>
      <c r="G182" s="237"/>
      <c r="H182" s="237"/>
      <c r="I182" s="237"/>
      <c r="J182" s="237"/>
      <c r="K182" s="237"/>
      <c r="L182" s="237"/>
      <c r="M182" s="237"/>
      <c r="N182" s="237"/>
      <c r="O182" s="237"/>
      <c r="P182" s="237"/>
      <c r="Q182" s="237"/>
      <c r="R182" s="237"/>
      <c r="S182" s="237"/>
      <c r="T182" s="237"/>
      <c r="U182" s="237"/>
      <c r="V182" s="237"/>
      <c r="W182" s="237"/>
      <c r="X182" s="237"/>
      <c r="Y182" s="237"/>
      <c r="Z182" s="237"/>
      <c r="AA182" s="237"/>
      <c r="AM182" s="28"/>
      <c r="AN182" s="28"/>
      <c r="AO182" s="28"/>
      <c r="AP182" s="28"/>
      <c r="AQ182" s="28"/>
      <c r="AR182" s="28"/>
      <c r="AS182" s="28"/>
    </row>
    <row r="183" spans="1:45" ht="16.5" thickBot="1" x14ac:dyDescent="0.45">
      <c r="A183" s="236"/>
      <c r="C183" s="237"/>
      <c r="D183" s="237"/>
      <c r="E183" s="237"/>
      <c r="F183" s="237"/>
      <c r="G183" s="237"/>
      <c r="H183" s="237"/>
      <c r="I183" s="237"/>
      <c r="J183" s="237"/>
      <c r="K183" s="237"/>
      <c r="L183" s="237"/>
      <c r="M183" s="237"/>
      <c r="N183" s="237"/>
      <c r="O183" s="237"/>
      <c r="P183" s="237"/>
      <c r="Q183" s="237"/>
      <c r="R183" s="237"/>
      <c r="S183" s="237"/>
      <c r="T183" s="237"/>
      <c r="U183" s="237"/>
      <c r="V183" s="237"/>
      <c r="W183" s="237"/>
      <c r="X183" s="237"/>
      <c r="Y183" s="237"/>
      <c r="Z183" s="237"/>
      <c r="AA183" s="237"/>
      <c r="AM183" s="28"/>
      <c r="AN183" s="28"/>
      <c r="AO183" s="28"/>
      <c r="AP183" s="28"/>
      <c r="AQ183" s="28"/>
      <c r="AR183" s="28"/>
      <c r="AS183" s="28"/>
    </row>
    <row r="184" spans="1:45" ht="16.5" thickBot="1" x14ac:dyDescent="0.45">
      <c r="A184" s="784" t="s">
        <v>932</v>
      </c>
      <c r="B184" s="237"/>
      <c r="C184" s="237"/>
      <c r="D184" s="237"/>
      <c r="E184" s="237"/>
      <c r="F184" s="237"/>
      <c r="G184" s="237"/>
      <c r="H184" s="237"/>
      <c r="I184" s="237"/>
      <c r="J184" s="237"/>
      <c r="K184" s="237"/>
      <c r="L184" s="237"/>
      <c r="M184" s="237"/>
      <c r="N184" s="237"/>
      <c r="O184" s="237"/>
      <c r="P184" s="237"/>
      <c r="Q184" s="237"/>
      <c r="R184" s="237"/>
      <c r="S184" s="237"/>
      <c r="T184" s="237"/>
      <c r="U184" s="237"/>
      <c r="V184" s="237"/>
      <c r="W184" s="237"/>
      <c r="X184" s="237"/>
      <c r="Y184" s="237"/>
      <c r="Z184" s="237"/>
      <c r="AA184" s="237"/>
      <c r="AM184" s="28"/>
      <c r="AN184" s="28"/>
      <c r="AO184" s="28"/>
      <c r="AP184" s="28"/>
      <c r="AQ184" s="28"/>
      <c r="AR184" s="28"/>
      <c r="AS184" s="28"/>
    </row>
    <row r="185" spans="1:45" s="28" customFormat="1" x14ac:dyDescent="0.4">
      <c r="A185" s="1283" t="s">
        <v>936</v>
      </c>
      <c r="B185" s="71" t="s">
        <v>136</v>
      </c>
      <c r="C185" s="652" t="s">
        <v>391</v>
      </c>
      <c r="D185" s="652" t="s">
        <v>392</v>
      </c>
      <c r="E185" s="652" t="s">
        <v>393</v>
      </c>
      <c r="F185" s="652" t="s">
        <v>394</v>
      </c>
      <c r="G185" s="652" t="s">
        <v>395</v>
      </c>
      <c r="H185" s="652" t="s">
        <v>396</v>
      </c>
      <c r="I185" s="652" t="s">
        <v>397</v>
      </c>
      <c r="J185" s="652" t="s">
        <v>398</v>
      </c>
      <c r="K185" s="652" t="s">
        <v>399</v>
      </c>
      <c r="L185" s="652" t="s">
        <v>400</v>
      </c>
      <c r="M185" s="652" t="s">
        <v>401</v>
      </c>
      <c r="N185" s="652" t="s">
        <v>402</v>
      </c>
      <c r="O185" s="652" t="s">
        <v>403</v>
      </c>
      <c r="P185" s="652" t="s">
        <v>404</v>
      </c>
      <c r="Q185" s="652" t="s">
        <v>405</v>
      </c>
      <c r="R185" s="652" t="s">
        <v>406</v>
      </c>
      <c r="S185" s="652" t="s">
        <v>407</v>
      </c>
      <c r="T185" s="652" t="s">
        <v>408</v>
      </c>
      <c r="U185" s="652" t="s">
        <v>409</v>
      </c>
      <c r="V185" s="652" t="s">
        <v>410</v>
      </c>
      <c r="W185" s="652" t="s">
        <v>411</v>
      </c>
      <c r="X185" s="652" t="s">
        <v>412</v>
      </c>
      <c r="Y185" s="652" t="s">
        <v>413</v>
      </c>
      <c r="Z185" s="652" t="s">
        <v>414</v>
      </c>
      <c r="AA185" s="652" t="s">
        <v>415</v>
      </c>
      <c r="AB185" s="652" t="s">
        <v>416</v>
      </c>
      <c r="AC185" s="652" t="s">
        <v>417</v>
      </c>
      <c r="AD185" s="652" t="s">
        <v>418</v>
      </c>
      <c r="AE185" s="652" t="s">
        <v>419</v>
      </c>
      <c r="AF185" s="652" t="s">
        <v>420</v>
      </c>
      <c r="AG185" s="652" t="s">
        <v>421</v>
      </c>
      <c r="AH185" s="652" t="s">
        <v>422</v>
      </c>
      <c r="AI185" s="652" t="s">
        <v>423</v>
      </c>
      <c r="AJ185" s="652" t="s">
        <v>424</v>
      </c>
      <c r="AK185" s="3"/>
      <c r="AL185" s="3"/>
    </row>
    <row r="186" spans="1:45" x14ac:dyDescent="0.4">
      <c r="A186" s="741" t="s">
        <v>607</v>
      </c>
      <c r="B186" s="819" t="s">
        <v>582</v>
      </c>
      <c r="C186" s="526">
        <v>0</v>
      </c>
      <c r="D186" s="526">
        <v>0</v>
      </c>
      <c r="E186" s="526">
        <v>0</v>
      </c>
      <c r="F186" s="526">
        <v>0</v>
      </c>
      <c r="G186" s="526">
        <v>0</v>
      </c>
      <c r="H186" s="526">
        <v>0</v>
      </c>
      <c r="I186" s="526">
        <v>0</v>
      </c>
      <c r="J186" s="526">
        <v>0</v>
      </c>
      <c r="K186" s="526">
        <v>0</v>
      </c>
      <c r="L186" s="526">
        <v>0</v>
      </c>
      <c r="M186" s="526">
        <v>0</v>
      </c>
      <c r="N186" s="526">
        <v>0</v>
      </c>
      <c r="O186" s="526">
        <v>72</v>
      </c>
      <c r="P186" s="526">
        <v>72</v>
      </c>
      <c r="Q186" s="526">
        <v>684</v>
      </c>
      <c r="R186" s="526">
        <v>6018</v>
      </c>
      <c r="S186" s="526">
        <v>16266</v>
      </c>
      <c r="T186" s="526">
        <v>20911</v>
      </c>
      <c r="U186" s="526">
        <v>17439</v>
      </c>
      <c r="V186" s="526">
        <v>19322</v>
      </c>
      <c r="W186" s="526">
        <v>24151</v>
      </c>
      <c r="X186" s="526">
        <v>23263</v>
      </c>
      <c r="Y186" s="526">
        <v>22634</v>
      </c>
      <c r="Z186" s="526">
        <v>22984</v>
      </c>
      <c r="AA186" s="526">
        <v>22872</v>
      </c>
      <c r="AB186" s="526">
        <v>23217</v>
      </c>
      <c r="AC186" s="526">
        <v>23339</v>
      </c>
      <c r="AD186" s="526">
        <v>23072</v>
      </c>
      <c r="AE186" s="526">
        <v>23102</v>
      </c>
      <c r="AF186" s="526">
        <v>23074</v>
      </c>
      <c r="AG186" s="526">
        <v>18416</v>
      </c>
      <c r="AH186" s="526">
        <v>20845</v>
      </c>
      <c r="AI186" s="3">
        <v>20876</v>
      </c>
      <c r="AJ186" s="526">
        <v>21124</v>
      </c>
      <c r="AM186" s="28"/>
      <c r="AN186" s="28"/>
      <c r="AO186" s="28"/>
      <c r="AP186" s="28"/>
      <c r="AQ186" s="28"/>
      <c r="AR186" s="28"/>
      <c r="AS186" s="28"/>
    </row>
    <row r="187" spans="1:45" ht="16.5" thickBot="1" x14ac:dyDescent="0.45">
      <c r="A187" s="747" t="s">
        <v>591</v>
      </c>
      <c r="B187" s="820" t="s">
        <v>583</v>
      </c>
      <c r="C187" s="791">
        <f t="shared" ref="C187:AJ187" si="68">C186*1000</f>
        <v>0</v>
      </c>
      <c r="D187" s="791">
        <f t="shared" si="68"/>
        <v>0</v>
      </c>
      <c r="E187" s="791">
        <f t="shared" si="68"/>
        <v>0</v>
      </c>
      <c r="F187" s="791">
        <f t="shared" si="68"/>
        <v>0</v>
      </c>
      <c r="G187" s="791">
        <f t="shared" si="68"/>
        <v>0</v>
      </c>
      <c r="H187" s="791">
        <f t="shared" si="68"/>
        <v>0</v>
      </c>
      <c r="I187" s="791">
        <f t="shared" si="68"/>
        <v>0</v>
      </c>
      <c r="J187" s="791">
        <f t="shared" si="68"/>
        <v>0</v>
      </c>
      <c r="K187" s="791">
        <f t="shared" si="68"/>
        <v>0</v>
      </c>
      <c r="L187" s="791">
        <f t="shared" si="68"/>
        <v>0</v>
      </c>
      <c r="M187" s="791">
        <f t="shared" si="68"/>
        <v>0</v>
      </c>
      <c r="N187" s="791">
        <f t="shared" si="68"/>
        <v>0</v>
      </c>
      <c r="O187" s="791">
        <f t="shared" si="68"/>
        <v>72000</v>
      </c>
      <c r="P187" s="791">
        <f t="shared" si="68"/>
        <v>72000</v>
      </c>
      <c r="Q187" s="791">
        <f t="shared" si="68"/>
        <v>684000</v>
      </c>
      <c r="R187" s="791">
        <f t="shared" si="68"/>
        <v>6018000</v>
      </c>
      <c r="S187" s="791">
        <f t="shared" si="68"/>
        <v>16266000</v>
      </c>
      <c r="T187" s="791">
        <f t="shared" si="68"/>
        <v>20911000</v>
      </c>
      <c r="U187" s="791">
        <f t="shared" si="68"/>
        <v>17439000</v>
      </c>
      <c r="V187" s="791">
        <f t="shared" si="68"/>
        <v>19322000</v>
      </c>
      <c r="W187" s="791">
        <f t="shared" si="68"/>
        <v>24151000</v>
      </c>
      <c r="X187" s="791">
        <f t="shared" si="68"/>
        <v>23263000</v>
      </c>
      <c r="Y187" s="791">
        <f t="shared" si="68"/>
        <v>22634000</v>
      </c>
      <c r="Z187" s="791">
        <f t="shared" si="68"/>
        <v>22984000</v>
      </c>
      <c r="AA187" s="791">
        <f t="shared" si="68"/>
        <v>22872000</v>
      </c>
      <c r="AB187" s="791">
        <f t="shared" si="68"/>
        <v>23217000</v>
      </c>
      <c r="AC187" s="791">
        <f t="shared" si="68"/>
        <v>23339000</v>
      </c>
      <c r="AD187" s="791">
        <f t="shared" si="68"/>
        <v>23072000</v>
      </c>
      <c r="AE187" s="791">
        <f t="shared" si="68"/>
        <v>23102000</v>
      </c>
      <c r="AF187" s="791">
        <f t="shared" si="68"/>
        <v>23074000</v>
      </c>
      <c r="AG187" s="791">
        <f t="shared" si="68"/>
        <v>18416000</v>
      </c>
      <c r="AH187" s="791">
        <f t="shared" si="68"/>
        <v>20845000</v>
      </c>
      <c r="AI187" s="791">
        <f t="shared" si="68"/>
        <v>20876000</v>
      </c>
      <c r="AJ187" s="791">
        <f t="shared" si="68"/>
        <v>21124000</v>
      </c>
      <c r="AM187" s="28"/>
      <c r="AN187" s="28"/>
      <c r="AO187" s="28"/>
      <c r="AP187" s="28"/>
      <c r="AQ187" s="28"/>
      <c r="AR187" s="28"/>
      <c r="AS187" s="28"/>
    </row>
    <row r="188" spans="1:45" ht="17" x14ac:dyDescent="0.45">
      <c r="A188" s="1445" t="s">
        <v>1349</v>
      </c>
      <c r="B188" s="819" t="s">
        <v>584</v>
      </c>
      <c r="C188" s="772">
        <f t="shared" ref="C188:AJ188" si="69">C187*$C$228</f>
        <v>0</v>
      </c>
      <c r="D188" s="772">
        <f t="shared" si="69"/>
        <v>0</v>
      </c>
      <c r="E188" s="772">
        <f t="shared" si="69"/>
        <v>0</v>
      </c>
      <c r="F188" s="772">
        <f t="shared" si="69"/>
        <v>0</v>
      </c>
      <c r="G188" s="772">
        <f t="shared" si="69"/>
        <v>0</v>
      </c>
      <c r="H188" s="772">
        <f t="shared" si="69"/>
        <v>0</v>
      </c>
      <c r="I188" s="772">
        <f t="shared" si="69"/>
        <v>0</v>
      </c>
      <c r="J188" s="772">
        <f t="shared" si="69"/>
        <v>0</v>
      </c>
      <c r="K188" s="772">
        <f t="shared" si="69"/>
        <v>0</v>
      </c>
      <c r="L188" s="772">
        <f t="shared" si="69"/>
        <v>0</v>
      </c>
      <c r="M188" s="772">
        <f t="shared" si="69"/>
        <v>0</v>
      </c>
      <c r="N188" s="772">
        <f t="shared" si="69"/>
        <v>0</v>
      </c>
      <c r="O188" s="772">
        <f t="shared" si="69"/>
        <v>10863674.792121598</v>
      </c>
      <c r="P188" s="772">
        <f t="shared" si="69"/>
        <v>10863674.792121598</v>
      </c>
      <c r="Q188" s="772">
        <f t="shared" si="69"/>
        <v>103204910.52515519</v>
      </c>
      <c r="R188" s="772">
        <f t="shared" si="69"/>
        <v>908022151.37483025</v>
      </c>
      <c r="S188" s="772">
        <f t="shared" si="69"/>
        <v>2454285196.7868047</v>
      </c>
      <c r="T188" s="772">
        <f t="shared" si="69"/>
        <v>3155143105.2507606</v>
      </c>
      <c r="U188" s="772">
        <f t="shared" si="69"/>
        <v>2631272565.2751188</v>
      </c>
      <c r="V188" s="772">
        <f t="shared" si="69"/>
        <v>2915387837.963521</v>
      </c>
      <c r="W188" s="772">
        <f t="shared" si="69"/>
        <v>3644008470.8962321</v>
      </c>
      <c r="X188" s="772">
        <f t="shared" si="69"/>
        <v>3510023148.4600658</v>
      </c>
      <c r="Y188" s="772">
        <f t="shared" si="69"/>
        <v>3415116878.4011149</v>
      </c>
      <c r="Z188" s="772">
        <f t="shared" si="69"/>
        <v>3467926408.640595</v>
      </c>
      <c r="AA188" s="772">
        <f t="shared" si="69"/>
        <v>3451027358.9639611</v>
      </c>
      <c r="AB188" s="772">
        <f t="shared" si="69"/>
        <v>3503082467.3428769</v>
      </c>
      <c r="AC188" s="772">
        <f t="shared" si="69"/>
        <v>3521490360.7406387</v>
      </c>
      <c r="AD188" s="772">
        <f t="shared" si="69"/>
        <v>3481204233.3865213</v>
      </c>
      <c r="AE188" s="772">
        <f t="shared" si="69"/>
        <v>3485730764.5499053</v>
      </c>
      <c r="AF188" s="772">
        <f t="shared" si="69"/>
        <v>3481506002.1307468</v>
      </c>
      <c r="AG188" s="772">
        <f t="shared" si="69"/>
        <v>2778686596.8293242</v>
      </c>
      <c r="AH188" s="772">
        <f t="shared" si="69"/>
        <v>3145184736.6913157</v>
      </c>
      <c r="AI188" s="772">
        <f t="shared" si="69"/>
        <v>3149862152.2268124</v>
      </c>
      <c r="AJ188" s="772">
        <f t="shared" si="69"/>
        <v>3187281476.510787</v>
      </c>
      <c r="AM188" s="28"/>
      <c r="AN188" s="28"/>
      <c r="AO188" s="28"/>
      <c r="AP188" s="28"/>
      <c r="AQ188" s="28"/>
      <c r="AR188" s="28"/>
      <c r="AS188" s="28"/>
    </row>
    <row r="189" spans="1:45" ht="17" x14ac:dyDescent="0.45">
      <c r="A189" s="1445" t="s">
        <v>1349</v>
      </c>
      <c r="B189" s="1457" t="s">
        <v>1357</v>
      </c>
      <c r="C189" s="766">
        <f t="shared" ref="C189:AJ189" si="70">C188/($B$244*1000000)</f>
        <v>0</v>
      </c>
      <c r="D189" s="766">
        <f t="shared" si="70"/>
        <v>0</v>
      </c>
      <c r="E189" s="766">
        <f t="shared" si="70"/>
        <v>0</v>
      </c>
      <c r="F189" s="766">
        <f t="shared" si="70"/>
        <v>0</v>
      </c>
      <c r="G189" s="766">
        <f t="shared" si="70"/>
        <v>0</v>
      </c>
      <c r="H189" s="766">
        <f t="shared" si="70"/>
        <v>0</v>
      </c>
      <c r="I189" s="766">
        <f t="shared" si="70"/>
        <v>0</v>
      </c>
      <c r="J189" s="766">
        <f t="shared" si="70"/>
        <v>0</v>
      </c>
      <c r="K189" s="766">
        <f t="shared" si="70"/>
        <v>0</v>
      </c>
      <c r="L189" s="766">
        <f t="shared" si="70"/>
        <v>0</v>
      </c>
      <c r="M189" s="766">
        <f t="shared" si="70"/>
        <v>0</v>
      </c>
      <c r="N189" s="766">
        <f t="shared" si="70"/>
        <v>0</v>
      </c>
      <c r="O189" s="766">
        <f t="shared" si="70"/>
        <v>4.9276799999999994E-3</v>
      </c>
      <c r="P189" s="766">
        <f t="shared" si="70"/>
        <v>4.9276799999999994E-3</v>
      </c>
      <c r="Q189" s="766">
        <f t="shared" si="70"/>
        <v>4.6812959999999994E-2</v>
      </c>
      <c r="R189" s="766">
        <f t="shared" si="70"/>
        <v>0.41187191999999995</v>
      </c>
      <c r="S189" s="766">
        <f t="shared" si="70"/>
        <v>1.11324504</v>
      </c>
      <c r="T189" s="766">
        <f t="shared" si="70"/>
        <v>1.4311488399999999</v>
      </c>
      <c r="U189" s="766">
        <f t="shared" si="70"/>
        <v>1.1935251599999999</v>
      </c>
      <c r="V189" s="766">
        <f t="shared" si="70"/>
        <v>1.3223976799999997</v>
      </c>
      <c r="W189" s="766">
        <f t="shared" si="70"/>
        <v>1.6528944399999996</v>
      </c>
      <c r="X189" s="766">
        <f t="shared" si="70"/>
        <v>1.5921197199999997</v>
      </c>
      <c r="Y189" s="766">
        <f t="shared" si="70"/>
        <v>1.5490709599999999</v>
      </c>
      <c r="Z189" s="766">
        <f t="shared" si="70"/>
        <v>1.5730249599999999</v>
      </c>
      <c r="AA189" s="766">
        <f t="shared" si="70"/>
        <v>1.5653596799999998</v>
      </c>
      <c r="AB189" s="766">
        <f t="shared" si="70"/>
        <v>1.5889714799999997</v>
      </c>
      <c r="AC189" s="766">
        <f t="shared" si="70"/>
        <v>1.5973211599999997</v>
      </c>
      <c r="AD189" s="766">
        <f t="shared" si="70"/>
        <v>1.57904768</v>
      </c>
      <c r="AE189" s="766">
        <f t="shared" si="70"/>
        <v>1.5811008799999999</v>
      </c>
      <c r="AF189" s="766">
        <f t="shared" si="70"/>
        <v>1.5791845599999998</v>
      </c>
      <c r="AG189" s="766">
        <f t="shared" si="70"/>
        <v>1.2603910399999998</v>
      </c>
      <c r="AH189" s="766">
        <f t="shared" si="70"/>
        <v>1.4266317999999998</v>
      </c>
      <c r="AI189" s="766">
        <f t="shared" si="70"/>
        <v>1.4287534399999997</v>
      </c>
      <c r="AJ189" s="766">
        <f t="shared" si="70"/>
        <v>1.44572656</v>
      </c>
      <c r="AM189" s="28"/>
      <c r="AN189" s="28"/>
      <c r="AO189" s="28"/>
      <c r="AP189" s="28"/>
      <c r="AQ189" s="28"/>
      <c r="AR189" s="28"/>
      <c r="AS189" s="28"/>
    </row>
    <row r="190" spans="1:45" x14ac:dyDescent="0.4">
      <c r="A190" s="1299" t="s">
        <v>1063</v>
      </c>
      <c r="B190" s="665"/>
      <c r="C190" s="1300"/>
      <c r="D190" s="1300"/>
      <c r="E190" s="1300"/>
      <c r="F190" s="1300"/>
      <c r="G190" s="1300"/>
      <c r="H190" s="1300"/>
      <c r="I190" s="1300"/>
      <c r="J190" s="1300"/>
      <c r="K190" s="1300"/>
      <c r="L190" s="1300"/>
      <c r="M190" s="1300"/>
      <c r="N190" s="1300"/>
      <c r="O190" s="1300"/>
      <c r="P190" s="1300"/>
      <c r="Q190" s="1300"/>
      <c r="R190" s="1300"/>
      <c r="S190" s="1300"/>
      <c r="T190" s="1300"/>
      <c r="U190" s="1300"/>
      <c r="V190" s="1300"/>
      <c r="W190" s="1300"/>
      <c r="X190" s="1300"/>
      <c r="Y190" s="1300"/>
      <c r="Z190" s="1300"/>
      <c r="AA190" s="1300"/>
      <c r="AB190" s="1300"/>
      <c r="AC190" s="1300"/>
      <c r="AD190" s="1300"/>
      <c r="AE190" s="1300"/>
      <c r="AF190" s="1300"/>
      <c r="AG190" s="1300"/>
      <c r="AH190" s="1300"/>
      <c r="AI190" s="1300"/>
      <c r="AJ190" s="1300"/>
      <c r="AM190" s="28"/>
      <c r="AN190" s="28"/>
      <c r="AO190" s="28"/>
      <c r="AP190" s="28"/>
      <c r="AQ190" s="28"/>
      <c r="AR190" s="28"/>
      <c r="AS190" s="28"/>
    </row>
    <row r="191" spans="1:45" x14ac:dyDescent="0.4">
      <c r="A191" s="754"/>
      <c r="C191" s="293"/>
      <c r="D191" s="293"/>
      <c r="E191" s="293"/>
      <c r="F191" s="293"/>
      <c r="G191" s="293"/>
      <c r="H191" s="293"/>
      <c r="I191" s="293"/>
      <c r="J191" s="293"/>
      <c r="K191" s="293"/>
      <c r="L191" s="293"/>
      <c r="M191" s="293"/>
      <c r="N191" s="293"/>
      <c r="O191" s="293"/>
      <c r="P191" s="293"/>
      <c r="Q191" s="293"/>
      <c r="R191" s="293"/>
      <c r="S191" s="293"/>
      <c r="T191" s="293"/>
      <c r="U191" s="293"/>
      <c r="V191" s="293"/>
      <c r="W191" s="293"/>
      <c r="X191" s="293"/>
      <c r="Y191" s="293"/>
      <c r="Z191" s="293"/>
      <c r="AA191" s="293"/>
      <c r="AB191" s="293"/>
      <c r="AC191" s="293"/>
      <c r="AD191" s="293"/>
      <c r="AE191" s="293"/>
      <c r="AF191" s="293"/>
      <c r="AG191" s="293"/>
      <c r="AH191" s="293"/>
      <c r="AI191" s="293"/>
      <c r="AJ191" s="293"/>
      <c r="AM191" s="28"/>
      <c r="AN191" s="28"/>
      <c r="AO191" s="28"/>
      <c r="AP191" s="28"/>
      <c r="AQ191" s="28"/>
      <c r="AR191" s="28"/>
      <c r="AS191" s="28"/>
    </row>
    <row r="192" spans="1:45" x14ac:dyDescent="0.4">
      <c r="A192" s="754" t="s">
        <v>457</v>
      </c>
      <c r="C192" s="237"/>
      <c r="D192" s="237"/>
      <c r="E192" s="237"/>
      <c r="F192" s="237"/>
      <c r="G192" s="237"/>
      <c r="H192" s="237"/>
      <c r="I192" s="237"/>
      <c r="J192" s="237"/>
      <c r="K192" s="237"/>
      <c r="L192" s="237"/>
      <c r="M192" s="237"/>
      <c r="N192" s="237"/>
      <c r="O192" s="237"/>
      <c r="P192" s="237"/>
      <c r="Q192" s="237"/>
      <c r="R192" s="237"/>
      <c r="S192" s="237"/>
      <c r="T192" s="237"/>
      <c r="U192" s="237"/>
      <c r="V192" s="237"/>
      <c r="W192" s="237"/>
      <c r="X192" s="237"/>
      <c r="Y192" s="237"/>
      <c r="Z192" s="237"/>
      <c r="AA192" s="237"/>
      <c r="AB192" s="237"/>
      <c r="AM192" s="28"/>
      <c r="AN192" s="28"/>
      <c r="AO192" s="28"/>
      <c r="AP192" s="28"/>
      <c r="AQ192" s="28"/>
      <c r="AR192" s="28"/>
      <c r="AS192" s="28"/>
    </row>
    <row r="193" spans="1:45" ht="17" x14ac:dyDescent="0.45">
      <c r="A193" s="28" t="s">
        <v>885</v>
      </c>
      <c r="B193" s="237"/>
      <c r="C193" s="237"/>
      <c r="E193" s="237"/>
      <c r="F193" s="237"/>
      <c r="G193" s="237"/>
      <c r="H193" s="237"/>
      <c r="I193" s="237"/>
      <c r="J193" s="237"/>
      <c r="K193" s="237"/>
      <c r="L193" s="237"/>
      <c r="M193" s="237"/>
      <c r="N193" s="237"/>
      <c r="O193" s="237"/>
      <c r="P193" s="237"/>
      <c r="Q193" s="237"/>
      <c r="R193" s="237"/>
      <c r="S193" s="237"/>
      <c r="T193" s="237"/>
      <c r="U193" s="237"/>
      <c r="V193" s="237"/>
      <c r="W193" s="237"/>
      <c r="X193" s="237"/>
      <c r="Y193" s="237"/>
      <c r="Z193" s="237"/>
      <c r="AA193" s="237"/>
      <c r="AM193" s="28"/>
      <c r="AN193" s="28"/>
      <c r="AO193" s="28"/>
      <c r="AP193" s="28"/>
      <c r="AQ193" s="28"/>
      <c r="AR193" s="28"/>
      <c r="AS193" s="28"/>
    </row>
    <row r="194" spans="1:45" ht="16.5" thickBot="1" x14ac:dyDescent="0.45">
      <c r="A194" s="236"/>
      <c r="B194" s="237"/>
      <c r="C194" s="237"/>
      <c r="D194" s="237"/>
      <c r="E194" s="237"/>
      <c r="F194" s="237"/>
      <c r="G194" s="237"/>
      <c r="H194" s="237"/>
      <c r="I194" s="237"/>
      <c r="J194" s="237"/>
      <c r="K194" s="237"/>
      <c r="L194" s="237"/>
      <c r="M194" s="237"/>
      <c r="N194" s="237"/>
      <c r="O194" s="237"/>
      <c r="P194" s="237"/>
      <c r="Q194" s="237"/>
      <c r="R194" s="237"/>
      <c r="S194" s="237"/>
      <c r="T194" s="237"/>
      <c r="U194" s="237"/>
      <c r="V194" s="237"/>
      <c r="W194" s="237"/>
      <c r="X194" s="237"/>
      <c r="Y194" s="237"/>
      <c r="Z194" s="237"/>
      <c r="AA194" s="237"/>
      <c r="AM194" s="28"/>
      <c r="AN194" s="28"/>
      <c r="AO194" s="28"/>
      <c r="AP194" s="28"/>
      <c r="AQ194" s="28"/>
      <c r="AR194" s="28"/>
      <c r="AS194" s="28"/>
    </row>
    <row r="195" spans="1:45" ht="16.5" thickBot="1" x14ac:dyDescent="0.45">
      <c r="A195" s="784" t="s">
        <v>933</v>
      </c>
      <c r="C195" s="237"/>
      <c r="D195" s="237"/>
      <c r="E195" s="237"/>
      <c r="F195" s="237"/>
      <c r="G195" s="237"/>
      <c r="H195" s="237"/>
      <c r="I195" s="237"/>
      <c r="J195" s="237"/>
      <c r="K195" s="237"/>
      <c r="L195" s="237"/>
      <c r="M195" s="237"/>
      <c r="N195" s="237"/>
      <c r="O195" s="237"/>
      <c r="P195" s="237"/>
      <c r="Q195" s="237"/>
      <c r="R195" s="237"/>
      <c r="S195" s="237"/>
      <c r="T195" s="237"/>
      <c r="U195" s="237"/>
      <c r="V195" s="237"/>
      <c r="W195" s="237"/>
      <c r="X195" s="237"/>
      <c r="Y195" s="237"/>
      <c r="Z195" s="237"/>
      <c r="AA195" s="237"/>
      <c r="AM195" s="28"/>
      <c r="AN195" s="28"/>
      <c r="AO195" s="28"/>
      <c r="AP195" s="28"/>
      <c r="AQ195" s="28"/>
      <c r="AR195" s="28"/>
      <c r="AS195" s="28"/>
    </row>
    <row r="196" spans="1:45" s="28" customFormat="1" x14ac:dyDescent="0.4">
      <c r="A196" s="1283" t="s">
        <v>936</v>
      </c>
      <c r="B196" s="71" t="s">
        <v>136</v>
      </c>
      <c r="C196" s="652" t="s">
        <v>391</v>
      </c>
      <c r="D196" s="652" t="s">
        <v>392</v>
      </c>
      <c r="E196" s="652" t="s">
        <v>393</v>
      </c>
      <c r="F196" s="652" t="s">
        <v>394</v>
      </c>
      <c r="G196" s="652" t="s">
        <v>395</v>
      </c>
      <c r="H196" s="652" t="s">
        <v>396</v>
      </c>
      <c r="I196" s="652" t="s">
        <v>397</v>
      </c>
      <c r="J196" s="652" t="s">
        <v>398</v>
      </c>
      <c r="K196" s="652" t="s">
        <v>399</v>
      </c>
      <c r="L196" s="652" t="s">
        <v>400</v>
      </c>
      <c r="M196" s="652" t="s">
        <v>401</v>
      </c>
      <c r="N196" s="652" t="s">
        <v>402</v>
      </c>
      <c r="O196" s="652" t="s">
        <v>403</v>
      </c>
      <c r="P196" s="652" t="s">
        <v>404</v>
      </c>
      <c r="Q196" s="652" t="s">
        <v>405</v>
      </c>
      <c r="R196" s="652" t="s">
        <v>406</v>
      </c>
      <c r="S196" s="652" t="s">
        <v>407</v>
      </c>
      <c r="T196" s="652" t="s">
        <v>408</v>
      </c>
      <c r="U196" s="652" t="s">
        <v>409</v>
      </c>
      <c r="V196" s="652" t="s">
        <v>410</v>
      </c>
      <c r="W196" s="652" t="s">
        <v>411</v>
      </c>
      <c r="X196" s="652" t="s">
        <v>412</v>
      </c>
      <c r="Y196" s="652" t="s">
        <v>413</v>
      </c>
      <c r="Z196" s="652" t="s">
        <v>414</v>
      </c>
      <c r="AA196" s="652" t="s">
        <v>415</v>
      </c>
      <c r="AB196" s="652" t="s">
        <v>416</v>
      </c>
      <c r="AC196" s="652" t="s">
        <v>417</v>
      </c>
      <c r="AD196" s="652" t="s">
        <v>418</v>
      </c>
      <c r="AE196" s="652" t="s">
        <v>419</v>
      </c>
      <c r="AF196" s="652" t="s">
        <v>420</v>
      </c>
      <c r="AG196" s="652" t="s">
        <v>421</v>
      </c>
      <c r="AH196" s="652" t="s">
        <v>422</v>
      </c>
      <c r="AI196" s="652" t="s">
        <v>423</v>
      </c>
      <c r="AJ196" s="652" t="s">
        <v>424</v>
      </c>
      <c r="AK196" s="3"/>
      <c r="AL196" s="3"/>
    </row>
    <row r="197" spans="1:45" x14ac:dyDescent="0.4">
      <c r="A197" s="800" t="s">
        <v>605</v>
      </c>
      <c r="B197" s="259" t="s">
        <v>582</v>
      </c>
      <c r="C197" s="526">
        <v>0</v>
      </c>
      <c r="D197" s="526">
        <v>0</v>
      </c>
      <c r="E197" s="526">
        <v>0</v>
      </c>
      <c r="F197" s="526">
        <v>0</v>
      </c>
      <c r="G197" s="526">
        <v>0</v>
      </c>
      <c r="H197" s="526">
        <v>0</v>
      </c>
      <c r="I197" s="526">
        <v>0</v>
      </c>
      <c r="J197" s="526">
        <v>0</v>
      </c>
      <c r="K197" s="526">
        <v>0</v>
      </c>
      <c r="L197" s="526">
        <v>0</v>
      </c>
      <c r="M197" s="526">
        <v>0</v>
      </c>
      <c r="N197" s="526">
        <v>7</v>
      </c>
      <c r="O197" s="526">
        <v>11</v>
      </c>
      <c r="P197" s="526">
        <v>9</v>
      </c>
      <c r="Q197" s="526">
        <v>18</v>
      </c>
      <c r="R197" s="526">
        <v>60.5</v>
      </c>
      <c r="S197" s="526">
        <v>174</v>
      </c>
      <c r="T197" s="526">
        <v>236</v>
      </c>
      <c r="U197" s="526">
        <v>202.5</v>
      </c>
      <c r="V197" s="526">
        <v>214.5</v>
      </c>
      <c r="W197" s="526">
        <v>173.5</v>
      </c>
      <c r="X197" s="526">
        <v>588.5</v>
      </c>
      <c r="Y197" s="526">
        <v>568.5</v>
      </c>
      <c r="Z197" s="526">
        <v>1270</v>
      </c>
      <c r="AA197" s="526">
        <v>881.5</v>
      </c>
      <c r="AB197" s="526">
        <v>919</v>
      </c>
      <c r="AC197" s="526">
        <v>1387.5</v>
      </c>
      <c r="AD197" s="526">
        <v>1169.5</v>
      </c>
      <c r="AE197" s="526">
        <v>1038</v>
      </c>
      <c r="AF197" s="526">
        <v>871.5</v>
      </c>
      <c r="AG197" s="526">
        <v>944</v>
      </c>
      <c r="AH197" s="3">
        <v>739.5</v>
      </c>
      <c r="AI197" s="3">
        <v>692</v>
      </c>
      <c r="AJ197" s="526">
        <v>935.5</v>
      </c>
      <c r="AM197" s="28"/>
      <c r="AN197" s="28"/>
      <c r="AO197" s="28"/>
      <c r="AP197" s="28"/>
      <c r="AQ197" s="28"/>
      <c r="AR197" s="28"/>
      <c r="AS197" s="28"/>
    </row>
    <row r="198" spans="1:45" ht="16.5" thickBot="1" x14ac:dyDescent="0.45">
      <c r="A198" s="815" t="s">
        <v>591</v>
      </c>
      <c r="B198" s="817" t="s">
        <v>583</v>
      </c>
      <c r="C198" s="791">
        <f t="shared" ref="C198:AJ198" si="71">C197*1000</f>
        <v>0</v>
      </c>
      <c r="D198" s="791">
        <f t="shared" si="71"/>
        <v>0</v>
      </c>
      <c r="E198" s="791">
        <f t="shared" si="71"/>
        <v>0</v>
      </c>
      <c r="F198" s="791">
        <f t="shared" si="71"/>
        <v>0</v>
      </c>
      <c r="G198" s="791">
        <f t="shared" si="71"/>
        <v>0</v>
      </c>
      <c r="H198" s="791">
        <f t="shared" si="71"/>
        <v>0</v>
      </c>
      <c r="I198" s="791">
        <f t="shared" si="71"/>
        <v>0</v>
      </c>
      <c r="J198" s="791">
        <f t="shared" si="71"/>
        <v>0</v>
      </c>
      <c r="K198" s="791">
        <f t="shared" si="71"/>
        <v>0</v>
      </c>
      <c r="L198" s="791">
        <f t="shared" si="71"/>
        <v>0</v>
      </c>
      <c r="M198" s="791">
        <f t="shared" si="71"/>
        <v>0</v>
      </c>
      <c r="N198" s="791">
        <f t="shared" si="71"/>
        <v>7000</v>
      </c>
      <c r="O198" s="791">
        <f t="shared" si="71"/>
        <v>11000</v>
      </c>
      <c r="P198" s="791">
        <f t="shared" si="71"/>
        <v>9000</v>
      </c>
      <c r="Q198" s="791">
        <f t="shared" si="71"/>
        <v>18000</v>
      </c>
      <c r="R198" s="791">
        <f t="shared" si="71"/>
        <v>60500</v>
      </c>
      <c r="S198" s="791">
        <f t="shared" si="71"/>
        <v>174000</v>
      </c>
      <c r="T198" s="791">
        <f t="shared" si="71"/>
        <v>236000</v>
      </c>
      <c r="U198" s="791">
        <f t="shared" si="71"/>
        <v>202500</v>
      </c>
      <c r="V198" s="791">
        <f t="shared" si="71"/>
        <v>214500</v>
      </c>
      <c r="W198" s="791">
        <f t="shared" si="71"/>
        <v>173500</v>
      </c>
      <c r="X198" s="791">
        <f t="shared" si="71"/>
        <v>588500</v>
      </c>
      <c r="Y198" s="791">
        <f t="shared" si="71"/>
        <v>568500</v>
      </c>
      <c r="Z198" s="791">
        <f t="shared" si="71"/>
        <v>1270000</v>
      </c>
      <c r="AA198" s="791">
        <f t="shared" si="71"/>
        <v>881500</v>
      </c>
      <c r="AB198" s="791">
        <f t="shared" si="71"/>
        <v>919000</v>
      </c>
      <c r="AC198" s="791">
        <f t="shared" si="71"/>
        <v>1387500</v>
      </c>
      <c r="AD198" s="791">
        <f t="shared" si="71"/>
        <v>1169500</v>
      </c>
      <c r="AE198" s="791">
        <f t="shared" si="71"/>
        <v>1038000</v>
      </c>
      <c r="AF198" s="791">
        <f t="shared" si="71"/>
        <v>871500</v>
      </c>
      <c r="AG198" s="791">
        <f t="shared" si="71"/>
        <v>944000</v>
      </c>
      <c r="AH198" s="791">
        <f t="shared" si="71"/>
        <v>739500</v>
      </c>
      <c r="AI198" s="791">
        <f t="shared" si="71"/>
        <v>692000</v>
      </c>
      <c r="AJ198" s="791">
        <f t="shared" si="71"/>
        <v>935500</v>
      </c>
      <c r="AM198" s="28"/>
      <c r="AN198" s="28"/>
      <c r="AO198" s="28"/>
      <c r="AP198" s="28"/>
      <c r="AQ198" s="28"/>
      <c r="AR198" s="28"/>
      <c r="AS198" s="28"/>
    </row>
    <row r="199" spans="1:45" ht="17" x14ac:dyDescent="0.45">
      <c r="A199" s="1446" t="s">
        <v>1349</v>
      </c>
      <c r="B199" s="818" t="s">
        <v>584</v>
      </c>
      <c r="C199" s="802">
        <f t="shared" ref="C199:AJ199" si="72">C198*$C$230</f>
        <v>0</v>
      </c>
      <c r="D199" s="802">
        <f t="shared" si="72"/>
        <v>0</v>
      </c>
      <c r="E199" s="802">
        <f t="shared" si="72"/>
        <v>0</v>
      </c>
      <c r="F199" s="802">
        <f t="shared" si="72"/>
        <v>0</v>
      </c>
      <c r="G199" s="802">
        <f t="shared" si="72"/>
        <v>0</v>
      </c>
      <c r="H199" s="802">
        <f t="shared" si="72"/>
        <v>0</v>
      </c>
      <c r="I199" s="802">
        <f t="shared" si="72"/>
        <v>0</v>
      </c>
      <c r="J199" s="802">
        <f t="shared" si="72"/>
        <v>0</v>
      </c>
      <c r="K199" s="802">
        <f t="shared" si="72"/>
        <v>0</v>
      </c>
      <c r="L199" s="802">
        <f t="shared" si="72"/>
        <v>0</v>
      </c>
      <c r="M199" s="802">
        <f t="shared" si="72"/>
        <v>0</v>
      </c>
      <c r="N199" s="802">
        <f t="shared" si="72"/>
        <v>1139525.3398255999</v>
      </c>
      <c r="O199" s="802">
        <f t="shared" si="72"/>
        <v>1790682.6768687998</v>
      </c>
      <c r="P199" s="802">
        <f t="shared" si="72"/>
        <v>1465104.0083472</v>
      </c>
      <c r="Q199" s="802">
        <f t="shared" si="72"/>
        <v>2930208.0166944</v>
      </c>
      <c r="R199" s="802">
        <f t="shared" si="72"/>
        <v>9848754.7227783985</v>
      </c>
      <c r="S199" s="802">
        <f t="shared" si="72"/>
        <v>28325344.161379199</v>
      </c>
      <c r="T199" s="802">
        <f t="shared" si="72"/>
        <v>38418282.8855488</v>
      </c>
      <c r="U199" s="802">
        <f t="shared" si="72"/>
        <v>32964840.187811997</v>
      </c>
      <c r="V199" s="802">
        <f t="shared" si="72"/>
        <v>34918312.198941596</v>
      </c>
      <c r="W199" s="802">
        <f t="shared" si="72"/>
        <v>28243949.4942488</v>
      </c>
      <c r="X199" s="802">
        <f t="shared" si="72"/>
        <v>95801523.212480798</v>
      </c>
      <c r="Y199" s="802">
        <f t="shared" si="72"/>
        <v>92545736.527264789</v>
      </c>
      <c r="Z199" s="802">
        <f t="shared" si="72"/>
        <v>206742454.51121598</v>
      </c>
      <c r="AA199" s="802">
        <f t="shared" si="72"/>
        <v>143498798.15089518</v>
      </c>
      <c r="AB199" s="802">
        <f t="shared" si="72"/>
        <v>149603398.1856752</v>
      </c>
      <c r="AC199" s="802">
        <f t="shared" si="72"/>
        <v>225870201.28685999</v>
      </c>
      <c r="AD199" s="802">
        <f t="shared" si="72"/>
        <v>190382126.41800559</v>
      </c>
      <c r="AE199" s="802">
        <f t="shared" si="72"/>
        <v>168975328.96271038</v>
      </c>
      <c r="AF199" s="802">
        <f t="shared" si="72"/>
        <v>141870904.8082872</v>
      </c>
      <c r="AG199" s="802">
        <f t="shared" si="72"/>
        <v>153673131.5421952</v>
      </c>
      <c r="AH199" s="802">
        <f t="shared" si="72"/>
        <v>120382712.68586159</v>
      </c>
      <c r="AI199" s="802">
        <f t="shared" si="72"/>
        <v>112650219.30847359</v>
      </c>
      <c r="AJ199" s="802">
        <f t="shared" si="72"/>
        <v>152289422.2009784</v>
      </c>
      <c r="AM199" s="28"/>
      <c r="AN199" s="28"/>
      <c r="AO199" s="28"/>
      <c r="AP199" s="28"/>
      <c r="AQ199" s="28"/>
      <c r="AR199" s="28"/>
      <c r="AS199" s="28"/>
    </row>
    <row r="200" spans="1:45" ht="17" x14ac:dyDescent="0.45">
      <c r="A200" s="1446" t="s">
        <v>1349</v>
      </c>
      <c r="B200" s="1457" t="s">
        <v>1357</v>
      </c>
      <c r="C200" s="766">
        <f t="shared" ref="C200:AJ200" si="73">C199/($B$244*1000000)</f>
        <v>0</v>
      </c>
      <c r="D200" s="766">
        <f t="shared" si="73"/>
        <v>0</v>
      </c>
      <c r="E200" s="766">
        <f t="shared" si="73"/>
        <v>0</v>
      </c>
      <c r="F200" s="766">
        <f t="shared" si="73"/>
        <v>0</v>
      </c>
      <c r="G200" s="766">
        <f t="shared" si="73"/>
        <v>0</v>
      </c>
      <c r="H200" s="766">
        <f t="shared" si="73"/>
        <v>0</v>
      </c>
      <c r="I200" s="766">
        <f t="shared" si="73"/>
        <v>0</v>
      </c>
      <c r="J200" s="766">
        <f t="shared" si="73"/>
        <v>0</v>
      </c>
      <c r="K200" s="766">
        <f t="shared" si="73"/>
        <v>0</v>
      </c>
      <c r="L200" s="766">
        <f t="shared" si="73"/>
        <v>0</v>
      </c>
      <c r="M200" s="766">
        <f t="shared" si="73"/>
        <v>0</v>
      </c>
      <c r="N200" s="766">
        <f t="shared" si="73"/>
        <v>5.1687999999999994E-4</v>
      </c>
      <c r="O200" s="766">
        <f t="shared" si="73"/>
        <v>8.1223999999999988E-4</v>
      </c>
      <c r="P200" s="766">
        <f t="shared" si="73"/>
        <v>6.6456000000000002E-4</v>
      </c>
      <c r="Q200" s="766">
        <f t="shared" si="73"/>
        <v>1.32912E-3</v>
      </c>
      <c r="R200" s="766">
        <f t="shared" si="73"/>
        <v>4.4673199999999995E-3</v>
      </c>
      <c r="S200" s="766">
        <f t="shared" si="73"/>
        <v>1.2848159999999999E-2</v>
      </c>
      <c r="T200" s="766">
        <f t="shared" si="73"/>
        <v>1.7426239999999999E-2</v>
      </c>
      <c r="U200" s="766">
        <f t="shared" si="73"/>
        <v>1.4952599999999998E-2</v>
      </c>
      <c r="V200" s="766">
        <f t="shared" si="73"/>
        <v>1.5838679999999997E-2</v>
      </c>
      <c r="W200" s="766">
        <f t="shared" si="73"/>
        <v>1.281124E-2</v>
      </c>
      <c r="X200" s="766">
        <f t="shared" si="73"/>
        <v>4.3454840000000002E-2</v>
      </c>
      <c r="Y200" s="766">
        <f t="shared" si="73"/>
        <v>4.1978039999999994E-2</v>
      </c>
      <c r="Z200" s="766">
        <f t="shared" si="73"/>
        <v>9.3776799999999993E-2</v>
      </c>
      <c r="AA200" s="766">
        <f t="shared" si="73"/>
        <v>6.5089959999999988E-2</v>
      </c>
      <c r="AB200" s="766">
        <f t="shared" si="73"/>
        <v>6.7858959999999996E-2</v>
      </c>
      <c r="AC200" s="766">
        <f t="shared" si="73"/>
        <v>0.10245299999999999</v>
      </c>
      <c r="AD200" s="766">
        <f t="shared" si="73"/>
        <v>8.6355879999999996E-2</v>
      </c>
      <c r="AE200" s="766">
        <f t="shared" si="73"/>
        <v>7.6645919999999992E-2</v>
      </c>
      <c r="AF200" s="766">
        <f t="shared" si="73"/>
        <v>6.4351560000000002E-2</v>
      </c>
      <c r="AG200" s="766">
        <f t="shared" si="73"/>
        <v>6.9704959999999996E-2</v>
      </c>
      <c r="AH200" s="766">
        <f t="shared" si="73"/>
        <v>5.4604679999999996E-2</v>
      </c>
      <c r="AI200" s="766">
        <f t="shared" si="73"/>
        <v>5.1097279999999995E-2</v>
      </c>
      <c r="AJ200" s="766">
        <f t="shared" si="73"/>
        <v>6.9077319999999998E-2</v>
      </c>
      <c r="AM200" s="28"/>
      <c r="AN200" s="28"/>
      <c r="AO200" s="28"/>
      <c r="AP200" s="28"/>
      <c r="AQ200" s="28"/>
      <c r="AR200" s="28"/>
      <c r="AS200" s="28"/>
    </row>
    <row r="201" spans="1:45" x14ac:dyDescent="0.4">
      <c r="A201" s="1299" t="s">
        <v>1063</v>
      </c>
      <c r="B201" s="665"/>
      <c r="C201" s="1300"/>
      <c r="D201" s="1300"/>
      <c r="E201" s="1300"/>
      <c r="F201" s="1300"/>
      <c r="G201" s="1300"/>
      <c r="H201" s="1300"/>
      <c r="I201" s="1300"/>
      <c r="J201" s="1300"/>
      <c r="K201" s="1300"/>
      <c r="L201" s="1300"/>
      <c r="M201" s="1300"/>
      <c r="N201" s="1300"/>
      <c r="O201" s="1300"/>
      <c r="P201" s="1300"/>
      <c r="Q201" s="1300"/>
      <c r="R201" s="1300"/>
      <c r="S201" s="1300"/>
      <c r="T201" s="1300"/>
      <c r="U201" s="1300"/>
      <c r="V201" s="1300"/>
      <c r="W201" s="1300"/>
      <c r="X201" s="1300"/>
      <c r="Y201" s="1300"/>
      <c r="Z201" s="1300"/>
      <c r="AA201" s="1300"/>
      <c r="AB201" s="1300"/>
      <c r="AC201" s="1300"/>
      <c r="AD201" s="1300"/>
      <c r="AE201" s="1300"/>
      <c r="AF201" s="1300"/>
      <c r="AG201" s="1300"/>
      <c r="AH201" s="1300"/>
      <c r="AI201" s="1300"/>
      <c r="AJ201" s="1300"/>
      <c r="AM201" s="28"/>
      <c r="AN201" s="28"/>
      <c r="AO201" s="28"/>
      <c r="AP201" s="28"/>
      <c r="AQ201" s="28"/>
      <c r="AR201" s="28"/>
      <c r="AS201" s="28"/>
    </row>
    <row r="202" spans="1:45" x14ac:dyDescent="0.4">
      <c r="A202" s="754"/>
      <c r="C202" s="293"/>
      <c r="D202" s="293"/>
      <c r="E202" s="293"/>
      <c r="F202" s="293"/>
      <c r="G202" s="293"/>
      <c r="H202" s="293"/>
      <c r="I202" s="293"/>
      <c r="J202" s="293"/>
      <c r="K202" s="293"/>
      <c r="L202" s="293"/>
      <c r="M202" s="293"/>
      <c r="N202" s="293"/>
      <c r="O202" s="293"/>
      <c r="P202" s="293"/>
      <c r="Q202" s="293"/>
      <c r="R202" s="293"/>
      <c r="S202" s="293"/>
      <c r="T202" s="293"/>
      <c r="U202" s="293"/>
      <c r="V202" s="293"/>
      <c r="W202" s="293"/>
      <c r="X202" s="293"/>
      <c r="Y202" s="293"/>
      <c r="Z202" s="293"/>
      <c r="AA202" s="293"/>
      <c r="AB202" s="293"/>
      <c r="AC202" s="293"/>
      <c r="AD202" s="293"/>
      <c r="AE202" s="293"/>
      <c r="AF202" s="293"/>
      <c r="AG202" s="293"/>
      <c r="AH202" s="293"/>
      <c r="AI202" s="293"/>
      <c r="AJ202" s="293"/>
      <c r="AM202" s="28"/>
      <c r="AN202" s="28"/>
      <c r="AO202" s="28"/>
      <c r="AP202" s="28"/>
      <c r="AQ202" s="28"/>
      <c r="AR202" s="28"/>
      <c r="AS202" s="28"/>
    </row>
    <row r="203" spans="1:45" x14ac:dyDescent="0.4">
      <c r="A203" s="754" t="s">
        <v>457</v>
      </c>
      <c r="B203" s="293"/>
      <c r="C203" s="293"/>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c r="AA203" s="293"/>
      <c r="AB203" s="293"/>
      <c r="AC203" s="293"/>
      <c r="AD203" s="293"/>
      <c r="AE203" s="293"/>
      <c r="AF203" s="293"/>
      <c r="AG203" s="293"/>
      <c r="AH203" s="293"/>
      <c r="AI203" s="293"/>
      <c r="AM203" s="28"/>
      <c r="AN203" s="28"/>
      <c r="AO203" s="28"/>
      <c r="AP203" s="28"/>
      <c r="AQ203" s="28"/>
      <c r="AR203" s="28"/>
      <c r="AS203" s="28"/>
    </row>
    <row r="204" spans="1:45" x14ac:dyDescent="0.4">
      <c r="A204" s="237" t="s">
        <v>608</v>
      </c>
      <c r="B204" s="293"/>
      <c r="C204" s="293"/>
      <c r="D204" s="293"/>
      <c r="E204" s="293"/>
      <c r="F204" s="293"/>
      <c r="G204" s="293"/>
      <c r="H204" s="293"/>
      <c r="I204" s="293"/>
      <c r="J204" s="293"/>
      <c r="K204" s="293"/>
      <c r="L204" s="293"/>
      <c r="M204" s="293"/>
      <c r="N204" s="293"/>
      <c r="O204" s="293"/>
      <c r="P204" s="293"/>
      <c r="Q204" s="293"/>
      <c r="R204" s="293"/>
      <c r="S204" s="293"/>
      <c r="T204" s="293"/>
      <c r="U204" s="293"/>
      <c r="V204" s="293"/>
      <c r="W204" s="293"/>
      <c r="X204" s="293"/>
      <c r="Y204" s="293"/>
      <c r="Z204" s="293"/>
      <c r="AA204" s="293"/>
      <c r="AB204" s="293"/>
      <c r="AC204" s="293"/>
      <c r="AD204" s="293"/>
      <c r="AE204" s="293"/>
      <c r="AF204" s="293"/>
      <c r="AG204" s="293"/>
      <c r="AH204" s="293"/>
      <c r="AI204" s="293"/>
      <c r="AM204" s="28"/>
      <c r="AN204" s="28"/>
      <c r="AO204" s="28"/>
      <c r="AP204" s="28"/>
      <c r="AQ204" s="28"/>
      <c r="AR204" s="28"/>
      <c r="AS204" s="28"/>
    </row>
    <row r="205" spans="1:45" ht="17" x14ac:dyDescent="0.45">
      <c r="A205" s="28" t="s">
        <v>886</v>
      </c>
      <c r="B205" s="293"/>
      <c r="C205" s="293"/>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293"/>
      <c r="Z205" s="293"/>
      <c r="AA205" s="293"/>
      <c r="AB205" s="293"/>
      <c r="AC205" s="293"/>
      <c r="AD205" s="293"/>
      <c r="AE205" s="293"/>
      <c r="AF205" s="293"/>
      <c r="AG205" s="293"/>
      <c r="AH205" s="293"/>
      <c r="AI205" s="293"/>
      <c r="AM205" s="28"/>
      <c r="AN205" s="28"/>
      <c r="AO205" s="28"/>
      <c r="AP205" s="28"/>
      <c r="AQ205" s="28"/>
      <c r="AR205" s="28"/>
      <c r="AS205" s="28"/>
    </row>
    <row r="206" spans="1:45" x14ac:dyDescent="0.4">
      <c r="C206" s="237"/>
      <c r="D206" s="237"/>
      <c r="E206" s="237"/>
      <c r="F206" s="237"/>
      <c r="G206" s="237"/>
      <c r="H206" s="237"/>
      <c r="I206" s="237"/>
      <c r="J206" s="237"/>
      <c r="K206" s="237"/>
      <c r="L206" s="237"/>
      <c r="M206" s="237"/>
      <c r="N206" s="237"/>
      <c r="O206" s="237"/>
      <c r="P206" s="237"/>
      <c r="Q206" s="237"/>
      <c r="R206" s="237"/>
      <c r="S206" s="237"/>
      <c r="T206" s="237"/>
      <c r="U206" s="237"/>
      <c r="V206" s="237"/>
      <c r="W206" s="237"/>
      <c r="X206" s="237"/>
      <c r="Y206" s="237"/>
      <c r="Z206" s="237"/>
      <c r="AA206" s="237"/>
    </row>
    <row r="207" spans="1:45" x14ac:dyDescent="0.4">
      <c r="A207" s="785" t="s">
        <v>934</v>
      </c>
      <c r="B207" s="757"/>
      <c r="C207" s="757"/>
      <c r="D207" s="757"/>
      <c r="E207" s="775"/>
      <c r="F207" s="775"/>
      <c r="G207" s="775"/>
      <c r="H207" s="775"/>
    </row>
    <row r="208" spans="1:45" s="28" customFormat="1" x14ac:dyDescent="0.4">
      <c r="A208" s="1283" t="s">
        <v>936</v>
      </c>
      <c r="B208" s="71" t="s">
        <v>136</v>
      </c>
      <c r="C208" s="652" t="s">
        <v>391</v>
      </c>
      <c r="D208" s="652" t="s">
        <v>392</v>
      </c>
      <c r="E208" s="652" t="s">
        <v>393</v>
      </c>
      <c r="F208" s="652" t="s">
        <v>394</v>
      </c>
      <c r="G208" s="652" t="s">
        <v>395</v>
      </c>
      <c r="H208" s="652" t="s">
        <v>396</v>
      </c>
      <c r="I208" s="652" t="s">
        <v>397</v>
      </c>
      <c r="J208" s="652" t="s">
        <v>398</v>
      </c>
      <c r="K208" s="652" t="s">
        <v>399</v>
      </c>
      <c r="L208" s="652" t="s">
        <v>400</v>
      </c>
      <c r="M208" s="652" t="s">
        <v>401</v>
      </c>
      <c r="N208" s="652" t="s">
        <v>402</v>
      </c>
      <c r="O208" s="652" t="s">
        <v>403</v>
      </c>
      <c r="P208" s="652" t="s">
        <v>404</v>
      </c>
      <c r="Q208" s="652" t="s">
        <v>405</v>
      </c>
      <c r="R208" s="652" t="s">
        <v>406</v>
      </c>
      <c r="S208" s="652" t="s">
        <v>407</v>
      </c>
      <c r="T208" s="652" t="s">
        <v>408</v>
      </c>
      <c r="U208" s="652" t="s">
        <v>409</v>
      </c>
      <c r="V208" s="652" t="s">
        <v>410</v>
      </c>
      <c r="W208" s="652" t="s">
        <v>411</v>
      </c>
      <c r="X208" s="652" t="s">
        <v>412</v>
      </c>
      <c r="Y208" s="652" t="s">
        <v>413</v>
      </c>
      <c r="Z208" s="652" t="s">
        <v>414</v>
      </c>
      <c r="AA208" s="652" t="s">
        <v>415</v>
      </c>
      <c r="AB208" s="652" t="s">
        <v>416</v>
      </c>
      <c r="AC208" s="652" t="s">
        <v>417</v>
      </c>
      <c r="AD208" s="652" t="s">
        <v>418</v>
      </c>
      <c r="AE208" s="652" t="s">
        <v>419</v>
      </c>
      <c r="AF208" s="652" t="s">
        <v>420</v>
      </c>
      <c r="AG208" s="652" t="s">
        <v>421</v>
      </c>
      <c r="AH208" s="652" t="s">
        <v>422</v>
      </c>
      <c r="AI208" s="652" t="s">
        <v>423</v>
      </c>
      <c r="AJ208" s="652" t="s">
        <v>424</v>
      </c>
      <c r="AK208" s="3"/>
      <c r="AL208" s="3"/>
    </row>
    <row r="209" spans="1:38" ht="16.5" thickBot="1" x14ac:dyDescent="0.45">
      <c r="A209" s="747" t="s">
        <v>610</v>
      </c>
      <c r="B209" s="796" t="s">
        <v>583</v>
      </c>
      <c r="C209" s="769">
        <v>0</v>
      </c>
      <c r="D209" s="769">
        <v>0</v>
      </c>
      <c r="E209" s="769">
        <v>0</v>
      </c>
      <c r="F209" s="769">
        <v>0</v>
      </c>
      <c r="G209" s="769">
        <v>0</v>
      </c>
      <c r="H209" s="769">
        <v>0</v>
      </c>
      <c r="I209" s="769">
        <v>0</v>
      </c>
      <c r="J209" s="769">
        <v>0</v>
      </c>
      <c r="K209" s="769">
        <v>0</v>
      </c>
      <c r="L209" s="769">
        <v>0</v>
      </c>
      <c r="M209" s="786">
        <v>0</v>
      </c>
      <c r="N209" s="786">
        <v>0</v>
      </c>
      <c r="O209" s="786">
        <v>0</v>
      </c>
      <c r="P209" s="786">
        <v>0</v>
      </c>
      <c r="Q209" s="786">
        <v>0</v>
      </c>
      <c r="R209" s="769">
        <v>77260.23280815121</v>
      </c>
      <c r="S209" s="769">
        <v>40407.809385237597</v>
      </c>
      <c r="T209" s="769">
        <v>23138.748009595009</v>
      </c>
      <c r="U209" s="769">
        <v>17285.127026819926</v>
      </c>
      <c r="V209" s="769">
        <v>15960.007332236526</v>
      </c>
      <c r="W209" s="769">
        <v>33973.801032096337</v>
      </c>
      <c r="X209" s="769">
        <v>20376.490528815484</v>
      </c>
      <c r="Y209" s="769">
        <v>25166.435801582178</v>
      </c>
      <c r="Z209" s="769">
        <v>23196.866052975223</v>
      </c>
      <c r="AA209" s="769">
        <v>30155.223418685455</v>
      </c>
      <c r="AB209" s="769">
        <v>17088.518825448053</v>
      </c>
      <c r="AC209" s="769">
        <v>28165.307117338805</v>
      </c>
      <c r="AD209" s="769">
        <v>18463.288658423233</v>
      </c>
      <c r="AE209" s="769">
        <v>9961.0022990831294</v>
      </c>
      <c r="AF209" s="769">
        <v>30812.343406336746</v>
      </c>
      <c r="AG209" s="769">
        <v>14517.301106914132</v>
      </c>
      <c r="AH209" s="769">
        <v>19899.025038609787</v>
      </c>
      <c r="AI209" s="769">
        <v>15536.436643233286</v>
      </c>
      <c r="AJ209" s="769">
        <v>13484.4</v>
      </c>
    </row>
    <row r="210" spans="1:38" ht="17" x14ac:dyDescent="0.45">
      <c r="A210" s="1446" t="s">
        <v>1349</v>
      </c>
      <c r="B210" s="821" t="s">
        <v>584</v>
      </c>
      <c r="C210" s="748">
        <f t="shared" ref="C210:AJ210" si="74">C209*$C$226</f>
        <v>0</v>
      </c>
      <c r="D210" s="748">
        <f t="shared" si="74"/>
        <v>0</v>
      </c>
      <c r="E210" s="748">
        <f t="shared" si="74"/>
        <v>0</v>
      </c>
      <c r="F210" s="748">
        <f t="shared" si="74"/>
        <v>0</v>
      </c>
      <c r="G210" s="748">
        <f t="shared" si="74"/>
        <v>0</v>
      </c>
      <c r="H210" s="748">
        <f t="shared" si="74"/>
        <v>0</v>
      </c>
      <c r="I210" s="748">
        <f t="shared" si="74"/>
        <v>0</v>
      </c>
      <c r="J210" s="748">
        <f t="shared" si="74"/>
        <v>0</v>
      </c>
      <c r="K210" s="748">
        <f t="shared" si="74"/>
        <v>0</v>
      </c>
      <c r="L210" s="748">
        <f t="shared" si="74"/>
        <v>0</v>
      </c>
      <c r="M210" s="748">
        <f t="shared" si="74"/>
        <v>0</v>
      </c>
      <c r="N210" s="748">
        <f t="shared" si="74"/>
        <v>0</v>
      </c>
      <c r="O210" s="748">
        <f t="shared" si="74"/>
        <v>0</v>
      </c>
      <c r="P210" s="748">
        <f t="shared" si="74"/>
        <v>0</v>
      </c>
      <c r="Q210" s="748">
        <f t="shared" si="74"/>
        <v>0</v>
      </c>
      <c r="R210" s="748">
        <f t="shared" si="74"/>
        <v>8869065.2334977183</v>
      </c>
      <c r="S210" s="748">
        <f t="shared" si="74"/>
        <v>4638602.3488995153</v>
      </c>
      <c r="T210" s="748">
        <f t="shared" si="74"/>
        <v>2656205.6320507531</v>
      </c>
      <c r="U210" s="748">
        <f t="shared" si="74"/>
        <v>1984240.9684531318</v>
      </c>
      <c r="V210" s="748">
        <f t="shared" si="74"/>
        <v>1832124.250883355</v>
      </c>
      <c r="W210" s="748">
        <f t="shared" si="74"/>
        <v>3900012.2913394161</v>
      </c>
      <c r="X210" s="748">
        <f t="shared" si="74"/>
        <v>2339113.1137097264</v>
      </c>
      <c r="Y210" s="748">
        <f t="shared" si="74"/>
        <v>2888973.4434674932</v>
      </c>
      <c r="Z210" s="748">
        <f t="shared" si="74"/>
        <v>2662877.2753949082</v>
      </c>
      <c r="AA210" s="748">
        <f t="shared" si="74"/>
        <v>3461659.8204555586</v>
      </c>
      <c r="AB210" s="748">
        <f t="shared" si="74"/>
        <v>1961671.388993829</v>
      </c>
      <c r="AC210" s="748">
        <f t="shared" si="74"/>
        <v>3233227.9759687795</v>
      </c>
      <c r="AD210" s="748">
        <f t="shared" si="74"/>
        <v>2119487.6792964805</v>
      </c>
      <c r="AE210" s="748">
        <f t="shared" si="74"/>
        <v>1143470.2688634451</v>
      </c>
      <c r="AF210" s="748">
        <f t="shared" si="74"/>
        <v>3537093.7121859449</v>
      </c>
      <c r="AG210" s="748">
        <f t="shared" si="74"/>
        <v>1666509.2228141204</v>
      </c>
      <c r="AH210" s="748">
        <f t="shared" si="74"/>
        <v>2284302.6060855309</v>
      </c>
      <c r="AI210" s="748">
        <f t="shared" si="74"/>
        <v>1783500.5807852373</v>
      </c>
      <c r="AJ210" s="748">
        <f t="shared" si="74"/>
        <v>1547937.6502986548</v>
      </c>
    </row>
    <row r="211" spans="1:38" ht="17" x14ac:dyDescent="0.45">
      <c r="A211" s="1446" t="s">
        <v>1349</v>
      </c>
      <c r="B211" s="1436" t="s">
        <v>1189</v>
      </c>
      <c r="C211" s="766">
        <f t="shared" ref="C211:AJ211" si="75">C210/($B$244*1000000)</f>
        <v>0</v>
      </c>
      <c r="D211" s="766">
        <f t="shared" si="75"/>
        <v>0</v>
      </c>
      <c r="E211" s="766">
        <f t="shared" si="75"/>
        <v>0</v>
      </c>
      <c r="F211" s="766">
        <f t="shared" si="75"/>
        <v>0</v>
      </c>
      <c r="G211" s="766">
        <f t="shared" si="75"/>
        <v>0</v>
      </c>
      <c r="H211" s="766">
        <f t="shared" si="75"/>
        <v>0</v>
      </c>
      <c r="I211" s="766">
        <f t="shared" si="75"/>
        <v>0</v>
      </c>
      <c r="J211" s="766">
        <f t="shared" si="75"/>
        <v>0</v>
      </c>
      <c r="K211" s="766">
        <f t="shared" si="75"/>
        <v>0</v>
      </c>
      <c r="L211" s="766">
        <f t="shared" si="75"/>
        <v>0</v>
      </c>
      <c r="M211" s="766">
        <f t="shared" si="75"/>
        <v>0</v>
      </c>
      <c r="N211" s="766">
        <f t="shared" si="75"/>
        <v>0</v>
      </c>
      <c r="O211" s="766">
        <f t="shared" si="75"/>
        <v>0</v>
      </c>
      <c r="P211" s="766">
        <f t="shared" si="75"/>
        <v>0</v>
      </c>
      <c r="Q211" s="766">
        <f t="shared" si="75"/>
        <v>0</v>
      </c>
      <c r="R211" s="766">
        <f t="shared" si="75"/>
        <v>4.0229403223204334E-3</v>
      </c>
      <c r="S211" s="766">
        <f t="shared" si="75"/>
        <v>2.1040346346893218E-3</v>
      </c>
      <c r="T211" s="766">
        <f t="shared" si="75"/>
        <v>1.2048346088596121E-3</v>
      </c>
      <c r="U211" s="766">
        <f t="shared" si="75"/>
        <v>9.0003656428651346E-4</v>
      </c>
      <c r="V211" s="766">
        <f t="shared" si="75"/>
        <v>8.3103758178955595E-4</v>
      </c>
      <c r="W211" s="766">
        <f t="shared" si="75"/>
        <v>1.7690158197412563E-3</v>
      </c>
      <c r="X211" s="766">
        <f t="shared" si="75"/>
        <v>1.0610038618354221E-3</v>
      </c>
      <c r="Y211" s="766">
        <f t="shared" si="75"/>
        <v>1.3104163121883841E-3</v>
      </c>
      <c r="Z211" s="766">
        <f t="shared" si="75"/>
        <v>1.2078608153784198E-3</v>
      </c>
      <c r="AA211" s="766">
        <f t="shared" si="75"/>
        <v>1.5701824834109515E-3</v>
      </c>
      <c r="AB211" s="766">
        <f t="shared" si="75"/>
        <v>8.8979917524108004E-4</v>
      </c>
      <c r="AC211" s="766">
        <f t="shared" si="75"/>
        <v>1.4665675415998316E-3</v>
      </c>
      <c r="AD211" s="766">
        <f t="shared" si="75"/>
        <v>9.6138344044409765E-4</v>
      </c>
      <c r="AE211" s="766">
        <f t="shared" si="75"/>
        <v>5.1866938971325855E-4</v>
      </c>
      <c r="AF211" s="766">
        <f t="shared" si="75"/>
        <v>1.6043987211679543E-3</v>
      </c>
      <c r="AG211" s="766">
        <f t="shared" si="75"/>
        <v>7.5591586863701888E-4</v>
      </c>
      <c r="AH211" s="766">
        <f t="shared" si="75"/>
        <v>1.0361422337604115E-3</v>
      </c>
      <c r="AI211" s="766">
        <f t="shared" si="75"/>
        <v>8.0898225601315715E-4</v>
      </c>
      <c r="AJ211" s="766">
        <f t="shared" si="75"/>
        <v>7.0213270799999994E-4</v>
      </c>
    </row>
    <row r="212" spans="1:38" ht="17" x14ac:dyDescent="0.45">
      <c r="A212" s="1456" t="s">
        <v>1042</v>
      </c>
      <c r="B212" s="526" t="s">
        <v>584</v>
      </c>
      <c r="C212" s="772">
        <f t="shared" ref="C212:AJ212" si="76">C209*$D$226</f>
        <v>0</v>
      </c>
      <c r="D212" s="772">
        <f t="shared" si="76"/>
        <v>0</v>
      </c>
      <c r="E212" s="772">
        <f t="shared" si="76"/>
        <v>0</v>
      </c>
      <c r="F212" s="772">
        <f t="shared" si="76"/>
        <v>0</v>
      </c>
      <c r="G212" s="772">
        <f t="shared" si="76"/>
        <v>0</v>
      </c>
      <c r="H212" s="772">
        <f t="shared" si="76"/>
        <v>0</v>
      </c>
      <c r="I212" s="772">
        <f t="shared" si="76"/>
        <v>0</v>
      </c>
      <c r="J212" s="772">
        <f t="shared" si="76"/>
        <v>0</v>
      </c>
      <c r="K212" s="772">
        <f t="shared" si="76"/>
        <v>0</v>
      </c>
      <c r="L212" s="772">
        <f t="shared" si="76"/>
        <v>0</v>
      </c>
      <c r="M212" s="772">
        <f t="shared" si="76"/>
        <v>0</v>
      </c>
      <c r="N212" s="772">
        <f t="shared" si="76"/>
        <v>0</v>
      </c>
      <c r="O212" s="772">
        <f t="shared" si="76"/>
        <v>0</v>
      </c>
      <c r="P212" s="772">
        <f t="shared" si="76"/>
        <v>0</v>
      </c>
      <c r="Q212" s="772">
        <f t="shared" si="76"/>
        <v>0</v>
      </c>
      <c r="R212" s="772">
        <f t="shared" si="76"/>
        <v>545.05490200101212</v>
      </c>
      <c r="S212" s="772">
        <f t="shared" si="76"/>
        <v>285.06870590509794</v>
      </c>
      <c r="T212" s="772">
        <f t="shared" si="76"/>
        <v>163.23906323338602</v>
      </c>
      <c r="U212" s="772">
        <f t="shared" si="76"/>
        <v>121.94298250528178</v>
      </c>
      <c r="V212" s="772">
        <f t="shared" si="76"/>
        <v>112.5945381760464</v>
      </c>
      <c r="W212" s="772">
        <f t="shared" si="76"/>
        <v>239.67811277676458</v>
      </c>
      <c r="X212" s="772">
        <f t="shared" si="76"/>
        <v>143.7519101953356</v>
      </c>
      <c r="Y212" s="772">
        <f t="shared" si="76"/>
        <v>177.54397962542689</v>
      </c>
      <c r="Z212" s="772">
        <f t="shared" si="76"/>
        <v>163.64907396319774</v>
      </c>
      <c r="AA212" s="772">
        <f t="shared" si="76"/>
        <v>212.7388405119606</v>
      </c>
      <c r="AB212" s="772">
        <f t="shared" si="76"/>
        <v>120.55595246361155</v>
      </c>
      <c r="AC212" s="772">
        <f t="shared" si="76"/>
        <v>198.7003941444228</v>
      </c>
      <c r="AD212" s="772">
        <f t="shared" si="76"/>
        <v>130.2546682110378</v>
      </c>
      <c r="AE212" s="772">
        <f t="shared" si="76"/>
        <v>70.272803156578149</v>
      </c>
      <c r="AF212" s="772">
        <f t="shared" si="76"/>
        <v>217.37468559621709</v>
      </c>
      <c r="AG212" s="772">
        <f t="shared" si="76"/>
        <v>102.41654528529259</v>
      </c>
      <c r="AH212" s="772">
        <f t="shared" si="76"/>
        <v>140.38349029140963</v>
      </c>
      <c r="AI212" s="772">
        <f t="shared" si="76"/>
        <v>109.60633490518072</v>
      </c>
      <c r="AJ212" s="772">
        <f t="shared" si="76"/>
        <v>95.129642422809596</v>
      </c>
    </row>
    <row r="213" spans="1:38" ht="17" x14ac:dyDescent="0.45">
      <c r="A213" s="1447" t="s">
        <v>1353</v>
      </c>
      <c r="B213" s="526" t="s">
        <v>584</v>
      </c>
      <c r="C213" s="748">
        <f t="shared" ref="C213:AJ213" si="77">C212*$B$249</f>
        <v>0</v>
      </c>
      <c r="D213" s="748">
        <f t="shared" si="77"/>
        <v>0</v>
      </c>
      <c r="E213" s="748">
        <f t="shared" si="77"/>
        <v>0</v>
      </c>
      <c r="F213" s="748">
        <f t="shared" si="77"/>
        <v>0</v>
      </c>
      <c r="G213" s="748">
        <f t="shared" si="77"/>
        <v>0</v>
      </c>
      <c r="H213" s="748">
        <f t="shared" si="77"/>
        <v>0</v>
      </c>
      <c r="I213" s="748">
        <f t="shared" si="77"/>
        <v>0</v>
      </c>
      <c r="J213" s="748">
        <f t="shared" si="77"/>
        <v>0</v>
      </c>
      <c r="K213" s="748">
        <f t="shared" si="77"/>
        <v>0</v>
      </c>
      <c r="L213" s="748">
        <f t="shared" si="77"/>
        <v>0</v>
      </c>
      <c r="M213" s="748">
        <f t="shared" si="77"/>
        <v>0</v>
      </c>
      <c r="N213" s="748">
        <f t="shared" si="77"/>
        <v>0</v>
      </c>
      <c r="O213" s="748">
        <f t="shared" si="77"/>
        <v>0</v>
      </c>
      <c r="P213" s="748">
        <f t="shared" si="77"/>
        <v>0</v>
      </c>
      <c r="Q213" s="748">
        <f t="shared" si="77"/>
        <v>0</v>
      </c>
      <c r="R213" s="748">
        <f t="shared" si="77"/>
        <v>13626.372550025302</v>
      </c>
      <c r="S213" s="748">
        <f t="shared" si="77"/>
        <v>7126.717647627449</v>
      </c>
      <c r="T213" s="748">
        <f t="shared" si="77"/>
        <v>4080.9765808346506</v>
      </c>
      <c r="U213" s="748">
        <f t="shared" si="77"/>
        <v>3048.5745626320445</v>
      </c>
      <c r="V213" s="748">
        <f t="shared" si="77"/>
        <v>2814.8634544011602</v>
      </c>
      <c r="W213" s="748">
        <f t="shared" si="77"/>
        <v>5991.9528194191143</v>
      </c>
      <c r="X213" s="748">
        <f t="shared" si="77"/>
        <v>3593.7977548833901</v>
      </c>
      <c r="Y213" s="748">
        <f t="shared" si="77"/>
        <v>4438.5994906356718</v>
      </c>
      <c r="Z213" s="748">
        <f t="shared" si="77"/>
        <v>4091.2268490799433</v>
      </c>
      <c r="AA213" s="748">
        <f t="shared" si="77"/>
        <v>5318.4710127990147</v>
      </c>
      <c r="AB213" s="748">
        <f t="shared" si="77"/>
        <v>3013.8988115902885</v>
      </c>
      <c r="AC213" s="748">
        <f t="shared" si="77"/>
        <v>4967.5098536105697</v>
      </c>
      <c r="AD213" s="748">
        <f t="shared" si="77"/>
        <v>3256.3667052759447</v>
      </c>
      <c r="AE213" s="748">
        <f t="shared" si="77"/>
        <v>1756.8200789144537</v>
      </c>
      <c r="AF213" s="748">
        <f t="shared" si="77"/>
        <v>5434.3671399054274</v>
      </c>
      <c r="AG213" s="748">
        <f t="shared" si="77"/>
        <v>2560.4136321323144</v>
      </c>
      <c r="AH213" s="748">
        <f t="shared" si="77"/>
        <v>3509.5872572852409</v>
      </c>
      <c r="AI213" s="748">
        <f t="shared" si="77"/>
        <v>2740.158372629518</v>
      </c>
      <c r="AJ213" s="748">
        <f t="shared" si="77"/>
        <v>2378.2410605702398</v>
      </c>
    </row>
    <row r="214" spans="1:38" ht="17" x14ac:dyDescent="0.45">
      <c r="A214" s="1448" t="s">
        <v>1354</v>
      </c>
      <c r="B214" s="1436" t="s">
        <v>1189</v>
      </c>
      <c r="C214" s="766">
        <f t="shared" ref="C214:AJ214" si="78">C213/($B$244*1000000)</f>
        <v>0</v>
      </c>
      <c r="D214" s="766">
        <f t="shared" si="78"/>
        <v>0</v>
      </c>
      <c r="E214" s="766">
        <f t="shared" si="78"/>
        <v>0</v>
      </c>
      <c r="F214" s="766">
        <f t="shared" si="78"/>
        <v>0</v>
      </c>
      <c r="G214" s="766">
        <f t="shared" si="78"/>
        <v>0</v>
      </c>
      <c r="H214" s="766">
        <f t="shared" si="78"/>
        <v>0</v>
      </c>
      <c r="I214" s="766">
        <f t="shared" si="78"/>
        <v>0</v>
      </c>
      <c r="J214" s="766">
        <f t="shared" si="78"/>
        <v>0</v>
      </c>
      <c r="K214" s="766">
        <f t="shared" si="78"/>
        <v>0</v>
      </c>
      <c r="L214" s="766">
        <f t="shared" si="78"/>
        <v>0</v>
      </c>
      <c r="M214" s="766">
        <f t="shared" si="78"/>
        <v>0</v>
      </c>
      <c r="N214" s="766">
        <f t="shared" si="78"/>
        <v>0</v>
      </c>
      <c r="O214" s="766">
        <f t="shared" si="78"/>
        <v>0</v>
      </c>
      <c r="P214" s="766">
        <f t="shared" si="78"/>
        <v>0</v>
      </c>
      <c r="Q214" s="766">
        <f t="shared" si="78"/>
        <v>0</v>
      </c>
      <c r="R214" s="766">
        <f t="shared" si="78"/>
        <v>6.1808186246520968E-6</v>
      </c>
      <c r="S214" s="766">
        <f t="shared" si="78"/>
        <v>3.232624750819008E-6</v>
      </c>
      <c r="T214" s="766">
        <f t="shared" si="78"/>
        <v>1.8510998407676007E-6</v>
      </c>
      <c r="U214" s="766">
        <f t="shared" si="78"/>
        <v>1.3828101621455941E-6</v>
      </c>
      <c r="V214" s="766">
        <f t="shared" si="78"/>
        <v>1.2768005865789222E-6</v>
      </c>
      <c r="W214" s="766">
        <f t="shared" si="78"/>
        <v>2.7179040825677069E-6</v>
      </c>
      <c r="X214" s="766">
        <f t="shared" si="78"/>
        <v>1.6301192423052387E-6</v>
      </c>
      <c r="Y214" s="766">
        <f t="shared" si="78"/>
        <v>2.0133148641265742E-6</v>
      </c>
      <c r="Z214" s="766">
        <f t="shared" si="78"/>
        <v>1.8557492842380177E-6</v>
      </c>
      <c r="AA214" s="766">
        <f t="shared" si="78"/>
        <v>2.4124178734948366E-6</v>
      </c>
      <c r="AB214" s="766">
        <f t="shared" si="78"/>
        <v>1.3670815060358442E-6</v>
      </c>
      <c r="AC214" s="766">
        <f t="shared" si="78"/>
        <v>2.2532245693871042E-6</v>
      </c>
      <c r="AD214" s="766">
        <f t="shared" si="78"/>
        <v>1.4770630926738585E-6</v>
      </c>
      <c r="AE214" s="766">
        <f t="shared" si="78"/>
        <v>7.9688018392665029E-7</v>
      </c>
      <c r="AF214" s="766">
        <f t="shared" si="78"/>
        <v>2.4649874725069399E-6</v>
      </c>
      <c r="AG214" s="766">
        <f t="shared" si="78"/>
        <v>1.1613840885531304E-6</v>
      </c>
      <c r="AH214" s="766">
        <f t="shared" si="78"/>
        <v>1.5919220030887831E-6</v>
      </c>
      <c r="AI214" s="766">
        <f t="shared" si="78"/>
        <v>1.2429149314586629E-6</v>
      </c>
      <c r="AJ214" s="766">
        <f t="shared" si="78"/>
        <v>1.0787519999999999E-6</v>
      </c>
    </row>
    <row r="215" spans="1:38" ht="17" x14ac:dyDescent="0.45">
      <c r="A215" s="1449" t="s">
        <v>967</v>
      </c>
      <c r="B215" s="526" t="s">
        <v>584</v>
      </c>
      <c r="C215" s="772">
        <f t="shared" ref="C215:AJ215" si="79">C209*$E$226</f>
        <v>0</v>
      </c>
      <c r="D215" s="772">
        <f t="shared" si="79"/>
        <v>0</v>
      </c>
      <c r="E215" s="772">
        <f t="shared" si="79"/>
        <v>0</v>
      </c>
      <c r="F215" s="772">
        <f t="shared" si="79"/>
        <v>0</v>
      </c>
      <c r="G215" s="772">
        <f t="shared" si="79"/>
        <v>0</v>
      </c>
      <c r="H215" s="772">
        <f t="shared" si="79"/>
        <v>0</v>
      </c>
      <c r="I215" s="772">
        <f t="shared" si="79"/>
        <v>0</v>
      </c>
      <c r="J215" s="772">
        <f t="shared" si="79"/>
        <v>0</v>
      </c>
      <c r="K215" s="772">
        <f t="shared" si="79"/>
        <v>0</v>
      </c>
      <c r="L215" s="772">
        <f t="shared" si="79"/>
        <v>0</v>
      </c>
      <c r="M215" s="772">
        <f t="shared" si="79"/>
        <v>0</v>
      </c>
      <c r="N215" s="772">
        <f t="shared" si="79"/>
        <v>0</v>
      </c>
      <c r="O215" s="772">
        <f t="shared" si="79"/>
        <v>0</v>
      </c>
      <c r="P215" s="772">
        <f t="shared" si="79"/>
        <v>0</v>
      </c>
      <c r="Q215" s="772">
        <f t="shared" si="79"/>
        <v>0</v>
      </c>
      <c r="R215" s="772">
        <f t="shared" si="79"/>
        <v>1073.0768383144925</v>
      </c>
      <c r="S215" s="772">
        <f t="shared" si="79"/>
        <v>561.22901475066146</v>
      </c>
      <c r="T215" s="772">
        <f t="shared" si="79"/>
        <v>321.37690574072872</v>
      </c>
      <c r="U215" s="772">
        <f t="shared" si="79"/>
        <v>240.07524680727349</v>
      </c>
      <c r="V215" s="772">
        <f t="shared" si="79"/>
        <v>221.67049703409134</v>
      </c>
      <c r="W215" s="772">
        <f t="shared" si="79"/>
        <v>471.86628452925521</v>
      </c>
      <c r="X215" s="772">
        <f t="shared" si="79"/>
        <v>283.01157319706698</v>
      </c>
      <c r="Y215" s="772">
        <f t="shared" si="79"/>
        <v>349.53970988755918</v>
      </c>
      <c r="Z215" s="772">
        <f t="shared" si="79"/>
        <v>322.18411436504556</v>
      </c>
      <c r="AA215" s="772">
        <f t="shared" si="79"/>
        <v>418.8295922579224</v>
      </c>
      <c r="AB215" s="772">
        <f t="shared" si="79"/>
        <v>237.34453141273522</v>
      </c>
      <c r="AC215" s="772">
        <f t="shared" si="79"/>
        <v>391.19140097183237</v>
      </c>
      <c r="AD215" s="772">
        <f t="shared" si="79"/>
        <v>256.43887804048063</v>
      </c>
      <c r="AE215" s="772">
        <f t="shared" si="79"/>
        <v>138.34958121451322</v>
      </c>
      <c r="AF215" s="772">
        <f t="shared" si="79"/>
        <v>427.95641226755237</v>
      </c>
      <c r="AG215" s="772">
        <f t="shared" si="79"/>
        <v>201.63257353041976</v>
      </c>
      <c r="AH215" s="772">
        <f t="shared" si="79"/>
        <v>276.37999651121271</v>
      </c>
      <c r="AI215" s="772">
        <f t="shared" si="79"/>
        <v>215.78747184457453</v>
      </c>
      <c r="AJ215" s="772">
        <f t="shared" si="79"/>
        <v>187.28648351990637</v>
      </c>
    </row>
    <row r="216" spans="1:38" ht="17" x14ac:dyDescent="0.45">
      <c r="A216" s="1447" t="s">
        <v>1355</v>
      </c>
      <c r="B216" s="526" t="s">
        <v>584</v>
      </c>
      <c r="C216" s="748">
        <f t="shared" ref="C216:AJ216" si="80">C215*$B$250</f>
        <v>0</v>
      </c>
      <c r="D216" s="748">
        <f t="shared" si="80"/>
        <v>0</v>
      </c>
      <c r="E216" s="748">
        <f t="shared" si="80"/>
        <v>0</v>
      </c>
      <c r="F216" s="748">
        <f t="shared" si="80"/>
        <v>0</v>
      </c>
      <c r="G216" s="748">
        <f t="shared" si="80"/>
        <v>0</v>
      </c>
      <c r="H216" s="748">
        <f t="shared" si="80"/>
        <v>0</v>
      </c>
      <c r="I216" s="748">
        <f t="shared" si="80"/>
        <v>0</v>
      </c>
      <c r="J216" s="748">
        <f t="shared" si="80"/>
        <v>0</v>
      </c>
      <c r="K216" s="748">
        <f t="shared" si="80"/>
        <v>0</v>
      </c>
      <c r="L216" s="748">
        <f t="shared" si="80"/>
        <v>0</v>
      </c>
      <c r="M216" s="748">
        <f t="shared" si="80"/>
        <v>0</v>
      </c>
      <c r="N216" s="748">
        <f t="shared" si="80"/>
        <v>0</v>
      </c>
      <c r="O216" s="748">
        <f t="shared" si="80"/>
        <v>0</v>
      </c>
      <c r="P216" s="748">
        <f t="shared" si="80"/>
        <v>0</v>
      </c>
      <c r="Q216" s="748">
        <f t="shared" si="80"/>
        <v>0</v>
      </c>
      <c r="R216" s="748">
        <f t="shared" si="80"/>
        <v>319776.8978177188</v>
      </c>
      <c r="S216" s="748">
        <f t="shared" si="80"/>
        <v>167246.24639569712</v>
      </c>
      <c r="T216" s="748">
        <f t="shared" si="80"/>
        <v>95770.317910737154</v>
      </c>
      <c r="U216" s="748">
        <f t="shared" si="80"/>
        <v>71542.423548567502</v>
      </c>
      <c r="V216" s="748">
        <f t="shared" si="80"/>
        <v>66057.808116159213</v>
      </c>
      <c r="W216" s="748">
        <f t="shared" si="80"/>
        <v>140616.15278971806</v>
      </c>
      <c r="X216" s="748">
        <f t="shared" si="80"/>
        <v>84337.448812725954</v>
      </c>
      <c r="Y216" s="748">
        <f t="shared" si="80"/>
        <v>104162.83354649263</v>
      </c>
      <c r="Z216" s="748">
        <f t="shared" si="80"/>
        <v>96010.866080783569</v>
      </c>
      <c r="AA216" s="748">
        <f t="shared" si="80"/>
        <v>124811.21849286088</v>
      </c>
      <c r="AB216" s="748">
        <f t="shared" si="80"/>
        <v>70728.670360995093</v>
      </c>
      <c r="AC216" s="748">
        <f t="shared" si="80"/>
        <v>116575.03748960604</v>
      </c>
      <c r="AD216" s="748">
        <f t="shared" si="80"/>
        <v>76418.785656063235</v>
      </c>
      <c r="AE216" s="748">
        <f t="shared" si="80"/>
        <v>41228.17520192494</v>
      </c>
      <c r="AF216" s="748">
        <f t="shared" si="80"/>
        <v>127531.01085573061</v>
      </c>
      <c r="AG216" s="748">
        <f t="shared" si="80"/>
        <v>60086.506912065088</v>
      </c>
      <c r="AH216" s="748">
        <f t="shared" si="80"/>
        <v>82361.23896034139</v>
      </c>
      <c r="AI216" s="748">
        <f t="shared" si="80"/>
        <v>64304.666609683212</v>
      </c>
      <c r="AJ216" s="748">
        <f t="shared" si="80"/>
        <v>55811.372088932098</v>
      </c>
    </row>
    <row r="217" spans="1:38" ht="17" x14ac:dyDescent="0.45">
      <c r="A217" s="1450" t="s">
        <v>1356</v>
      </c>
      <c r="B217" s="1436" t="s">
        <v>1189</v>
      </c>
      <c r="C217" s="766">
        <f t="shared" ref="C217:AJ217" si="81">C216/($B$244*1000000)</f>
        <v>0</v>
      </c>
      <c r="D217" s="766">
        <f t="shared" si="81"/>
        <v>0</v>
      </c>
      <c r="E217" s="766">
        <f t="shared" si="81"/>
        <v>0</v>
      </c>
      <c r="F217" s="766">
        <f t="shared" si="81"/>
        <v>0</v>
      </c>
      <c r="G217" s="766">
        <f t="shared" si="81"/>
        <v>0</v>
      </c>
      <c r="H217" s="766">
        <f t="shared" si="81"/>
        <v>0</v>
      </c>
      <c r="I217" s="766">
        <f t="shared" si="81"/>
        <v>0</v>
      </c>
      <c r="J217" s="766">
        <f t="shared" si="81"/>
        <v>0</v>
      </c>
      <c r="K217" s="766">
        <f t="shared" si="81"/>
        <v>0</v>
      </c>
      <c r="L217" s="766">
        <f t="shared" si="81"/>
        <v>0</v>
      </c>
      <c r="M217" s="766">
        <f t="shared" si="81"/>
        <v>0</v>
      </c>
      <c r="N217" s="766">
        <f t="shared" si="81"/>
        <v>0</v>
      </c>
      <c r="O217" s="766">
        <f t="shared" si="81"/>
        <v>0</v>
      </c>
      <c r="P217" s="766">
        <f t="shared" si="81"/>
        <v>0</v>
      </c>
      <c r="Q217" s="766">
        <f t="shared" si="81"/>
        <v>0</v>
      </c>
      <c r="R217" s="766">
        <f t="shared" si="81"/>
        <v>1.4504836107402308E-4</v>
      </c>
      <c r="S217" s="766">
        <f t="shared" si="81"/>
        <v>7.5861621339845051E-5</v>
      </c>
      <c r="T217" s="766">
        <f t="shared" si="81"/>
        <v>4.3440685513213662E-5</v>
      </c>
      <c r="U217" s="766">
        <f t="shared" si="81"/>
        <v>3.2451097480151729E-5</v>
      </c>
      <c r="V217" s="766">
        <f t="shared" si="81"/>
        <v>2.9963317765540851E-5</v>
      </c>
      <c r="W217" s="766">
        <f t="shared" si="81"/>
        <v>6.3782414057657661E-5</v>
      </c>
      <c r="X217" s="766">
        <f t="shared" si="81"/>
        <v>3.8254823318798185E-5</v>
      </c>
      <c r="Y217" s="766">
        <f t="shared" si="81"/>
        <v>4.724746657389038E-5</v>
      </c>
      <c r="Z217" s="766">
        <f t="shared" si="81"/>
        <v>4.354979632785568E-5</v>
      </c>
      <c r="AA217" s="766">
        <f t="shared" si="81"/>
        <v>5.661341644624007E-5</v>
      </c>
      <c r="AB217" s="766">
        <f t="shared" si="81"/>
        <v>3.2081985242896172E-5</v>
      </c>
      <c r="AC217" s="766">
        <f t="shared" si="81"/>
        <v>5.2877547582091868E-5</v>
      </c>
      <c r="AD217" s="766">
        <f t="shared" si="81"/>
        <v>3.4662978127323773E-5</v>
      </c>
      <c r="AE217" s="766">
        <f t="shared" si="81"/>
        <v>1.8700785716298665E-5</v>
      </c>
      <c r="AF217" s="766">
        <f t="shared" si="81"/>
        <v>5.7847093511056602E-5</v>
      </c>
      <c r="AG217" s="766">
        <f t="shared" si="81"/>
        <v>2.7254781098120588E-5</v>
      </c>
      <c r="AH217" s="766">
        <f t="shared" si="81"/>
        <v>3.7358429607486016E-5</v>
      </c>
      <c r="AI217" s="766">
        <f t="shared" si="81"/>
        <v>2.9168106154006174E-5</v>
      </c>
      <c r="AJ217" s="766">
        <f t="shared" si="81"/>
        <v>2.5315612559999995E-5</v>
      </c>
    </row>
    <row r="218" spans="1:38" ht="17" x14ac:dyDescent="0.45">
      <c r="A218" s="1450" t="s">
        <v>1394</v>
      </c>
      <c r="B218" s="1436" t="s">
        <v>1189</v>
      </c>
      <c r="C218" s="767">
        <f t="shared" ref="C218:AJ218" si="82">C214+C217</f>
        <v>0</v>
      </c>
      <c r="D218" s="767">
        <f t="shared" si="82"/>
        <v>0</v>
      </c>
      <c r="E218" s="767">
        <f t="shared" si="82"/>
        <v>0</v>
      </c>
      <c r="F218" s="767">
        <f t="shared" si="82"/>
        <v>0</v>
      </c>
      <c r="G218" s="767">
        <f t="shared" si="82"/>
        <v>0</v>
      </c>
      <c r="H218" s="767">
        <f t="shared" si="82"/>
        <v>0</v>
      </c>
      <c r="I218" s="767">
        <f t="shared" si="82"/>
        <v>0</v>
      </c>
      <c r="J218" s="767">
        <f t="shared" si="82"/>
        <v>0</v>
      </c>
      <c r="K218" s="767">
        <f t="shared" si="82"/>
        <v>0</v>
      </c>
      <c r="L218" s="767">
        <f t="shared" si="82"/>
        <v>0</v>
      </c>
      <c r="M218" s="767">
        <f t="shared" si="82"/>
        <v>0</v>
      </c>
      <c r="N218" s="767">
        <f t="shared" si="82"/>
        <v>0</v>
      </c>
      <c r="O218" s="767">
        <f t="shared" si="82"/>
        <v>0</v>
      </c>
      <c r="P218" s="767">
        <f t="shared" si="82"/>
        <v>0</v>
      </c>
      <c r="Q218" s="767">
        <f t="shared" si="82"/>
        <v>0</v>
      </c>
      <c r="R218" s="767">
        <f t="shared" si="82"/>
        <v>1.5122917969867517E-4</v>
      </c>
      <c r="S218" s="767">
        <f t="shared" si="82"/>
        <v>7.9094246090664054E-5</v>
      </c>
      <c r="T218" s="767">
        <f t="shared" si="82"/>
        <v>4.529178535398126E-5</v>
      </c>
      <c r="U218" s="767">
        <f t="shared" si="82"/>
        <v>3.3833907642297326E-5</v>
      </c>
      <c r="V218" s="767">
        <f t="shared" si="82"/>
        <v>3.124011835211977E-5</v>
      </c>
      <c r="W218" s="767">
        <f t="shared" si="82"/>
        <v>6.6500318140225363E-5</v>
      </c>
      <c r="X218" s="767">
        <f t="shared" si="82"/>
        <v>3.9884942561103427E-5</v>
      </c>
      <c r="Y218" s="767">
        <f t="shared" si="82"/>
        <v>4.9260781438016955E-5</v>
      </c>
      <c r="Z218" s="767">
        <f t="shared" si="82"/>
        <v>4.5405545612093696E-5</v>
      </c>
      <c r="AA218" s="767">
        <f t="shared" si="82"/>
        <v>5.9025834319734907E-5</v>
      </c>
      <c r="AB218" s="767">
        <f t="shared" si="82"/>
        <v>3.3449066748932015E-5</v>
      </c>
      <c r="AC218" s="767">
        <f t="shared" si="82"/>
        <v>5.5130772151478975E-5</v>
      </c>
      <c r="AD218" s="767">
        <f t="shared" si="82"/>
        <v>3.6140041219997633E-5</v>
      </c>
      <c r="AE218" s="767">
        <f t="shared" si="82"/>
        <v>1.9497665900225314E-5</v>
      </c>
      <c r="AF218" s="767">
        <f t="shared" si="82"/>
        <v>6.0312080983563539E-5</v>
      </c>
      <c r="AG218" s="767">
        <f t="shared" si="82"/>
        <v>2.8416165186673717E-5</v>
      </c>
      <c r="AH218" s="767">
        <f t="shared" si="82"/>
        <v>3.8950351610574801E-5</v>
      </c>
      <c r="AI218" s="767">
        <f t="shared" si="82"/>
        <v>3.0411021085464836E-5</v>
      </c>
      <c r="AJ218" s="767">
        <f t="shared" si="82"/>
        <v>2.6394364559999994E-5</v>
      </c>
    </row>
    <row r="219" spans="1:38" x14ac:dyDescent="0.4">
      <c r="A219" s="1299" t="s">
        <v>1063</v>
      </c>
      <c r="B219" s="665"/>
      <c r="C219" s="1300"/>
      <c r="D219" s="1300"/>
      <c r="E219" s="1300"/>
      <c r="F219" s="1300"/>
      <c r="G219" s="1300"/>
      <c r="H219" s="1300"/>
      <c r="I219" s="1300"/>
      <c r="J219" s="1300"/>
      <c r="K219" s="1300"/>
      <c r="L219" s="1300"/>
      <c r="M219" s="1300"/>
      <c r="N219" s="1300"/>
      <c r="O219" s="1300"/>
      <c r="P219" s="1300"/>
      <c r="Q219" s="1300"/>
      <c r="R219" s="1300"/>
      <c r="S219" s="1300"/>
      <c r="T219" s="1300"/>
      <c r="U219" s="1300"/>
      <c r="V219" s="1300"/>
      <c r="W219" s="1300"/>
      <c r="X219" s="1300"/>
      <c r="Y219" s="1300"/>
      <c r="Z219" s="1300"/>
      <c r="AA219" s="1300"/>
      <c r="AB219" s="1300"/>
      <c r="AC219" s="1300"/>
      <c r="AD219" s="1300"/>
      <c r="AE219" s="1300"/>
      <c r="AF219" s="1300"/>
      <c r="AG219" s="1300"/>
      <c r="AH219" s="1300"/>
      <c r="AI219" s="1300"/>
      <c r="AJ219" s="1300"/>
    </row>
    <row r="220" spans="1:38" x14ac:dyDescent="0.4">
      <c r="E220" s="29"/>
    </row>
    <row r="221" spans="1:38" s="28" customFormat="1" x14ac:dyDescent="0.4">
      <c r="A221" s="108" t="s">
        <v>935</v>
      </c>
      <c r="AK221" s="3"/>
      <c r="AL221" s="3"/>
    </row>
    <row r="222" spans="1:38" ht="17" x14ac:dyDescent="0.45">
      <c r="A222" s="1282" t="s">
        <v>937</v>
      </c>
      <c r="B222" s="24" t="s">
        <v>136</v>
      </c>
      <c r="C222" s="1458" t="s">
        <v>1358</v>
      </c>
      <c r="D222" s="1458" t="s">
        <v>966</v>
      </c>
      <c r="E222" s="1458" t="s">
        <v>967</v>
      </c>
    </row>
    <row r="223" spans="1:38" x14ac:dyDescent="0.4">
      <c r="A223" s="56" t="s">
        <v>94</v>
      </c>
      <c r="B223" s="56" t="s">
        <v>575</v>
      </c>
      <c r="C223" s="24">
        <v>93.8</v>
      </c>
      <c r="D223" s="239">
        <v>7.1999999999999998E-3</v>
      </c>
      <c r="E223" s="24">
        <v>3.5999999999999999E-3</v>
      </c>
      <c r="F223" s="24"/>
    </row>
    <row r="224" spans="1:38" x14ac:dyDescent="0.4">
      <c r="A224" s="56" t="s">
        <v>94</v>
      </c>
      <c r="B224" s="56" t="s">
        <v>576</v>
      </c>
      <c r="C224" s="740">
        <f>C223*$B$245</f>
        <v>206.79360175599999</v>
      </c>
      <c r="D224" s="239">
        <f>D223*$B$245</f>
        <v>1.5873282863999999E-2</v>
      </c>
      <c r="E224" s="239">
        <f>E223*$B$245</f>
        <v>7.9366414319999995E-3</v>
      </c>
      <c r="F224" s="24"/>
    </row>
    <row r="225" spans="1:6" x14ac:dyDescent="0.4">
      <c r="A225" s="741" t="s">
        <v>878</v>
      </c>
      <c r="B225" s="56" t="s">
        <v>575</v>
      </c>
      <c r="C225" s="24">
        <v>52.07</v>
      </c>
      <c r="D225" s="239">
        <v>3.2000000000000002E-3</v>
      </c>
      <c r="E225" s="24">
        <v>6.3E-3</v>
      </c>
      <c r="F225" s="24"/>
    </row>
    <row r="226" spans="1:6" x14ac:dyDescent="0.4">
      <c r="A226" s="741" t="s">
        <v>878</v>
      </c>
      <c r="B226" s="56" t="s">
        <v>576</v>
      </c>
      <c r="C226" s="740">
        <f>C225*$B$245</f>
        <v>114.79469982339999</v>
      </c>
      <c r="D226" s="239">
        <f>D225*$B$245</f>
        <v>7.054792384E-3</v>
      </c>
      <c r="E226" s="239">
        <f>E225*$B$245</f>
        <v>1.3889122505999999E-2</v>
      </c>
      <c r="F226" s="24"/>
    </row>
    <row r="227" spans="1:6" x14ac:dyDescent="0.4">
      <c r="A227" s="754" t="s">
        <v>333</v>
      </c>
      <c r="B227" s="56" t="s">
        <v>575</v>
      </c>
      <c r="C227" s="24">
        <v>68.44</v>
      </c>
      <c r="D227" s="239">
        <v>1.1000000000000001E-3</v>
      </c>
      <c r="E227" s="24">
        <v>1.1E-4</v>
      </c>
      <c r="F227" s="24"/>
    </row>
    <row r="228" spans="1:6" x14ac:dyDescent="0.4">
      <c r="A228" s="1268" t="s">
        <v>333</v>
      </c>
      <c r="B228" s="56" t="s">
        <v>576</v>
      </c>
      <c r="C228" s="740">
        <f>C227*$B$245</f>
        <v>150.88437211279998</v>
      </c>
      <c r="D228" s="239">
        <f>D227*$B$245</f>
        <v>2.425084882E-3</v>
      </c>
      <c r="E228" s="239">
        <f>E227*$B$245</f>
        <v>2.4250848819999999E-4</v>
      </c>
      <c r="F228" s="24"/>
    </row>
    <row r="229" spans="1:6" x14ac:dyDescent="0.4">
      <c r="A229" s="660" t="s">
        <v>334</v>
      </c>
      <c r="B229" s="56" t="s">
        <v>575</v>
      </c>
      <c r="C229" s="24">
        <v>73.84</v>
      </c>
      <c r="D229" s="239">
        <v>1.1000000000000001E-3</v>
      </c>
      <c r="E229" s="24">
        <v>1.1E-4</v>
      </c>
      <c r="F229" s="24"/>
    </row>
    <row r="230" spans="1:6" x14ac:dyDescent="0.4">
      <c r="A230" s="660" t="s">
        <v>334</v>
      </c>
      <c r="B230" s="56" t="s">
        <v>576</v>
      </c>
      <c r="C230" s="740">
        <f>C229*$B$245</f>
        <v>162.78933426079999</v>
      </c>
      <c r="D230" s="239">
        <f>D229*$B$245</f>
        <v>2.425084882E-3</v>
      </c>
      <c r="E230" s="239">
        <f>E229*$B$245</f>
        <v>2.4250848819999999E-4</v>
      </c>
      <c r="F230" s="24"/>
    </row>
    <row r="231" spans="1:6" x14ac:dyDescent="0.4">
      <c r="A231" s="56" t="s">
        <v>879</v>
      </c>
      <c r="B231" s="56" t="s">
        <v>575</v>
      </c>
      <c r="C231" s="24">
        <v>90.7</v>
      </c>
      <c r="D231" s="239">
        <v>3.2000000000000001E-2</v>
      </c>
      <c r="E231" s="24">
        <v>4.1999999999999997E-3</v>
      </c>
      <c r="F231" s="24"/>
    </row>
    <row r="232" spans="1:6" x14ac:dyDescent="0.4">
      <c r="A232" s="1267" t="s">
        <v>879</v>
      </c>
      <c r="B232" s="56" t="s">
        <v>576</v>
      </c>
      <c r="C232" s="740">
        <f>C231*$B$245</f>
        <v>199.959271634</v>
      </c>
      <c r="D232" s="239">
        <f>D231*$B$245</f>
        <v>7.0547923839999999E-2</v>
      </c>
      <c r="E232" s="239">
        <f>E231*$B$245</f>
        <v>9.2594150039999983E-3</v>
      </c>
      <c r="F232" s="24"/>
    </row>
    <row r="233" spans="1:6" x14ac:dyDescent="0.4">
      <c r="A233" s="196" t="s">
        <v>880</v>
      </c>
      <c r="B233" s="56" t="s">
        <v>575</v>
      </c>
      <c r="C233" s="755">
        <v>105.51</v>
      </c>
      <c r="D233" s="239" t="s">
        <v>32</v>
      </c>
      <c r="E233" s="24" t="s">
        <v>32</v>
      </c>
      <c r="F233" s="24"/>
    </row>
    <row r="234" spans="1:6" x14ac:dyDescent="0.4">
      <c r="A234" s="56" t="s">
        <v>880</v>
      </c>
      <c r="B234" s="56" t="s">
        <v>576</v>
      </c>
      <c r="C234" s="740">
        <f>C233*B245</f>
        <v>232.60973263619999</v>
      </c>
      <c r="D234" s="239" t="s">
        <v>32</v>
      </c>
      <c r="E234" s="24" t="s">
        <v>32</v>
      </c>
      <c r="F234" s="24"/>
    </row>
    <row r="235" spans="1:6" x14ac:dyDescent="0.4">
      <c r="A235" s="754" t="s">
        <v>1063</v>
      </c>
      <c r="B235" s="24"/>
      <c r="C235" s="24"/>
      <c r="D235" s="239"/>
      <c r="E235" s="240"/>
      <c r="F235" s="24"/>
    </row>
    <row r="236" spans="1:6" x14ac:dyDescent="0.4">
      <c r="A236" s="754"/>
      <c r="B236" s="24"/>
      <c r="C236" s="24"/>
      <c r="D236" s="239"/>
      <c r="E236" s="240"/>
      <c r="F236" s="24"/>
    </row>
    <row r="237" spans="1:6" x14ac:dyDescent="0.4">
      <c r="A237" s="3" t="s">
        <v>457</v>
      </c>
    </row>
    <row r="238" spans="1:6" x14ac:dyDescent="0.4">
      <c r="A238" s="196" t="s">
        <v>611</v>
      </c>
    </row>
    <row r="239" spans="1:6" ht="17" x14ac:dyDescent="0.45">
      <c r="A239" s="5" t="s">
        <v>1360</v>
      </c>
    </row>
    <row r="240" spans="1:6" ht="17" x14ac:dyDescent="0.45">
      <c r="A240" s="5" t="s">
        <v>1359</v>
      </c>
    </row>
    <row r="241" spans="1:2" ht="17" x14ac:dyDescent="0.45">
      <c r="A241" s="1403" t="s">
        <v>1361</v>
      </c>
    </row>
    <row r="243" spans="1:2" x14ac:dyDescent="0.4">
      <c r="A243" s="3" t="s">
        <v>572</v>
      </c>
      <c r="B243" s="24" t="s">
        <v>573</v>
      </c>
    </row>
    <row r="244" spans="1:2" x14ac:dyDescent="0.4">
      <c r="A244" s="1436" t="s">
        <v>1393</v>
      </c>
      <c r="B244" s="526">
        <v>2204.6226200000001</v>
      </c>
    </row>
    <row r="245" spans="1:2" x14ac:dyDescent="0.4">
      <c r="A245" s="526" t="s">
        <v>579</v>
      </c>
      <c r="B245" s="526">
        <v>2.2046226199999999</v>
      </c>
    </row>
    <row r="246" spans="1:2" x14ac:dyDescent="0.4">
      <c r="A246" s="3" t="s">
        <v>1063</v>
      </c>
    </row>
    <row r="248" spans="1:2" x14ac:dyDescent="0.4">
      <c r="A248" s="789" t="s">
        <v>769</v>
      </c>
      <c r="B248" s="760" t="s">
        <v>573</v>
      </c>
    </row>
    <row r="249" spans="1:2" ht="17" x14ac:dyDescent="0.45">
      <c r="A249" s="680" t="s">
        <v>587</v>
      </c>
      <c r="B249" s="680">
        <v>25</v>
      </c>
    </row>
    <row r="250" spans="1:2" ht="17" x14ac:dyDescent="0.45">
      <c r="A250" s="680" t="s">
        <v>588</v>
      </c>
      <c r="B250" s="680">
        <v>298</v>
      </c>
    </row>
    <row r="251" spans="1:2" x14ac:dyDescent="0.4">
      <c r="A251" s="3" t="s">
        <v>1063</v>
      </c>
    </row>
    <row r="253" spans="1:2" x14ac:dyDescent="0.4">
      <c r="A253" s="395" t="s">
        <v>1064</v>
      </c>
    </row>
  </sheetData>
  <mergeCells count="1">
    <mergeCell ref="I36:K36"/>
  </mergeCells>
  <phoneticPr fontId="38" type="noConversion"/>
  <hyperlinks>
    <hyperlink ref="A239" r:id="rId1" display="https://www.govinfo.gov/content/pkg/CFR-2023-title40-vol23/pdf/CFR-2023-title40-vol23-part98-subpartC-appC.pdf" xr:uid="{A91641EF-CC93-4A51-A702-57346BC7DE1D}"/>
    <hyperlink ref="A240" r:id="rId2" display="https://www.govinfo.gov/content/pkg/CFR-2023-title40-vol23/pdf/CFR-2023-title40-vol23-part98-subpartC-appC-id531.pdf" xr:uid="{26254897-B99C-4EBD-857C-1CD68B67E3F2}"/>
    <hyperlink ref="A2" location="Contents!A1" display="Return to Contents tab" xr:uid="{EAAE4B53-54CC-45EB-9F26-054897F01808}"/>
    <hyperlink ref="A3" location="'Biogenic Combustion'!A5" display="Go to Data on Biogenic Combustion Worksheet" xr:uid="{F84D7411-612C-4552-A6AD-AF2626018006}"/>
  </hyperlinks>
  <pageMargins left="0.7" right="0.7" top="0.75" bottom="0.75" header="0.3" footer="0.3"/>
  <pageSetup scale="31" fitToHeight="3" orientation="landscape" r:id="rId3"/>
  <headerFooter>
    <oddFooter>&amp;L&amp;F &amp;A&amp;R Page &amp;P of &amp;N</oddFooter>
  </headerFooter>
  <rowBreaks count="1" manualBreakCount="1">
    <brk id="121" max="16383" man="1"/>
  </rowBreaks>
  <tableParts count="17">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6328F-D5B5-4059-87F7-6D8D6AF2BD25}">
  <sheetPr>
    <pageSetUpPr fitToPage="1"/>
  </sheetPr>
  <dimension ref="A1:AS78"/>
  <sheetViews>
    <sheetView zoomScale="107" workbookViewId="0">
      <pane xSplit="1" topLeftCell="B1" activePane="topRight" state="frozen"/>
      <selection pane="topRight"/>
    </sheetView>
  </sheetViews>
  <sheetFormatPr defaultColWidth="8.26953125" defaultRowHeight="16" x14ac:dyDescent="0.4"/>
  <cols>
    <col min="1" max="1" width="60.453125" style="3" customWidth="1"/>
    <col min="2" max="2" width="15.81640625" style="3" customWidth="1"/>
    <col min="3" max="3" width="13.1796875" style="3" customWidth="1"/>
    <col min="4" max="4" width="14.7265625" style="3" customWidth="1"/>
    <col min="5" max="29" width="10.1796875" style="3" customWidth="1"/>
    <col min="30" max="32" width="10.1796875" style="459" customWidth="1"/>
    <col min="33" max="35" width="10.1796875" style="3" customWidth="1"/>
    <col min="36" max="42" width="5.1796875" style="3" customWidth="1"/>
    <col min="43" max="43" width="5.7265625" style="3" bestFit="1" customWidth="1"/>
    <col min="44" max="16384" width="8.26953125" style="3"/>
  </cols>
  <sheetData>
    <row r="1" spans="1:45" ht="21" x14ac:dyDescent="0.5">
      <c r="A1" s="471" t="s">
        <v>970</v>
      </c>
      <c r="B1" s="447"/>
      <c r="C1" s="448"/>
      <c r="D1" s="448"/>
      <c r="E1" s="448"/>
      <c r="F1" s="448"/>
      <c r="G1" s="448"/>
      <c r="H1" s="448"/>
      <c r="I1" s="448"/>
      <c r="J1" s="448"/>
      <c r="K1" s="448"/>
      <c r="L1" s="448"/>
      <c r="M1" s="448"/>
      <c r="N1" s="448"/>
      <c r="O1" s="448"/>
      <c r="P1" s="448"/>
      <c r="Q1" s="29"/>
      <c r="R1" s="448"/>
      <c r="S1" s="448"/>
      <c r="T1" s="448"/>
      <c r="U1" s="448"/>
      <c r="V1" s="448"/>
      <c r="W1" s="448"/>
      <c r="X1" s="448"/>
      <c r="Y1" s="448"/>
      <c r="Z1" s="448"/>
      <c r="AA1" s="448"/>
      <c r="AB1" s="448"/>
      <c r="AC1" s="448"/>
      <c r="AD1" s="448"/>
      <c r="AE1" s="448"/>
      <c r="AF1" s="448"/>
    </row>
    <row r="2" spans="1:45" x14ac:dyDescent="0.4">
      <c r="A2" s="1011" t="s">
        <v>730</v>
      </c>
      <c r="B2" s="447"/>
      <c r="C2" s="448"/>
      <c r="D2" s="448"/>
      <c r="E2" s="448"/>
      <c r="F2" s="448"/>
      <c r="G2" s="448"/>
      <c r="H2" s="448"/>
      <c r="I2" s="448"/>
      <c r="J2" s="448"/>
      <c r="K2" s="448"/>
      <c r="L2" s="448"/>
      <c r="M2" s="448"/>
      <c r="N2" s="448"/>
      <c r="O2" s="448"/>
      <c r="P2" s="448"/>
      <c r="Q2" s="29"/>
      <c r="R2" s="448"/>
      <c r="S2" s="448"/>
      <c r="T2" s="448"/>
      <c r="U2" s="448"/>
      <c r="V2" s="448"/>
      <c r="W2" s="448"/>
      <c r="X2" s="448"/>
      <c r="Y2" s="448"/>
      <c r="Z2" s="448"/>
      <c r="AA2" s="448"/>
      <c r="AB2" s="448"/>
      <c r="AC2" s="448"/>
      <c r="AD2" s="448"/>
      <c r="AE2" s="448"/>
      <c r="AF2" s="448"/>
    </row>
    <row r="3" spans="1:45" x14ac:dyDescent="0.4">
      <c r="A3" s="1011" t="s">
        <v>971</v>
      </c>
      <c r="B3" s="447"/>
      <c r="C3" s="448"/>
      <c r="D3" s="448"/>
      <c r="E3" s="448"/>
      <c r="F3" s="448"/>
      <c r="G3" s="448"/>
      <c r="H3" s="448"/>
      <c r="I3" s="448"/>
      <c r="J3" s="448"/>
      <c r="K3" s="448"/>
      <c r="L3" s="448"/>
      <c r="M3" s="448"/>
      <c r="N3" s="448"/>
      <c r="O3" s="448"/>
      <c r="P3" s="448"/>
      <c r="Q3" s="29"/>
      <c r="R3" s="448"/>
      <c r="S3" s="448"/>
      <c r="T3" s="448"/>
      <c r="U3" s="448"/>
      <c r="V3" s="448"/>
      <c r="W3" s="448"/>
      <c r="X3" s="448"/>
      <c r="Y3" s="448"/>
      <c r="Z3" s="448"/>
      <c r="AA3" s="448"/>
      <c r="AB3" s="448"/>
      <c r="AC3" s="448"/>
      <c r="AD3" s="448"/>
      <c r="AE3" s="448"/>
      <c r="AF3" s="448"/>
    </row>
    <row r="4" spans="1:45" x14ac:dyDescent="0.4">
      <c r="A4" s="1052"/>
      <c r="B4" s="447"/>
      <c r="C4" s="448"/>
      <c r="D4" s="448"/>
      <c r="E4" s="448"/>
      <c r="F4" s="448"/>
      <c r="G4" s="448"/>
      <c r="H4" s="448"/>
      <c r="I4" s="448"/>
      <c r="J4" s="448"/>
      <c r="K4" s="448"/>
      <c r="L4" s="448"/>
      <c r="M4" s="448"/>
      <c r="N4" s="448"/>
      <c r="O4" s="448"/>
      <c r="P4" s="448"/>
      <c r="Q4" s="29"/>
      <c r="R4" s="448"/>
      <c r="S4" s="448"/>
      <c r="T4" s="448"/>
      <c r="U4" s="448"/>
      <c r="V4" s="448"/>
      <c r="W4" s="448"/>
      <c r="X4" s="448"/>
      <c r="Y4" s="448"/>
      <c r="Z4" s="448"/>
      <c r="AA4" s="448"/>
      <c r="AB4" s="448"/>
      <c r="AC4" s="448"/>
      <c r="AD4" s="448"/>
      <c r="AE4" s="448"/>
      <c r="AF4" s="448"/>
    </row>
    <row r="5" spans="1:45" x14ac:dyDescent="0.4">
      <c r="A5" s="1111" t="s">
        <v>1088</v>
      </c>
      <c r="B5" s="447"/>
      <c r="C5" s="448"/>
      <c r="D5" s="448"/>
      <c r="E5" s="448"/>
      <c r="F5" s="448"/>
      <c r="G5" s="448"/>
      <c r="H5" s="448"/>
      <c r="I5" s="448"/>
      <c r="J5" s="448"/>
      <c r="K5" s="448"/>
      <c r="L5" s="448"/>
      <c r="M5" s="448"/>
      <c r="N5" s="448"/>
      <c r="O5" s="448"/>
      <c r="P5" s="448"/>
      <c r="Q5" s="29"/>
      <c r="R5" s="448"/>
      <c r="S5" s="448"/>
      <c r="T5" s="448"/>
      <c r="U5" s="448"/>
      <c r="V5" s="448"/>
      <c r="W5" s="448"/>
      <c r="X5" s="448"/>
      <c r="Y5" s="448"/>
      <c r="Z5" s="448"/>
      <c r="AA5" s="448"/>
      <c r="AB5" s="448"/>
      <c r="AC5" s="448"/>
      <c r="AD5" s="448"/>
      <c r="AE5" s="448"/>
      <c r="AF5" s="448"/>
    </row>
    <row r="6" spans="1:45" s="42" customFormat="1" x14ac:dyDescent="0.4">
      <c r="A6" s="1175" t="s">
        <v>912</v>
      </c>
      <c r="B6" s="1174" t="s">
        <v>676</v>
      </c>
      <c r="C6" s="1174" t="s">
        <v>673</v>
      </c>
      <c r="D6" s="1174" t="s">
        <v>888</v>
      </c>
      <c r="E6" s="474"/>
      <c r="F6" s="474"/>
      <c r="G6" s="474"/>
      <c r="H6" s="474"/>
      <c r="I6" s="474"/>
      <c r="J6" s="474"/>
      <c r="K6" s="474"/>
      <c r="L6" s="474"/>
      <c r="M6" s="474"/>
      <c r="N6" s="474"/>
      <c r="O6" s="474"/>
      <c r="P6" s="474"/>
      <c r="Q6" s="474"/>
      <c r="R6" s="474"/>
      <c r="S6" s="474"/>
      <c r="T6" s="474"/>
      <c r="U6" s="474"/>
      <c r="V6" s="474"/>
      <c r="W6" s="474"/>
      <c r="X6" s="474"/>
      <c r="Y6" s="474"/>
      <c r="Z6" s="474"/>
      <c r="AA6" s="474"/>
      <c r="AB6" s="474"/>
      <c r="AC6" s="474"/>
      <c r="AD6" s="474"/>
      <c r="AE6" s="474"/>
      <c r="AF6" s="474"/>
      <c r="AG6" s="474"/>
      <c r="AH6" s="474"/>
      <c r="AI6" s="474"/>
      <c r="AJ6" s="3"/>
    </row>
    <row r="7" spans="1:45" s="42" customFormat="1" x14ac:dyDescent="0.4">
      <c r="A7" s="1004" t="s">
        <v>687</v>
      </c>
      <c r="B7" s="1006" t="s">
        <v>674</v>
      </c>
      <c r="C7" s="1006" t="s">
        <v>672</v>
      </c>
      <c r="D7" s="1007">
        <v>46036</v>
      </c>
      <c r="E7" s="474"/>
      <c r="F7" s="474"/>
      <c r="G7" s="474"/>
      <c r="H7" s="474"/>
      <c r="I7" s="474"/>
      <c r="J7" s="474"/>
      <c r="K7" s="474"/>
      <c r="L7" s="474"/>
      <c r="M7" s="474"/>
      <c r="N7" s="474"/>
      <c r="O7" s="474"/>
      <c r="P7" s="474"/>
      <c r="Q7" s="474"/>
      <c r="R7" s="474"/>
      <c r="S7" s="474"/>
      <c r="T7" s="474"/>
      <c r="U7" s="474"/>
      <c r="V7" s="474"/>
      <c r="W7" s="474"/>
      <c r="X7" s="474"/>
      <c r="Y7" s="474"/>
      <c r="Z7" s="474"/>
      <c r="AA7" s="474"/>
      <c r="AB7" s="474"/>
      <c r="AC7" s="474"/>
      <c r="AD7" s="474"/>
      <c r="AE7" s="474"/>
      <c r="AF7" s="474"/>
      <c r="AG7" s="474"/>
      <c r="AH7" s="474"/>
      <c r="AI7" s="474"/>
      <c r="AJ7" s="3"/>
    </row>
    <row r="8" spans="1:45" s="42" customFormat="1" x14ac:dyDescent="0.4">
      <c r="A8" s="1278" t="s">
        <v>1063</v>
      </c>
      <c r="B8" s="86"/>
      <c r="C8" s="86"/>
      <c r="D8" s="1009"/>
      <c r="E8" s="474"/>
      <c r="F8" s="474"/>
      <c r="G8" s="474"/>
      <c r="H8" s="474"/>
      <c r="I8" s="474"/>
      <c r="J8" s="474"/>
      <c r="K8" s="474"/>
      <c r="L8" s="474"/>
      <c r="M8" s="474"/>
      <c r="N8" s="474"/>
      <c r="O8" s="474"/>
      <c r="P8" s="474"/>
      <c r="Q8" s="474"/>
      <c r="R8" s="474"/>
      <c r="S8" s="474"/>
      <c r="T8" s="474"/>
      <c r="U8" s="474"/>
      <c r="V8" s="474"/>
      <c r="W8" s="474"/>
      <c r="X8" s="474"/>
      <c r="Y8" s="474"/>
      <c r="Z8" s="474"/>
      <c r="AA8" s="474"/>
      <c r="AB8" s="474"/>
      <c r="AC8" s="474"/>
      <c r="AD8" s="474"/>
      <c r="AE8" s="474"/>
      <c r="AF8" s="474"/>
      <c r="AG8" s="474"/>
      <c r="AH8" s="474"/>
      <c r="AI8" s="474"/>
      <c r="AJ8" s="3"/>
    </row>
    <row r="9" spans="1:45" s="42" customFormat="1" x14ac:dyDescent="0.4">
      <c r="A9" s="475"/>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473"/>
    </row>
    <row r="10" spans="1:45" x14ac:dyDescent="0.4">
      <c r="A10" s="444" t="s">
        <v>1070</v>
      </c>
      <c r="B10" s="447"/>
      <c r="C10" s="448"/>
      <c r="D10" s="448"/>
      <c r="E10" s="448"/>
      <c r="F10" s="448"/>
      <c r="G10" s="448"/>
      <c r="H10" s="448"/>
      <c r="I10" s="448"/>
      <c r="J10" s="448"/>
      <c r="K10" s="448"/>
      <c r="L10" s="448"/>
      <c r="M10" s="448"/>
      <c r="N10" s="448"/>
      <c r="O10" s="448"/>
      <c r="P10" s="448"/>
      <c r="Q10" s="29"/>
      <c r="R10" s="448"/>
      <c r="S10" s="448"/>
      <c r="T10" s="448"/>
      <c r="U10" s="448"/>
      <c r="V10" s="448"/>
      <c r="W10" s="448"/>
      <c r="X10" s="448"/>
      <c r="Y10" s="448"/>
      <c r="Z10" s="448"/>
      <c r="AA10" s="448"/>
      <c r="AB10" s="448"/>
      <c r="AC10" s="448"/>
      <c r="AD10" s="448"/>
      <c r="AE10" s="448"/>
      <c r="AF10" s="448"/>
    </row>
    <row r="11" spans="1:45" ht="17" x14ac:dyDescent="0.45">
      <c r="A11" s="1272" t="s">
        <v>1622</v>
      </c>
      <c r="B11" s="447"/>
      <c r="C11" s="448"/>
      <c r="D11" s="448"/>
      <c r="E11" s="448"/>
      <c r="F11" s="448"/>
      <c r="G11" s="448"/>
      <c r="H11" s="448"/>
      <c r="I11" s="448"/>
      <c r="J11" s="448"/>
      <c r="K11" s="448"/>
      <c r="L11" s="448"/>
      <c r="M11" s="448"/>
      <c r="N11" s="448"/>
      <c r="O11" s="448"/>
      <c r="P11" s="448"/>
      <c r="Q11" s="29"/>
      <c r="R11" s="448"/>
      <c r="S11" s="448"/>
      <c r="T11" s="448"/>
      <c r="U11" s="448"/>
      <c r="V11" s="448"/>
      <c r="W11" s="448"/>
      <c r="X11" s="448"/>
      <c r="Y11" s="448"/>
      <c r="Z11" s="448"/>
      <c r="AA11" s="448"/>
      <c r="AB11" s="448"/>
      <c r="AC11" s="448"/>
      <c r="AD11" s="448"/>
      <c r="AE11" s="448"/>
      <c r="AF11" s="448"/>
    </row>
    <row r="12" spans="1:45" s="60" customFormat="1" x14ac:dyDescent="0.4">
      <c r="A12" s="614" t="s">
        <v>686</v>
      </c>
      <c r="B12" s="615" t="s">
        <v>391</v>
      </c>
      <c r="C12" s="615" t="s">
        <v>392</v>
      </c>
      <c r="D12" s="615" t="s">
        <v>393</v>
      </c>
      <c r="E12" s="615" t="s">
        <v>394</v>
      </c>
      <c r="F12" s="615" t="s">
        <v>395</v>
      </c>
      <c r="G12" s="615" t="s">
        <v>396</v>
      </c>
      <c r="H12" s="615" t="s">
        <v>397</v>
      </c>
      <c r="I12" s="615" t="s">
        <v>398</v>
      </c>
      <c r="J12" s="615" t="s">
        <v>399</v>
      </c>
      <c r="K12" s="615" t="s">
        <v>400</v>
      </c>
      <c r="L12" s="615" t="s">
        <v>401</v>
      </c>
      <c r="M12" s="615" t="s">
        <v>402</v>
      </c>
      <c r="N12" s="615" t="s">
        <v>403</v>
      </c>
      <c r="O12" s="615" t="s">
        <v>404</v>
      </c>
      <c r="P12" s="615" t="s">
        <v>405</v>
      </c>
      <c r="Q12" s="615" t="s">
        <v>406</v>
      </c>
      <c r="R12" s="615" t="s">
        <v>407</v>
      </c>
      <c r="S12" s="615" t="s">
        <v>408</v>
      </c>
      <c r="T12" s="615" t="s">
        <v>409</v>
      </c>
      <c r="U12" s="615" t="s">
        <v>410</v>
      </c>
      <c r="V12" s="615" t="s">
        <v>411</v>
      </c>
      <c r="W12" s="615" t="s">
        <v>412</v>
      </c>
      <c r="X12" s="615" t="s">
        <v>413</v>
      </c>
      <c r="Y12" s="615" t="s">
        <v>414</v>
      </c>
      <c r="Z12" s="615" t="s">
        <v>415</v>
      </c>
      <c r="AA12" s="615" t="s">
        <v>416</v>
      </c>
      <c r="AB12" s="615" t="s">
        <v>417</v>
      </c>
      <c r="AC12" s="615" t="s">
        <v>418</v>
      </c>
      <c r="AD12" s="615" t="s">
        <v>419</v>
      </c>
      <c r="AE12" s="615" t="s">
        <v>420</v>
      </c>
      <c r="AF12" s="615" t="s">
        <v>421</v>
      </c>
      <c r="AG12" s="615" t="s">
        <v>422</v>
      </c>
      <c r="AH12" s="615" t="s">
        <v>423</v>
      </c>
      <c r="AI12" s="615" t="s">
        <v>424</v>
      </c>
      <c r="AJ12" s="3"/>
      <c r="AK12" s="3"/>
      <c r="AL12" s="3"/>
      <c r="AM12" s="3"/>
      <c r="AN12" s="3"/>
      <c r="AO12" s="3"/>
      <c r="AP12" s="3"/>
      <c r="AQ12" s="3"/>
      <c r="AR12" s="3"/>
      <c r="AS12" s="3"/>
    </row>
    <row r="13" spans="1:45" x14ac:dyDescent="0.4">
      <c r="A13" s="449" t="s">
        <v>325</v>
      </c>
      <c r="B13" s="450">
        <f>B14+B18</f>
        <v>-4.9273993984964948</v>
      </c>
      <c r="C13" s="450">
        <f t="shared" ref="C13:AI13" si="0">C14+C18</f>
        <v>-4.9777432601710014</v>
      </c>
      <c r="D13" s="450">
        <f t="shared" si="0"/>
        <v>-5.0281875778790006</v>
      </c>
      <c r="E13" s="450">
        <f t="shared" si="0"/>
        <v>-5.1832791320092335</v>
      </c>
      <c r="F13" s="450">
        <f t="shared" si="0"/>
        <v>-5.236243712739733</v>
      </c>
      <c r="G13" s="450">
        <f t="shared" si="0"/>
        <v>-5.2891686637701296</v>
      </c>
      <c r="H13" s="450">
        <f t="shared" si="0"/>
        <v>-5.3419756368673044</v>
      </c>
      <c r="I13" s="450">
        <f t="shared" si="0"/>
        <v>-5.3949116912978026</v>
      </c>
      <c r="J13" s="450">
        <f t="shared" si="0"/>
        <v>-5.4477804022615812</v>
      </c>
      <c r="K13" s="450">
        <f t="shared" si="0"/>
        <v>-5.5005045812919793</v>
      </c>
      <c r="L13" s="450">
        <f t="shared" si="0"/>
        <v>-5.5550936531233672</v>
      </c>
      <c r="M13" s="450">
        <f t="shared" si="0"/>
        <v>-5.6096077301852878</v>
      </c>
      <c r="N13" s="450">
        <f t="shared" si="0"/>
        <v>-5.6639668016740883</v>
      </c>
      <c r="O13" s="450">
        <f t="shared" si="0"/>
        <v>-5.7186213709090463</v>
      </c>
      <c r="P13" s="450">
        <f t="shared" si="0"/>
        <v>-5.7730735711376466</v>
      </c>
      <c r="Q13" s="450">
        <f t="shared" si="0"/>
        <v>-5.8265167762938166</v>
      </c>
      <c r="R13" s="450">
        <f t="shared" si="0"/>
        <v>-5.8825843616134303</v>
      </c>
      <c r="S13" s="450">
        <f t="shared" si="0"/>
        <v>-5.9372547977079275</v>
      </c>
      <c r="T13" s="450">
        <f t="shared" si="0"/>
        <v>-5.99121679449825</v>
      </c>
      <c r="U13" s="450">
        <f t="shared" si="0"/>
        <v>-6.0467690533634286</v>
      </c>
      <c r="V13" s="450">
        <f t="shared" si="0"/>
        <v>-6.1017079985671678</v>
      </c>
      <c r="W13" s="450">
        <f t="shared" si="0"/>
        <v>-6.1565133098523583</v>
      </c>
      <c r="X13" s="450">
        <f t="shared" si="0"/>
        <v>-6.1906882178408615</v>
      </c>
      <c r="Y13" s="450">
        <f t="shared" si="0"/>
        <v>-6.2247269732618369</v>
      </c>
      <c r="Z13" s="450">
        <f t="shared" si="0"/>
        <v>-6.2590810594604633</v>
      </c>
      <c r="AA13" s="450">
        <f t="shared" si="0"/>
        <v>-6.2931339337591403</v>
      </c>
      <c r="AB13" s="450">
        <f t="shared" si="0"/>
        <v>-6.3272675232904092</v>
      </c>
      <c r="AC13" s="450">
        <f t="shared" si="0"/>
        <v>-6.3614525354872704</v>
      </c>
      <c r="AD13" s="450">
        <f t="shared" si="0"/>
        <v>-6.3700367798177648</v>
      </c>
      <c r="AE13" s="450">
        <f t="shared" si="0"/>
        <v>-6.3789262738108237</v>
      </c>
      <c r="AF13" s="450">
        <f t="shared" si="0"/>
        <v>-6.3876452450338537</v>
      </c>
      <c r="AG13" s="450">
        <f t="shared" si="0"/>
        <v>-6.3935728605273381</v>
      </c>
      <c r="AH13" s="450">
        <f t="shared" si="0"/>
        <v>-6.401118995065902</v>
      </c>
      <c r="AI13" s="450">
        <f t="shared" si="0"/>
        <v>-6.4125244825157317</v>
      </c>
    </row>
    <row r="14" spans="1:45" x14ac:dyDescent="0.4">
      <c r="A14" s="1062" t="s">
        <v>335</v>
      </c>
      <c r="B14" s="1063">
        <v>-4.5545560306405584</v>
      </c>
      <c r="C14" s="1063">
        <v>-4.6053550225645594</v>
      </c>
      <c r="D14" s="1063">
        <v>-4.6561540144887203</v>
      </c>
      <c r="E14" s="1063">
        <v>-4.8113621922017815</v>
      </c>
      <c r="F14" s="1063">
        <v>-4.8644821468290926</v>
      </c>
      <c r="G14" s="1063">
        <v>-4.9176021014562998</v>
      </c>
      <c r="H14" s="1063">
        <v>-4.9707220560836189</v>
      </c>
      <c r="I14" s="1063">
        <v>-5.0238420107109283</v>
      </c>
      <c r="J14" s="1063">
        <v>-5.0769619653381861</v>
      </c>
      <c r="K14" s="1063">
        <v>-5.1300819199653951</v>
      </c>
      <c r="L14" s="1063">
        <v>-5.1849618603935941</v>
      </c>
      <c r="M14" s="1063">
        <v>-5.2398418008218091</v>
      </c>
      <c r="N14" s="1063">
        <v>-5.2945990731102386</v>
      </c>
      <c r="O14" s="1063">
        <v>-5.3496016816781573</v>
      </c>
      <c r="P14" s="1063">
        <v>-5.4044816221063865</v>
      </c>
      <c r="Q14" s="1063">
        <v>-5.4581092613955171</v>
      </c>
      <c r="R14" s="1063">
        <v>-5.5145050809147591</v>
      </c>
      <c r="S14" s="1063">
        <v>-5.569648599295081</v>
      </c>
      <c r="T14" s="1063">
        <v>-5.6238309819712278</v>
      </c>
      <c r="U14" s="1063">
        <v>-5.6799356360555642</v>
      </c>
      <c r="V14" s="1063">
        <v>-5.7350770624451277</v>
      </c>
      <c r="W14" s="1063">
        <v>-5.7902226728161423</v>
      </c>
      <c r="X14" s="1063">
        <v>-5.8248193150794698</v>
      </c>
      <c r="Y14" s="1063">
        <v>-5.8594159573429305</v>
      </c>
      <c r="Z14" s="1063">
        <v>-5.894012599606377</v>
      </c>
      <c r="AA14" s="1063">
        <v>-5.9286092418698724</v>
      </c>
      <c r="AB14" s="1063">
        <v>-5.9630325160492932</v>
      </c>
      <c r="AC14" s="1063">
        <v>-5.9977767719643067</v>
      </c>
      <c r="AD14" s="1063">
        <v>-6.0066270661229542</v>
      </c>
      <c r="AE14" s="1063">
        <v>-6.0154516058493464</v>
      </c>
      <c r="AF14" s="1063">
        <v>-6.0242761455757092</v>
      </c>
      <c r="AG14" s="1063">
        <v>-6.0301816319836723</v>
      </c>
      <c r="AH14" s="1063">
        <v>-6.0377386776125483</v>
      </c>
      <c r="AI14" s="1063">
        <v>-6.0491500601741759</v>
      </c>
    </row>
    <row r="15" spans="1:45" x14ac:dyDescent="0.4">
      <c r="A15" s="465" t="s">
        <v>336</v>
      </c>
      <c r="B15" s="627">
        <v>-3.9968791400739461</v>
      </c>
      <c r="C15" s="627">
        <v>-4.0476781319979471</v>
      </c>
      <c r="D15" s="627">
        <v>-4.0984771239221081</v>
      </c>
      <c r="E15" s="627">
        <v>-4.1515970785494032</v>
      </c>
      <c r="F15" s="627">
        <v>-4.2047170331767143</v>
      </c>
      <c r="G15" s="627">
        <v>-4.2578369878039215</v>
      </c>
      <c r="H15" s="627">
        <v>-4.3109569424312406</v>
      </c>
      <c r="I15" s="627">
        <v>-4.36407689705855</v>
      </c>
      <c r="J15" s="627">
        <v>-4.4171968516858078</v>
      </c>
      <c r="K15" s="627">
        <v>-4.4703168063130168</v>
      </c>
      <c r="L15" s="627">
        <v>-4.5251967467412157</v>
      </c>
      <c r="M15" s="627">
        <v>-4.5800766871694307</v>
      </c>
      <c r="N15" s="627">
        <v>-4.6349566275975782</v>
      </c>
      <c r="O15" s="627">
        <v>-4.689836568025779</v>
      </c>
      <c r="P15" s="627">
        <v>-4.7447165084540082</v>
      </c>
      <c r="Q15" s="627">
        <v>-4.7995964488821548</v>
      </c>
      <c r="R15" s="627">
        <v>-4.8547399672623808</v>
      </c>
      <c r="S15" s="627">
        <v>-4.9098834856427027</v>
      </c>
      <c r="T15" s="627">
        <v>-4.9650270040229634</v>
      </c>
      <c r="U15" s="627">
        <v>-5.0201705224031858</v>
      </c>
      <c r="V15" s="627">
        <v>-5.0753140407834456</v>
      </c>
      <c r="W15" s="627">
        <v>-5.130457559163764</v>
      </c>
      <c r="X15" s="627">
        <v>-5.1650542014270915</v>
      </c>
      <c r="Y15" s="627">
        <v>-5.1996508436905522</v>
      </c>
      <c r="Z15" s="627">
        <v>-5.2342474859539987</v>
      </c>
      <c r="AA15" s="627">
        <v>-5.268844128217494</v>
      </c>
      <c r="AB15" s="627">
        <v>-5.3034407704808393</v>
      </c>
      <c r="AC15" s="627">
        <v>-5.3380374127442964</v>
      </c>
      <c r="AD15" s="627">
        <v>-5.3468619524705758</v>
      </c>
      <c r="AE15" s="627">
        <v>-5.355686492196968</v>
      </c>
      <c r="AF15" s="627">
        <v>-5.3645110319233309</v>
      </c>
      <c r="AG15" s="627">
        <v>-5.3733355716496112</v>
      </c>
      <c r="AH15" s="627">
        <v>-5.3821601113758879</v>
      </c>
      <c r="AI15" s="627">
        <v>-5.3909846511021877</v>
      </c>
    </row>
    <row r="16" spans="1:45" ht="18" x14ac:dyDescent="0.4">
      <c r="A16" s="628" t="s">
        <v>517</v>
      </c>
      <c r="B16" s="629">
        <v>-0.55767689056661229</v>
      </c>
      <c r="C16" s="629">
        <v>-0.55767689056661229</v>
      </c>
      <c r="D16" s="629">
        <v>-0.55767689056661229</v>
      </c>
      <c r="E16" s="629">
        <v>-0.659765113652378</v>
      </c>
      <c r="F16" s="629">
        <v>-0.659765113652378</v>
      </c>
      <c r="G16" s="629">
        <v>-0.659765113652378</v>
      </c>
      <c r="H16" s="629">
        <v>-0.659765113652378</v>
      </c>
      <c r="I16" s="629">
        <v>-0.659765113652378</v>
      </c>
      <c r="J16" s="629">
        <v>-0.659765113652378</v>
      </c>
      <c r="K16" s="629">
        <v>-0.659765113652378</v>
      </c>
      <c r="L16" s="629">
        <v>-0.659765113652378</v>
      </c>
      <c r="M16" s="629">
        <v>-0.659765113652378</v>
      </c>
      <c r="N16" s="629">
        <v>-0.659765113652378</v>
      </c>
      <c r="O16" s="629">
        <v>-0.659765113652378</v>
      </c>
      <c r="P16" s="629">
        <v>-0.659765113652378</v>
      </c>
      <c r="Q16" s="629">
        <v>-0.659765113652378</v>
      </c>
      <c r="R16" s="629">
        <v>-0.659765113652378</v>
      </c>
      <c r="S16" s="629">
        <v>-0.659765113652378</v>
      </c>
      <c r="T16" s="629">
        <v>-0.659765113652378</v>
      </c>
      <c r="U16" s="629">
        <v>-0.659765113652378</v>
      </c>
      <c r="V16" s="629">
        <v>-0.659765113652378</v>
      </c>
      <c r="W16" s="629">
        <v>-0.659765113652378</v>
      </c>
      <c r="X16" s="629">
        <v>-0.659765113652378</v>
      </c>
      <c r="Y16" s="629">
        <v>-0.659765113652378</v>
      </c>
      <c r="Z16" s="629">
        <v>-0.659765113652378</v>
      </c>
      <c r="AA16" s="629">
        <v>-0.659765113652378</v>
      </c>
      <c r="AB16" s="629">
        <v>-0.659765113652378</v>
      </c>
      <c r="AC16" s="629">
        <v>-0.659765113652378</v>
      </c>
      <c r="AD16" s="629">
        <v>-0.659765113652378</v>
      </c>
      <c r="AE16" s="629">
        <v>-0.659765113652378</v>
      </c>
      <c r="AF16" s="629">
        <v>-0.659765113652378</v>
      </c>
      <c r="AG16" s="629">
        <v>-0.659765113652378</v>
      </c>
      <c r="AH16" s="627">
        <v>-0.659765113652378</v>
      </c>
      <c r="AI16" s="627">
        <v>-0.659765113652378</v>
      </c>
    </row>
    <row r="17" spans="1:39" ht="17" x14ac:dyDescent="0.4">
      <c r="A17" s="1429" t="s">
        <v>1344</v>
      </c>
      <c r="B17" s="629">
        <v>0</v>
      </c>
      <c r="C17" s="629">
        <v>0</v>
      </c>
      <c r="D17" s="629">
        <v>0</v>
      </c>
      <c r="E17" s="629">
        <v>0</v>
      </c>
      <c r="F17" s="629">
        <v>0</v>
      </c>
      <c r="G17" s="629">
        <v>0</v>
      </c>
      <c r="H17" s="629">
        <v>0</v>
      </c>
      <c r="I17" s="629">
        <v>0</v>
      </c>
      <c r="J17" s="629">
        <v>0</v>
      </c>
      <c r="K17" s="629">
        <v>0</v>
      </c>
      <c r="L17" s="629">
        <v>0</v>
      </c>
      <c r="M17" s="629">
        <v>0</v>
      </c>
      <c r="N17" s="629">
        <v>1.2266813971800001E-4</v>
      </c>
      <c r="O17" s="629">
        <v>0</v>
      </c>
      <c r="P17" s="629">
        <v>0</v>
      </c>
      <c r="Q17" s="629">
        <v>1.2523011390158868E-3</v>
      </c>
      <c r="R17" s="629">
        <v>0</v>
      </c>
      <c r="S17" s="629">
        <v>0</v>
      </c>
      <c r="T17" s="629">
        <v>9.6113570411388688E-4</v>
      </c>
      <c r="U17" s="629">
        <v>0</v>
      </c>
      <c r="V17" s="629">
        <v>2.0919906960000002E-6</v>
      </c>
      <c r="W17" s="629">
        <v>0</v>
      </c>
      <c r="X17" s="629">
        <v>0</v>
      </c>
      <c r="Y17" s="629">
        <v>0</v>
      </c>
      <c r="Z17" s="629">
        <v>0</v>
      </c>
      <c r="AA17" s="629">
        <v>0</v>
      </c>
      <c r="AB17" s="629">
        <v>1.7336808392399495E-4</v>
      </c>
      <c r="AC17" s="629">
        <v>2.5754432367999999E-5</v>
      </c>
      <c r="AD17" s="629">
        <v>0</v>
      </c>
      <c r="AE17" s="629">
        <v>0</v>
      </c>
      <c r="AF17" s="629">
        <v>0</v>
      </c>
      <c r="AG17" s="629">
        <v>2.9190533183168863E-3</v>
      </c>
      <c r="AH17" s="629">
        <v>4.186547415717886E-3</v>
      </c>
      <c r="AI17" s="629">
        <v>1.5997045803898869E-3</v>
      </c>
    </row>
    <row r="18" spans="1:39" x14ac:dyDescent="0.4">
      <c r="A18" s="1064" t="s">
        <v>337</v>
      </c>
      <c r="B18" s="1062">
        <v>-0.37284336785593675</v>
      </c>
      <c r="C18" s="1062">
        <v>-0.37238823760644163</v>
      </c>
      <c r="D18" s="1062">
        <v>-0.37203356339028004</v>
      </c>
      <c r="E18" s="1062">
        <v>-0.37191693980745161</v>
      </c>
      <c r="F18" s="1062">
        <v>-0.37176156591064058</v>
      </c>
      <c r="G18" s="1062">
        <v>-0.37156656231382951</v>
      </c>
      <c r="H18" s="1062">
        <v>-0.37125358078368509</v>
      </c>
      <c r="I18" s="1062">
        <v>-0.3710696805868739</v>
      </c>
      <c r="J18" s="1062">
        <v>-0.37081843692339511</v>
      </c>
      <c r="K18" s="1062">
        <v>-0.37042266132658414</v>
      </c>
      <c r="L18" s="1062">
        <v>-0.37013179272977303</v>
      </c>
      <c r="M18" s="1062">
        <v>-0.36976592936347868</v>
      </c>
      <c r="N18" s="1062">
        <v>-0.36936772856385003</v>
      </c>
      <c r="O18" s="1062">
        <v>-0.36901968923088901</v>
      </c>
      <c r="P18" s="1062">
        <v>-0.36859194903126036</v>
      </c>
      <c r="Q18" s="1062">
        <v>-0.36840751489829959</v>
      </c>
      <c r="R18" s="1062">
        <v>-0.36807928069867168</v>
      </c>
      <c r="S18" s="1062">
        <v>-0.36760619841284636</v>
      </c>
      <c r="T18" s="1062">
        <v>-0.36738581252702213</v>
      </c>
      <c r="U18" s="1062">
        <v>-0.36683341730786451</v>
      </c>
      <c r="V18" s="1062">
        <v>-0.36663093612203995</v>
      </c>
      <c r="W18" s="1062">
        <v>-0.36629063703621589</v>
      </c>
      <c r="X18" s="1062">
        <v>-0.36586890276139133</v>
      </c>
      <c r="Y18" s="1062">
        <v>-0.36531101591890602</v>
      </c>
      <c r="Z18" s="1062">
        <v>-0.36506845985408654</v>
      </c>
      <c r="AA18" s="1062">
        <v>-0.36452469188926773</v>
      </c>
      <c r="AB18" s="1062">
        <v>-0.36423500724111585</v>
      </c>
      <c r="AC18" s="1062">
        <v>-0.36367576352296377</v>
      </c>
      <c r="AD18" s="1062">
        <v>-0.36340971369481095</v>
      </c>
      <c r="AE18" s="1062">
        <v>-0.36347466796147759</v>
      </c>
      <c r="AF18" s="1062">
        <v>-0.36336909945814427</v>
      </c>
      <c r="AG18" s="1062">
        <v>-0.36339122854366562</v>
      </c>
      <c r="AH18" s="1062">
        <v>-0.36338031745335347</v>
      </c>
      <c r="AI18" s="1062">
        <v>-0.36337442234155548</v>
      </c>
    </row>
    <row r="19" spans="1:39" x14ac:dyDescent="0.4">
      <c r="A19" s="623" t="s">
        <v>338</v>
      </c>
      <c r="B19" s="627">
        <v>-0.37284336785593675</v>
      </c>
      <c r="C19" s="627">
        <v>-0.37238823760644163</v>
      </c>
      <c r="D19" s="627">
        <v>-0.37203356339028004</v>
      </c>
      <c r="E19" s="627">
        <v>-0.37191693980745161</v>
      </c>
      <c r="F19" s="627">
        <v>-0.37176156591064058</v>
      </c>
      <c r="G19" s="627">
        <v>-0.37156656231382951</v>
      </c>
      <c r="H19" s="627">
        <v>-0.37125358078368509</v>
      </c>
      <c r="I19" s="627">
        <v>-0.3710696805868739</v>
      </c>
      <c r="J19" s="627">
        <v>-0.37081843692339511</v>
      </c>
      <c r="K19" s="627">
        <v>-0.37042266132658414</v>
      </c>
      <c r="L19" s="627">
        <v>-0.37013179272977303</v>
      </c>
      <c r="M19" s="627">
        <v>-0.36976592936347868</v>
      </c>
      <c r="N19" s="627">
        <v>-0.36936772856385003</v>
      </c>
      <c r="O19" s="627">
        <v>-0.36901968923088901</v>
      </c>
      <c r="P19" s="627">
        <v>-0.36859194903126036</v>
      </c>
      <c r="Q19" s="627">
        <v>-0.36840751489829959</v>
      </c>
      <c r="R19" s="627">
        <v>-0.36807928069867168</v>
      </c>
      <c r="S19" s="627">
        <v>-0.36760619841284636</v>
      </c>
      <c r="T19" s="627">
        <v>-0.36738581252702213</v>
      </c>
      <c r="U19" s="627">
        <v>-0.36683341730786451</v>
      </c>
      <c r="V19" s="627">
        <v>-0.36663093612203995</v>
      </c>
      <c r="W19" s="627">
        <v>-0.36629063703621589</v>
      </c>
      <c r="X19" s="627">
        <v>-0.36586890276139133</v>
      </c>
      <c r="Y19" s="627">
        <v>-0.36531101591890602</v>
      </c>
      <c r="Z19" s="627">
        <v>-0.36506845985408654</v>
      </c>
      <c r="AA19" s="627">
        <v>-0.36452469188926773</v>
      </c>
      <c r="AB19" s="627">
        <v>-0.36423500724111585</v>
      </c>
      <c r="AC19" s="627">
        <v>-0.36367576352296377</v>
      </c>
      <c r="AD19" s="627">
        <v>-0.36340971369481095</v>
      </c>
      <c r="AE19" s="627">
        <v>-0.36347466796147759</v>
      </c>
      <c r="AF19" s="627">
        <v>-0.36336909945814427</v>
      </c>
      <c r="AG19" s="627">
        <v>-0.36339122854366562</v>
      </c>
      <c r="AH19" s="627">
        <v>-0.36338031745335347</v>
      </c>
      <c r="AI19" s="627">
        <v>-0.36337442234155548</v>
      </c>
    </row>
    <row r="20" spans="1:39" x14ac:dyDescent="0.4">
      <c r="A20" s="630" t="s">
        <v>999</v>
      </c>
      <c r="B20" s="631">
        <f>B21+B24</f>
        <v>0.21319720656562058</v>
      </c>
      <c r="C20" s="631">
        <f t="shared" ref="C20:AI20" si="1">C21+C24</f>
        <v>0.23010002413992994</v>
      </c>
      <c r="D20" s="631">
        <f t="shared" si="1"/>
        <v>0.24887856046681037</v>
      </c>
      <c r="E20" s="631">
        <f t="shared" si="1"/>
        <v>0.25468209537868225</v>
      </c>
      <c r="F20" s="631">
        <f t="shared" si="1"/>
        <v>0.18482884263873298</v>
      </c>
      <c r="G20" s="631">
        <f t="shared" si="1"/>
        <v>0.21746851263085828</v>
      </c>
      <c r="H20" s="631">
        <f t="shared" si="1"/>
        <v>0.16042660774600079</v>
      </c>
      <c r="I20" s="631">
        <f t="shared" si="1"/>
        <v>0.17038503598269733</v>
      </c>
      <c r="J20" s="631">
        <f t="shared" si="1"/>
        <v>0.11812282619103506</v>
      </c>
      <c r="K20" s="631">
        <f t="shared" si="1"/>
        <v>0.17971160144671461</v>
      </c>
      <c r="L20" s="631">
        <f t="shared" si="1"/>
        <v>0.2254283031988423</v>
      </c>
      <c r="M20" s="631">
        <f t="shared" si="1"/>
        <v>0.17375028936480125</v>
      </c>
      <c r="N20" s="631">
        <f t="shared" si="1"/>
        <v>0.16843549980377148</v>
      </c>
      <c r="O20" s="631">
        <f t="shared" si="1"/>
        <v>0.18407252728810369</v>
      </c>
      <c r="P20" s="631">
        <f t="shared" si="1"/>
        <v>0.14544241600782642</v>
      </c>
      <c r="Q20" s="631">
        <f t="shared" si="1"/>
        <v>0.13126040170137451</v>
      </c>
      <c r="R20" s="631">
        <f t="shared" si="1"/>
        <v>0.13474807848118053</v>
      </c>
      <c r="S20" s="631">
        <f t="shared" si="1"/>
        <v>0.18067545503984375</v>
      </c>
      <c r="T20" s="631">
        <f t="shared" si="1"/>
        <v>0.11492496014993503</v>
      </c>
      <c r="U20" s="631">
        <f t="shared" si="1"/>
        <v>0.14437902080490037</v>
      </c>
      <c r="V20" s="631">
        <f t="shared" si="1"/>
        <v>0.15938522021236376</v>
      </c>
      <c r="W20" s="631">
        <f t="shared" si="1"/>
        <v>0.13176335983968038</v>
      </c>
      <c r="X20" s="631">
        <f t="shared" si="1"/>
        <v>0.15408990791965141</v>
      </c>
      <c r="Y20" s="631">
        <f t="shared" si="1"/>
        <v>0.17775599338035469</v>
      </c>
      <c r="Z20" s="631">
        <f t="shared" si="1"/>
        <v>0.13645450550419352</v>
      </c>
      <c r="AA20" s="631">
        <f t="shared" si="1"/>
        <v>0.15046201803872061</v>
      </c>
      <c r="AB20" s="631">
        <f t="shared" si="1"/>
        <v>0.15602681548490049</v>
      </c>
      <c r="AC20" s="631">
        <f t="shared" si="1"/>
        <v>0.18704335152069007</v>
      </c>
      <c r="AD20" s="631">
        <f t="shared" si="1"/>
        <v>0.21769565253601897</v>
      </c>
      <c r="AE20" s="631">
        <f t="shared" si="1"/>
        <v>0.19829473769084352</v>
      </c>
      <c r="AF20" s="631">
        <f t="shared" si="1"/>
        <v>0.19472667536236887</v>
      </c>
      <c r="AG20" s="631">
        <f t="shared" si="1"/>
        <v>0.21761815732341824</v>
      </c>
      <c r="AH20" s="631">
        <f t="shared" si="1"/>
        <v>0.22370130141959635</v>
      </c>
      <c r="AI20" s="631">
        <f t="shared" si="1"/>
        <v>0.22323511702156631</v>
      </c>
    </row>
    <row r="21" spans="1:39" x14ac:dyDescent="0.4">
      <c r="A21" s="451" t="s">
        <v>339</v>
      </c>
      <c r="B21" s="452">
        <v>0.2132660700988927</v>
      </c>
      <c r="C21" s="452">
        <v>0.22818690595061009</v>
      </c>
      <c r="D21" s="452">
        <v>0.24252919194847361</v>
      </c>
      <c r="E21" s="452">
        <v>0.28546848415611287</v>
      </c>
      <c r="F21" s="452">
        <v>0.21404413824610477</v>
      </c>
      <c r="G21" s="452">
        <v>0.2057807967975708</v>
      </c>
      <c r="H21" s="452">
        <v>0.14121640421534365</v>
      </c>
      <c r="I21" s="452">
        <v>0.16496474229386168</v>
      </c>
      <c r="J21" s="452">
        <v>0.12570770331785847</v>
      </c>
      <c r="K21" s="452">
        <v>0.14410119741546445</v>
      </c>
      <c r="L21" s="452">
        <v>0.19480615509311311</v>
      </c>
      <c r="M21" s="452">
        <v>0.15074027389223721</v>
      </c>
      <c r="N21" s="452">
        <v>0.15093013229505925</v>
      </c>
      <c r="O21" s="452">
        <v>0.17178182286869328</v>
      </c>
      <c r="P21" s="452">
        <v>0.14893129713415162</v>
      </c>
      <c r="Q21" s="452">
        <v>0.15860774884510484</v>
      </c>
      <c r="R21" s="452">
        <v>0.12115612935310577</v>
      </c>
      <c r="S21" s="452">
        <v>0.18540396930617201</v>
      </c>
      <c r="T21" s="452">
        <v>9.9012642053429731E-2</v>
      </c>
      <c r="U21" s="452">
        <v>0.15099670010457331</v>
      </c>
      <c r="V21" s="452">
        <v>0.15442892712452266</v>
      </c>
      <c r="W21" s="452">
        <v>0.15227267740929062</v>
      </c>
      <c r="X21" s="452">
        <v>0.16366090890454565</v>
      </c>
      <c r="Y21" s="452">
        <v>0.16983697315501603</v>
      </c>
      <c r="Z21" s="452">
        <v>0.13230580771739658</v>
      </c>
      <c r="AA21" s="452">
        <v>0.16138276790233111</v>
      </c>
      <c r="AB21" s="452">
        <v>0.16958543398430462</v>
      </c>
      <c r="AC21" s="452">
        <v>0.18513137431713272</v>
      </c>
      <c r="AD21" s="452">
        <v>0.23535787495137944</v>
      </c>
      <c r="AE21" s="452">
        <v>0.20848769415617976</v>
      </c>
      <c r="AF21" s="452">
        <v>0.20401852175276608</v>
      </c>
      <c r="AG21" s="452">
        <v>0.23276760205261779</v>
      </c>
      <c r="AH21" s="452">
        <v>0.23809809236186574</v>
      </c>
      <c r="AI21" s="452">
        <v>0.23808326017794437</v>
      </c>
    </row>
    <row r="22" spans="1:39" x14ac:dyDescent="0.4">
      <c r="A22" s="623" t="s">
        <v>340</v>
      </c>
      <c r="B22" s="33">
        <v>0.247052683198696</v>
      </c>
      <c r="C22" s="33">
        <v>0.24966779019440405</v>
      </c>
      <c r="D22" s="33">
        <v>0.26045605847698577</v>
      </c>
      <c r="E22" s="33">
        <v>0.30708661628749567</v>
      </c>
      <c r="F22" s="33">
        <v>0.25329023340837364</v>
      </c>
      <c r="G22" s="33">
        <v>0.23532948178936752</v>
      </c>
      <c r="H22" s="33">
        <v>0.19738342183390883</v>
      </c>
      <c r="I22" s="33">
        <v>0.19507843274003062</v>
      </c>
      <c r="J22" s="33">
        <v>0.1854120559872105</v>
      </c>
      <c r="K22" s="33">
        <v>0.18148964529242709</v>
      </c>
      <c r="L22" s="33">
        <v>0.24387455019986831</v>
      </c>
      <c r="M22" s="33">
        <v>0.18687910948478614</v>
      </c>
      <c r="N22" s="33">
        <v>0.19627409057656264</v>
      </c>
      <c r="O22" s="33">
        <v>0.22671423994081064</v>
      </c>
      <c r="P22" s="33">
        <v>0.1996588845305613</v>
      </c>
      <c r="Q22" s="33">
        <v>0.18909956089784413</v>
      </c>
      <c r="R22" s="33">
        <v>0.17655852835565577</v>
      </c>
      <c r="S22" s="33">
        <v>0.22134700112752578</v>
      </c>
      <c r="T22" s="33">
        <v>0.15639628237304765</v>
      </c>
      <c r="U22" s="33">
        <v>0.17454442002370998</v>
      </c>
      <c r="V22" s="33">
        <v>0.18012273144742788</v>
      </c>
      <c r="W22" s="33">
        <v>0.18085123906117601</v>
      </c>
      <c r="X22" s="33">
        <v>0.18000827933465838</v>
      </c>
      <c r="Y22" s="33">
        <v>0.18183905443087733</v>
      </c>
      <c r="Z22" s="33">
        <v>0.16851786645953054</v>
      </c>
      <c r="AA22" s="33">
        <v>0.18794117647311698</v>
      </c>
      <c r="AB22" s="33">
        <v>0.19115230431586511</v>
      </c>
      <c r="AC22" s="33">
        <v>0.20671392234455596</v>
      </c>
      <c r="AD22" s="33">
        <v>0.25292416023210462</v>
      </c>
      <c r="AE22" s="33">
        <v>0.23371233585841511</v>
      </c>
      <c r="AF22" s="33">
        <v>0.2217079179441101</v>
      </c>
      <c r="AG22" s="33">
        <v>0.250448771787525</v>
      </c>
      <c r="AH22" s="33">
        <v>0.25602778903160578</v>
      </c>
      <c r="AI22" s="33">
        <v>0.25725198980941022</v>
      </c>
    </row>
    <row r="23" spans="1:39" x14ac:dyDescent="0.4">
      <c r="A23" s="623" t="s">
        <v>341</v>
      </c>
      <c r="B23" s="461">
        <v>-3.3786613099803305E-2</v>
      </c>
      <c r="C23" s="461">
        <v>-2.1480884243793973E-2</v>
      </c>
      <c r="D23" s="461">
        <v>-1.7926866528512161E-2</v>
      </c>
      <c r="E23" s="461">
        <v>-2.161813213138283E-2</v>
      </c>
      <c r="F23" s="461">
        <v>-3.9246095162268881E-2</v>
      </c>
      <c r="G23" s="461">
        <v>-2.954868499179672E-2</v>
      </c>
      <c r="H23" s="461">
        <v>-5.6167017618565185E-2</v>
      </c>
      <c r="I23" s="461">
        <v>-3.0113690446168941E-2</v>
      </c>
      <c r="J23" s="461">
        <v>-5.970435266935202E-2</v>
      </c>
      <c r="K23" s="461">
        <v>-3.7388447876962647E-2</v>
      </c>
      <c r="L23" s="461">
        <v>-4.9068395106755196E-2</v>
      </c>
      <c r="M23" s="461">
        <v>-3.6138835592548942E-2</v>
      </c>
      <c r="N23" s="461">
        <v>-4.5343958281503401E-2</v>
      </c>
      <c r="O23" s="461">
        <v>-5.4932417072117344E-2</v>
      </c>
      <c r="P23" s="461">
        <v>-5.0727587396409667E-2</v>
      </c>
      <c r="Q23" s="461">
        <v>-3.0491812052739285E-2</v>
      </c>
      <c r="R23" s="461">
        <v>-5.540239900255E-2</v>
      </c>
      <c r="S23" s="461">
        <v>-3.594303182135377E-2</v>
      </c>
      <c r="T23" s="461">
        <v>-5.7383640319617915E-2</v>
      </c>
      <c r="U23" s="461">
        <v>-2.3547719919136685E-2</v>
      </c>
      <c r="V23" s="461">
        <v>-2.5693804322905214E-2</v>
      </c>
      <c r="W23" s="461">
        <v>-2.8578561651885392E-2</v>
      </c>
      <c r="X23" s="461">
        <v>-1.6347370430112723E-2</v>
      </c>
      <c r="Y23" s="461">
        <v>-1.2002081275861304E-2</v>
      </c>
      <c r="Z23" s="461">
        <v>-3.6212058742133943E-2</v>
      </c>
      <c r="AA23" s="461">
        <v>-2.6558408570785862E-2</v>
      </c>
      <c r="AB23" s="461">
        <v>-2.1566870331560493E-2</v>
      </c>
      <c r="AC23" s="461">
        <v>-2.1582548027423223E-2</v>
      </c>
      <c r="AD23" s="461">
        <v>-1.7566285280725184E-2</v>
      </c>
      <c r="AE23" s="461">
        <v>-2.5224641702235338E-2</v>
      </c>
      <c r="AF23" s="461">
        <v>-1.7689396191344006E-2</v>
      </c>
      <c r="AG23" s="461">
        <v>-1.7681169734907212E-2</v>
      </c>
      <c r="AH23" s="461">
        <v>-1.792969666974004E-2</v>
      </c>
      <c r="AI23" s="461">
        <v>-1.916872963146584E-2</v>
      </c>
    </row>
    <row r="24" spans="1:39" x14ac:dyDescent="0.4">
      <c r="A24" s="451" t="s">
        <v>342</v>
      </c>
      <c r="B24" s="452">
        <v>-6.8863533272130184E-5</v>
      </c>
      <c r="C24" s="452">
        <v>1.9131181893198585E-3</v>
      </c>
      <c r="D24" s="452">
        <v>6.34936851833676E-3</v>
      </c>
      <c r="E24" s="452">
        <v>-3.07863887774306E-2</v>
      </c>
      <c r="F24" s="452">
        <v>-2.9215295607371794E-2</v>
      </c>
      <c r="G24" s="452">
        <v>1.168771583328748E-2</v>
      </c>
      <c r="H24" s="452">
        <v>1.9210203530657138E-2</v>
      </c>
      <c r="I24" s="452">
        <v>5.4202936888356548E-3</v>
      </c>
      <c r="J24" s="452">
        <v>-7.5848771268234097E-3</v>
      </c>
      <c r="K24" s="452">
        <v>3.5610404031250154E-2</v>
      </c>
      <c r="L24" s="452">
        <v>3.0622148105729188E-2</v>
      </c>
      <c r="M24" s="452">
        <v>2.3010015472564031E-2</v>
      </c>
      <c r="N24" s="452">
        <v>1.750536750871224E-2</v>
      </c>
      <c r="O24" s="452">
        <v>1.2290704419410423E-2</v>
      </c>
      <c r="P24" s="452">
        <v>-3.4888811263252134E-3</v>
      </c>
      <c r="Q24" s="452">
        <v>-2.7347347143730327E-2</v>
      </c>
      <c r="R24" s="452">
        <v>1.3591949128074765E-2</v>
      </c>
      <c r="S24" s="452">
        <v>-4.7285142663282438E-3</v>
      </c>
      <c r="T24" s="452">
        <v>1.5912318096505292E-2</v>
      </c>
      <c r="U24" s="452">
        <v>-6.617679299672944E-3</v>
      </c>
      <c r="V24" s="452">
        <v>4.9562930878410891E-3</v>
      </c>
      <c r="W24" s="452">
        <v>-2.0509317569610244E-2</v>
      </c>
      <c r="X24" s="452">
        <v>-9.5710009848942526E-3</v>
      </c>
      <c r="Y24" s="452">
        <v>7.9190202253386563E-3</v>
      </c>
      <c r="Z24" s="452">
        <v>4.1486977867969503E-3</v>
      </c>
      <c r="AA24" s="452">
        <v>-1.0920749863610503E-2</v>
      </c>
      <c r="AB24" s="452">
        <v>-1.3558618499404125E-2</v>
      </c>
      <c r="AC24" s="452">
        <v>1.9119772035573503E-3</v>
      </c>
      <c r="AD24" s="452">
        <v>-1.766222241536048E-2</v>
      </c>
      <c r="AE24" s="452">
        <v>-1.0192956465336245E-2</v>
      </c>
      <c r="AF24" s="452">
        <v>-9.2918463903972036E-3</v>
      </c>
      <c r="AG24" s="452">
        <v>-1.5149444729199541E-2</v>
      </c>
      <c r="AH24" s="452">
        <v>-1.4396790942269406E-2</v>
      </c>
      <c r="AI24" s="452">
        <v>-1.4848143156378059E-2</v>
      </c>
    </row>
    <row r="25" spans="1:39" x14ac:dyDescent="0.4">
      <c r="A25" s="623" t="s">
        <v>343</v>
      </c>
      <c r="B25" s="33">
        <v>1.8548464869457812E-2</v>
      </c>
      <c r="C25" s="33">
        <v>1.3614591799886526E-2</v>
      </c>
      <c r="D25" s="33">
        <v>1.5293110483828525E-2</v>
      </c>
      <c r="E25" s="33">
        <v>-4.1442072914063795E-3</v>
      </c>
      <c r="F25" s="33">
        <v>-5.0757998953730966E-3</v>
      </c>
      <c r="G25" s="33">
        <v>2.4491421390304864E-2</v>
      </c>
      <c r="H25" s="33">
        <v>2.9460369340790476E-2</v>
      </c>
      <c r="I25" s="33">
        <v>1.6874643777931159E-2</v>
      </c>
      <c r="J25" s="33">
        <v>1.9712516031213826E-2</v>
      </c>
      <c r="K25" s="33">
        <v>4.8109122847082492E-2</v>
      </c>
      <c r="L25" s="33">
        <v>5.327477685189351E-2</v>
      </c>
      <c r="M25" s="33">
        <v>5.6783872974343862E-2</v>
      </c>
      <c r="N25" s="33">
        <v>5.416901280931944E-2</v>
      </c>
      <c r="O25" s="33">
        <v>2.3572087308193757E-2</v>
      </c>
      <c r="P25" s="33">
        <v>3.1897093482479204E-2</v>
      </c>
      <c r="Q25" s="33">
        <v>2.5409727874075E-2</v>
      </c>
      <c r="R25" s="33">
        <v>4.974484935456177E-2</v>
      </c>
      <c r="S25" s="33">
        <v>2.6866744492430168E-2</v>
      </c>
      <c r="T25" s="33">
        <v>4.880826944777196E-2</v>
      </c>
      <c r="U25" s="33">
        <v>6.8698895397603932E-3</v>
      </c>
      <c r="V25" s="33">
        <v>3.14829448037224E-2</v>
      </c>
      <c r="W25" s="33">
        <v>2.6019679197529701E-2</v>
      </c>
      <c r="X25" s="33">
        <v>3.6243293683985517E-2</v>
      </c>
      <c r="Y25" s="33">
        <v>3.5604499767916728E-2</v>
      </c>
      <c r="Z25" s="33">
        <v>2.4718702550530283E-2</v>
      </c>
      <c r="AA25" s="33">
        <v>5.9305074989498933E-5</v>
      </c>
      <c r="AB25" s="33">
        <v>7.8700536849292037E-3</v>
      </c>
      <c r="AC25" s="33">
        <v>2.3467621669226141E-2</v>
      </c>
      <c r="AD25" s="33">
        <v>1.3080911190983962E-2</v>
      </c>
      <c r="AE25" s="33">
        <v>1.6162127623224859E-2</v>
      </c>
      <c r="AF25" s="33">
        <v>9.3010009771694289E-3</v>
      </c>
      <c r="AG25" s="33">
        <v>1.1381095878668831E-2</v>
      </c>
      <c r="AH25" s="33">
        <v>1.1348937754692741E-2</v>
      </c>
      <c r="AI25" s="33">
        <v>1.1267993916934773E-2</v>
      </c>
    </row>
    <row r="26" spans="1:39" x14ac:dyDescent="0.4">
      <c r="A26" s="623" t="s">
        <v>344</v>
      </c>
      <c r="B26" s="33">
        <v>-1.8617328402729942E-2</v>
      </c>
      <c r="C26" s="33">
        <v>-1.1701473610566667E-2</v>
      </c>
      <c r="D26" s="33">
        <v>-8.9437419654917645E-3</v>
      </c>
      <c r="E26" s="33">
        <v>-2.6642181486024222E-2</v>
      </c>
      <c r="F26" s="33">
        <v>-2.4139495711998697E-2</v>
      </c>
      <c r="G26" s="33">
        <v>-1.2803705557017384E-2</v>
      </c>
      <c r="H26" s="33">
        <v>-1.0250165810133336E-2</v>
      </c>
      <c r="I26" s="33">
        <v>-1.1454350089095504E-2</v>
      </c>
      <c r="J26" s="33">
        <v>-2.7297393158037236E-2</v>
      </c>
      <c r="K26" s="33">
        <v>-1.2498718815832335E-2</v>
      </c>
      <c r="L26" s="33">
        <v>-2.2652628746164322E-2</v>
      </c>
      <c r="M26" s="33">
        <v>-3.377385750177983E-2</v>
      </c>
      <c r="N26" s="33">
        <v>-3.6663645300607201E-2</v>
      </c>
      <c r="O26" s="33">
        <v>-1.1281382888783335E-2</v>
      </c>
      <c r="P26" s="33">
        <v>-3.5385974608804417E-2</v>
      </c>
      <c r="Q26" s="33">
        <v>-5.2757075017805327E-2</v>
      </c>
      <c r="R26" s="33">
        <v>-3.6152900226487004E-2</v>
      </c>
      <c r="S26" s="33">
        <v>-3.1595258758758411E-2</v>
      </c>
      <c r="T26" s="33">
        <v>-3.2895951351266668E-2</v>
      </c>
      <c r="U26" s="33">
        <v>-1.3487568839433337E-2</v>
      </c>
      <c r="V26" s="33">
        <v>-2.6526651715881311E-2</v>
      </c>
      <c r="W26" s="33">
        <v>-4.6528996767139945E-2</v>
      </c>
      <c r="X26" s="33">
        <v>-4.5814294668879769E-2</v>
      </c>
      <c r="Y26" s="33">
        <v>-2.7685479542578072E-2</v>
      </c>
      <c r="Z26" s="33">
        <v>-2.0570004763733333E-2</v>
      </c>
      <c r="AA26" s="33">
        <v>-1.0980054938600001E-2</v>
      </c>
      <c r="AB26" s="33">
        <v>-2.1428672184333329E-2</v>
      </c>
      <c r="AC26" s="33">
        <v>-2.1555644465668791E-2</v>
      </c>
      <c r="AD26" s="33">
        <v>-3.0743133606344442E-2</v>
      </c>
      <c r="AE26" s="33">
        <v>-2.6355084088561104E-2</v>
      </c>
      <c r="AF26" s="33">
        <v>-1.8592847367566633E-2</v>
      </c>
      <c r="AG26" s="33">
        <v>-2.6530540607868372E-2</v>
      </c>
      <c r="AH26" s="33">
        <v>-2.5745728696962147E-2</v>
      </c>
      <c r="AI26" s="33">
        <v>-2.6116137073312833E-2</v>
      </c>
    </row>
    <row r="27" spans="1:39" x14ac:dyDescent="0.4">
      <c r="A27" s="632" t="s">
        <v>326</v>
      </c>
      <c r="B27" s="633">
        <f>B28+B34</f>
        <v>0.13270929615455257</v>
      </c>
      <c r="C27" s="633">
        <f t="shared" ref="C27:AI27" si="2">C28+C34</f>
        <v>0.12919528491255294</v>
      </c>
      <c r="D27" s="633">
        <f t="shared" si="2"/>
        <v>0.12704172557383192</v>
      </c>
      <c r="E27" s="633">
        <f t="shared" si="2"/>
        <v>0.12730840543076535</v>
      </c>
      <c r="F27" s="633">
        <f t="shared" si="2"/>
        <v>0.12573226379587785</v>
      </c>
      <c r="G27" s="633">
        <f t="shared" si="2"/>
        <v>0.12816135038675164</v>
      </c>
      <c r="H27" s="633">
        <f t="shared" si="2"/>
        <v>0.12366980778830872</v>
      </c>
      <c r="I27" s="633">
        <f t="shared" si="2"/>
        <v>0.12799450267397128</v>
      </c>
      <c r="J27" s="633">
        <f t="shared" si="2"/>
        <v>0.127695451904138</v>
      </c>
      <c r="K27" s="633">
        <f t="shared" si="2"/>
        <v>0.1288830079313025</v>
      </c>
      <c r="L27" s="633">
        <f t="shared" si="2"/>
        <v>0.13026260570930107</v>
      </c>
      <c r="M27" s="633">
        <f t="shared" si="2"/>
        <v>0.13249764348861598</v>
      </c>
      <c r="N27" s="633">
        <f t="shared" si="2"/>
        <v>0.12889878964701995</v>
      </c>
      <c r="O27" s="633">
        <f t="shared" si="2"/>
        <v>0.12767642755350805</v>
      </c>
      <c r="P27" s="633">
        <f t="shared" si="2"/>
        <v>0.12944285034180353</v>
      </c>
      <c r="Q27" s="633">
        <f t="shared" si="2"/>
        <v>0.12866086261786064</v>
      </c>
      <c r="R27" s="633">
        <f t="shared" si="2"/>
        <v>0.1315931696496116</v>
      </c>
      <c r="S27" s="633">
        <f t="shared" si="2"/>
        <v>0.13522202820363036</v>
      </c>
      <c r="T27" s="633">
        <f t="shared" si="2"/>
        <v>0.13464273863210144</v>
      </c>
      <c r="U27" s="633">
        <f t="shared" si="2"/>
        <v>0.13628151593765736</v>
      </c>
      <c r="V27" s="633">
        <f t="shared" si="2"/>
        <v>0.13701263661366742</v>
      </c>
      <c r="W27" s="633">
        <f t="shared" si="2"/>
        <v>0.12546817654960735</v>
      </c>
      <c r="X27" s="633">
        <f t="shared" si="2"/>
        <v>0.12508645809999874</v>
      </c>
      <c r="Y27" s="633">
        <f t="shared" si="2"/>
        <v>0.12593056558027216</v>
      </c>
      <c r="Z27" s="633">
        <f t="shared" si="2"/>
        <v>0.12608368943874382</v>
      </c>
      <c r="AA27" s="633">
        <f t="shared" si="2"/>
        <v>0.12564758462832751</v>
      </c>
      <c r="AB27" s="633">
        <f t="shared" si="2"/>
        <v>0.12516125756664748</v>
      </c>
      <c r="AC27" s="633">
        <f t="shared" si="2"/>
        <v>0.12700579554124819</v>
      </c>
      <c r="AD27" s="633">
        <f t="shared" si="2"/>
        <v>0.12321573873771155</v>
      </c>
      <c r="AE27" s="633">
        <f t="shared" si="2"/>
        <v>0.12231734303782878</v>
      </c>
      <c r="AF27" s="633">
        <f t="shared" si="2"/>
        <v>0.121828018998516</v>
      </c>
      <c r="AG27" s="633">
        <f t="shared" si="2"/>
        <v>0.12095261660868496</v>
      </c>
      <c r="AH27" s="633">
        <f t="shared" si="2"/>
        <v>0.12161812314732903</v>
      </c>
      <c r="AI27" s="633">
        <f t="shared" si="2"/>
        <v>0.12175878682448034</v>
      </c>
    </row>
    <row r="28" spans="1:39" ht="18" x14ac:dyDescent="0.4">
      <c r="A28" s="453" t="s">
        <v>518</v>
      </c>
      <c r="B28" s="454">
        <v>0.12237588345645628</v>
      </c>
      <c r="C28" s="454">
        <v>0.12104172246226141</v>
      </c>
      <c r="D28" s="454">
        <v>0.11988156854707271</v>
      </c>
      <c r="E28" s="454">
        <v>0.1215376573477237</v>
      </c>
      <c r="F28" s="454">
        <v>0.12064669511659121</v>
      </c>
      <c r="G28" s="454">
        <v>0.12341597332364902</v>
      </c>
      <c r="H28" s="454">
        <v>0.11948738646868866</v>
      </c>
      <c r="I28" s="454">
        <v>0.12393697519062569</v>
      </c>
      <c r="J28" s="454">
        <v>0.12328743755440093</v>
      </c>
      <c r="K28" s="454">
        <v>0.12492852453264511</v>
      </c>
      <c r="L28" s="454">
        <v>0.12643442851804815</v>
      </c>
      <c r="M28" s="454">
        <v>0.12764583725216036</v>
      </c>
      <c r="N28" s="454">
        <v>0.12402786292595604</v>
      </c>
      <c r="O28" s="454">
        <v>0.12361454058032534</v>
      </c>
      <c r="P28" s="454">
        <v>0.12534087618287112</v>
      </c>
      <c r="Q28" s="454">
        <v>0.12473696940478662</v>
      </c>
      <c r="R28" s="454">
        <v>0.12864147653704941</v>
      </c>
      <c r="S28" s="454">
        <v>0.13200087950737532</v>
      </c>
      <c r="T28" s="454">
        <v>0.13135384621367666</v>
      </c>
      <c r="U28" s="454">
        <v>0.13123529743108947</v>
      </c>
      <c r="V28" s="454">
        <v>0.13194925897965423</v>
      </c>
      <c r="W28" s="454">
        <v>0.12015230240058478</v>
      </c>
      <c r="X28" s="454">
        <v>0.11753419415713992</v>
      </c>
      <c r="Y28" s="454">
        <v>0.11673244123961501</v>
      </c>
      <c r="Z28" s="454">
        <v>0.11686177605467066</v>
      </c>
      <c r="AA28" s="454">
        <v>0.1164224548645742</v>
      </c>
      <c r="AB28" s="454">
        <v>0.11600357032240774</v>
      </c>
      <c r="AC28" s="454">
        <v>0.11790713139092816</v>
      </c>
      <c r="AD28" s="454">
        <v>0.11446434507410287</v>
      </c>
      <c r="AE28" s="454">
        <v>0.11372098651995689</v>
      </c>
      <c r="AF28" s="454">
        <v>0.11336691809995918</v>
      </c>
      <c r="AG28" s="454">
        <v>0.11250483887531638</v>
      </c>
      <c r="AH28" s="454">
        <v>0.11333914005664164</v>
      </c>
      <c r="AI28" s="454">
        <v>0.11370023872391899</v>
      </c>
    </row>
    <row r="29" spans="1:39" ht="17" x14ac:dyDescent="0.4">
      <c r="A29" s="1428" t="s">
        <v>1345</v>
      </c>
      <c r="B29" s="33">
        <v>2.4643394242874629E-2</v>
      </c>
      <c r="C29" s="33">
        <v>2.27190475982313E-2</v>
      </c>
      <c r="D29" s="33">
        <v>2.1256241430817054E-2</v>
      </c>
      <c r="E29" s="33">
        <v>2.2538797488098603E-2</v>
      </c>
      <c r="F29" s="33">
        <v>2.1451451992267619E-2</v>
      </c>
      <c r="G29" s="33">
        <v>2.4092322123018588E-2</v>
      </c>
      <c r="H29" s="33">
        <v>2.0057754260556115E-2</v>
      </c>
      <c r="I29" s="33">
        <v>2.439990016811085E-2</v>
      </c>
      <c r="J29" s="33">
        <v>2.3891960744538691E-2</v>
      </c>
      <c r="K29" s="33">
        <v>2.538620264153732E-2</v>
      </c>
      <c r="L29" s="33">
        <v>2.6827159213332352E-2</v>
      </c>
      <c r="M29" s="33">
        <v>2.4765522784948611E-2</v>
      </c>
      <c r="N29" s="33">
        <v>2.157461551342189E-2</v>
      </c>
      <c r="O29" s="33">
        <v>2.0985767550938009E-2</v>
      </c>
      <c r="P29" s="33">
        <v>2.2796074836766829E-2</v>
      </c>
      <c r="Q29" s="33">
        <v>2.2193974764682489E-2</v>
      </c>
      <c r="R29" s="33">
        <v>1.7700205044286588E-2</v>
      </c>
      <c r="S29" s="33">
        <v>2.0385267196931019E-2</v>
      </c>
      <c r="T29" s="33">
        <v>1.9683479957784831E-2</v>
      </c>
      <c r="U29" s="33">
        <v>1.944325635874556E-2</v>
      </c>
      <c r="V29" s="33">
        <v>2.0107992602963851E-2</v>
      </c>
      <c r="W29" s="33">
        <v>1.8164777158906239E-2</v>
      </c>
      <c r="X29" s="33">
        <v>1.5724704147020221E-2</v>
      </c>
      <c r="Y29" s="33">
        <v>1.488460184236343E-2</v>
      </c>
      <c r="Z29" s="33">
        <v>1.4999136783190981E-2</v>
      </c>
      <c r="AA29" s="33">
        <v>1.454501571886632E-2</v>
      </c>
      <c r="AB29" s="33">
        <v>1.407398544465401E-2</v>
      </c>
      <c r="AC29" s="33">
        <v>1.5934066539058531E-2</v>
      </c>
      <c r="AD29" s="33">
        <v>1.239015797273159E-2</v>
      </c>
      <c r="AE29" s="33">
        <v>1.157677798348794E-2</v>
      </c>
      <c r="AF29" s="33">
        <v>1.11585699407504E-2</v>
      </c>
      <c r="AG29" s="33">
        <v>1.0276426820101121E-2</v>
      </c>
      <c r="AH29" s="33">
        <v>1.10452212125006E-2</v>
      </c>
      <c r="AI29" s="33">
        <v>1.1334752789241899E-2</v>
      </c>
      <c r="AJ29" s="455"/>
      <c r="AK29" s="448"/>
      <c r="AM29" s="456"/>
    </row>
    <row r="30" spans="1:39" ht="17" x14ac:dyDescent="0.4">
      <c r="A30" s="1429" t="s">
        <v>1343</v>
      </c>
      <c r="B30" s="33">
        <v>1.0096611768848769E-4</v>
      </c>
      <c r="C30" s="33">
        <v>1.25191407723045E-4</v>
      </c>
      <c r="D30" s="33">
        <v>9.7130706631499977E-5</v>
      </c>
      <c r="E30" s="33">
        <v>9.5666689591836747E-5</v>
      </c>
      <c r="F30" s="33">
        <v>1.1887236471204188E-4</v>
      </c>
      <c r="G30" s="33">
        <v>1.2377877537715252E-4</v>
      </c>
      <c r="H30" s="33">
        <v>7.5680194285714274E-5</v>
      </c>
      <c r="I30" s="33">
        <v>1.3959579164935063E-4</v>
      </c>
      <c r="J30" s="33">
        <v>0</v>
      </c>
      <c r="K30" s="33">
        <v>0</v>
      </c>
      <c r="L30" s="33">
        <v>0</v>
      </c>
      <c r="M30" s="33">
        <v>0</v>
      </c>
      <c r="N30" s="33">
        <v>0</v>
      </c>
      <c r="O30" s="33">
        <v>0</v>
      </c>
      <c r="P30" s="33">
        <v>0</v>
      </c>
      <c r="Q30" s="33">
        <v>0</v>
      </c>
      <c r="R30" s="33">
        <v>0</v>
      </c>
      <c r="S30" s="33">
        <v>0</v>
      </c>
      <c r="T30" s="33">
        <v>0</v>
      </c>
      <c r="U30" s="33">
        <v>0</v>
      </c>
      <c r="V30" s="33">
        <v>0</v>
      </c>
      <c r="W30" s="33">
        <v>0</v>
      </c>
      <c r="X30" s="33">
        <v>0</v>
      </c>
      <c r="Y30" s="33">
        <v>0</v>
      </c>
      <c r="Z30" s="33">
        <v>0</v>
      </c>
      <c r="AA30" s="33">
        <v>0</v>
      </c>
      <c r="AB30" s="33">
        <v>0</v>
      </c>
      <c r="AC30" s="33">
        <v>0</v>
      </c>
      <c r="AD30" s="33">
        <v>0</v>
      </c>
      <c r="AE30" s="33">
        <v>0</v>
      </c>
      <c r="AF30" s="33">
        <v>0</v>
      </c>
      <c r="AG30" s="33">
        <v>0</v>
      </c>
      <c r="AH30" s="33">
        <v>0</v>
      </c>
      <c r="AI30" s="33">
        <v>0</v>
      </c>
      <c r="AJ30" s="455"/>
      <c r="AK30" s="448"/>
      <c r="AM30" s="456"/>
    </row>
    <row r="31" spans="1:39" x14ac:dyDescent="0.4">
      <c r="A31" s="623" t="s">
        <v>345</v>
      </c>
      <c r="B31" s="624">
        <v>-0.12102096775533026</v>
      </c>
      <c r="C31" s="624">
        <v>-0.12102079100344608</v>
      </c>
      <c r="D31" s="624">
        <v>-0.12102061425156198</v>
      </c>
      <c r="E31" s="624">
        <v>-0.12102043749967778</v>
      </c>
      <c r="F31" s="624">
        <v>-0.12102026074779368</v>
      </c>
      <c r="G31" s="624">
        <v>-0.12102008399590956</v>
      </c>
      <c r="H31" s="624">
        <v>-0.12101990724402538</v>
      </c>
      <c r="I31" s="624">
        <v>-0.12101973049214128</v>
      </c>
      <c r="J31" s="624">
        <v>-0.12101955374025707</v>
      </c>
      <c r="K31" s="624">
        <v>-0.12101937698837298</v>
      </c>
      <c r="L31" s="624">
        <v>-0.12101920023648888</v>
      </c>
      <c r="M31" s="624">
        <v>-0.11786781901868958</v>
      </c>
      <c r="N31" s="624">
        <v>-0.11829599732293465</v>
      </c>
      <c r="O31" s="624">
        <v>-0.11834388190320137</v>
      </c>
      <c r="P31" s="624">
        <v>-0.11839176648346805</v>
      </c>
      <c r="Q31" s="624">
        <v>-0.11843965106373457</v>
      </c>
      <c r="R31" s="624">
        <v>-0.11000528710805954</v>
      </c>
      <c r="S31" s="624">
        <v>-0.10931325140653188</v>
      </c>
      <c r="T31" s="624">
        <v>-0.10927579980753038</v>
      </c>
      <c r="U31" s="624">
        <v>-0.10923834820852937</v>
      </c>
      <c r="V31" s="624">
        <v>-0.10920089660952799</v>
      </c>
      <c r="W31" s="624">
        <v>-0.11907175956035829</v>
      </c>
      <c r="X31" s="624">
        <v>-0.11935532918181857</v>
      </c>
      <c r="Y31" s="624">
        <v>-0.11935735252228157</v>
      </c>
      <c r="Z31" s="624">
        <v>-0.11935937586274467</v>
      </c>
      <c r="AA31" s="624">
        <v>-0.11936139920320767</v>
      </c>
      <c r="AB31" s="624">
        <v>-0.11936342254367048</v>
      </c>
      <c r="AC31" s="624">
        <v>-0.11936544588413356</v>
      </c>
      <c r="AD31" s="624">
        <v>-0.11936746922459687</v>
      </c>
      <c r="AE31" s="624">
        <v>-0.11936949256505966</v>
      </c>
      <c r="AF31" s="624">
        <v>-0.11937151590552299</v>
      </c>
      <c r="AG31" s="624">
        <v>-0.11937353924598576</v>
      </c>
      <c r="AH31" s="624">
        <v>-0.11937556258644896</v>
      </c>
      <c r="AI31" s="624">
        <v>-0.11937758592691187</v>
      </c>
      <c r="AJ31" s="455"/>
      <c r="AK31" s="448"/>
    </row>
    <row r="32" spans="1:39" ht="17" x14ac:dyDescent="0.4">
      <c r="A32" s="1479" t="s">
        <v>1545</v>
      </c>
      <c r="B32" s="624">
        <v>1.0965162135123241E-2</v>
      </c>
      <c r="C32" s="624">
        <v>1.0962982962235777E-2</v>
      </c>
      <c r="D32" s="624">
        <v>1.0960803789348321E-2</v>
      </c>
      <c r="E32" s="624">
        <v>1.0958624616460856E-2</v>
      </c>
      <c r="F32" s="624">
        <v>1.0956445443573401E-2</v>
      </c>
      <c r="G32" s="624">
        <v>1.0954266270685938E-2</v>
      </c>
      <c r="H32" s="624">
        <v>1.0952087097798482E-2</v>
      </c>
      <c r="I32" s="624">
        <v>1.0949907924911018E-2</v>
      </c>
      <c r="J32" s="624">
        <v>1.0947728752023553E-2</v>
      </c>
      <c r="K32" s="624">
        <v>1.0945549579136097E-2</v>
      </c>
      <c r="L32" s="624">
        <v>1.0943370406248635E-2</v>
      </c>
      <c r="M32" s="624">
        <v>1.0941191233361179E-2</v>
      </c>
      <c r="N32" s="624">
        <v>1.0905104130344831E-2</v>
      </c>
      <c r="O32" s="624">
        <v>1.0869017027328492E-2</v>
      </c>
      <c r="P32" s="624">
        <v>1.0832929924312142E-2</v>
      </c>
      <c r="Q32" s="624">
        <v>1.0796842821295803E-2</v>
      </c>
      <c r="R32" s="624">
        <v>1.0760755718279455E-2</v>
      </c>
      <c r="S32" s="624">
        <v>1.0743060834433276E-2</v>
      </c>
      <c r="T32" s="624">
        <v>1.0725365950587099E-2</v>
      </c>
      <c r="U32" s="624">
        <v>1.0707671066740919E-2</v>
      </c>
      <c r="V32" s="624">
        <v>1.0689976182894741E-2</v>
      </c>
      <c r="W32" s="624">
        <v>1.0672281299048562E-2</v>
      </c>
      <c r="X32" s="624">
        <v>1.0689104513739759E-2</v>
      </c>
      <c r="Y32" s="624">
        <v>1.0705927728430946E-2</v>
      </c>
      <c r="Z32" s="624">
        <v>1.0722750943122143E-2</v>
      </c>
      <c r="AA32" s="624">
        <v>1.0739574157813339E-2</v>
      </c>
      <c r="AB32" s="624">
        <v>1.0756397372504535E-2</v>
      </c>
      <c r="AC32" s="624">
        <v>1.0773220587195731E-2</v>
      </c>
      <c r="AD32" s="624">
        <v>1.0790043801886919E-2</v>
      </c>
      <c r="AE32" s="624">
        <v>1.0806867016578115E-2</v>
      </c>
      <c r="AF32" s="624">
        <v>1.0823690231269311E-2</v>
      </c>
      <c r="AG32" s="624">
        <v>1.0840513445960509E-2</v>
      </c>
      <c r="AH32" s="624">
        <v>1.0857336660651697E-2</v>
      </c>
      <c r="AI32" s="624">
        <v>1.0874159875342893E-2</v>
      </c>
      <c r="AJ32" s="455"/>
      <c r="AK32" s="448"/>
    </row>
    <row r="33" spans="1:43" ht="17" x14ac:dyDescent="0.4">
      <c r="A33" s="1479" t="s">
        <v>1546</v>
      </c>
      <c r="B33" s="624">
        <v>0.20768732871610018</v>
      </c>
      <c r="C33" s="624">
        <v>0.20825529149751737</v>
      </c>
      <c r="D33" s="624">
        <v>0.20858800687183782</v>
      </c>
      <c r="E33" s="624">
        <v>0.20896500605325019</v>
      </c>
      <c r="F33" s="624">
        <v>0.20914018606383183</v>
      </c>
      <c r="G33" s="624">
        <v>0.20926569015047691</v>
      </c>
      <c r="H33" s="624">
        <v>0.20942177216007374</v>
      </c>
      <c r="I33" s="624">
        <v>0.20946730179809575</v>
      </c>
      <c r="J33" s="624">
        <v>0.20946730179809575</v>
      </c>
      <c r="K33" s="624">
        <v>0.20961614930034467</v>
      </c>
      <c r="L33" s="624">
        <v>0.20968309913495603</v>
      </c>
      <c r="M33" s="624">
        <v>0.20980694225254015</v>
      </c>
      <c r="N33" s="624">
        <v>0.20984414060512396</v>
      </c>
      <c r="O33" s="624">
        <v>0.21010363790526021</v>
      </c>
      <c r="P33" s="624">
        <v>0.21010363790526021</v>
      </c>
      <c r="Q33" s="624">
        <v>0.2101858028825429</v>
      </c>
      <c r="R33" s="624">
        <v>0.2101858028825429</v>
      </c>
      <c r="S33" s="624">
        <v>0.2101858028825429</v>
      </c>
      <c r="T33" s="624">
        <v>0.21022080011283512</v>
      </c>
      <c r="U33" s="624">
        <v>0.21032271821413237</v>
      </c>
      <c r="V33" s="624">
        <v>0.21035218680332363</v>
      </c>
      <c r="W33" s="624">
        <v>0.21038700350298825</v>
      </c>
      <c r="X33" s="624">
        <v>0.21047571467819851</v>
      </c>
      <c r="Y33" s="624">
        <v>0.21049926419110221</v>
      </c>
      <c r="Z33" s="624">
        <v>0.21049926419110221</v>
      </c>
      <c r="AA33" s="624">
        <v>0.21049926419110221</v>
      </c>
      <c r="AB33" s="624">
        <v>0.21053661004891969</v>
      </c>
      <c r="AC33" s="624">
        <v>0.21056529014880745</v>
      </c>
      <c r="AD33" s="624">
        <v>0.21065161252408124</v>
      </c>
      <c r="AE33" s="624">
        <v>0.2107068340849505</v>
      </c>
      <c r="AF33" s="624">
        <v>0.21075617383346246</v>
      </c>
      <c r="AG33" s="624">
        <v>0.21076143785524051</v>
      </c>
      <c r="AH33" s="624">
        <v>0.21081214476993831</v>
      </c>
      <c r="AI33" s="624">
        <v>0.21086891198624608</v>
      </c>
      <c r="AJ33" s="455"/>
      <c r="AK33" s="448"/>
    </row>
    <row r="34" spans="1:43" ht="18" x14ac:dyDescent="0.4">
      <c r="A34" s="1065" t="s">
        <v>519</v>
      </c>
      <c r="B34" s="1066">
        <v>1.0333412698096277E-2</v>
      </c>
      <c r="C34" s="1066">
        <v>8.1535624502915276E-3</v>
      </c>
      <c r="D34" s="1066">
        <v>7.1601570267592046E-3</v>
      </c>
      <c r="E34" s="1066">
        <v>5.7707480830416508E-3</v>
      </c>
      <c r="F34" s="1066">
        <v>5.0855686792866273E-3</v>
      </c>
      <c r="G34" s="1066">
        <v>4.7453770631026267E-3</v>
      </c>
      <c r="H34" s="1066">
        <v>4.1824213196200522E-3</v>
      </c>
      <c r="I34" s="1066">
        <v>4.0575274833455832E-3</v>
      </c>
      <c r="J34" s="1066">
        <v>4.4080143497370727E-3</v>
      </c>
      <c r="K34" s="1066">
        <v>3.9544833986573944E-3</v>
      </c>
      <c r="L34" s="1066">
        <v>3.8281771912529123E-3</v>
      </c>
      <c r="M34" s="1066">
        <v>4.8518062364556278E-3</v>
      </c>
      <c r="N34" s="1066">
        <v>4.8709267210639111E-3</v>
      </c>
      <c r="O34" s="1066">
        <v>4.0618869731827044E-3</v>
      </c>
      <c r="P34" s="1066">
        <v>4.1019741589324102E-3</v>
      </c>
      <c r="Q34" s="1066">
        <v>3.9238932130740145E-3</v>
      </c>
      <c r="R34" s="1066">
        <v>2.9516931125621749E-3</v>
      </c>
      <c r="S34" s="1066">
        <v>3.2211486962550225E-3</v>
      </c>
      <c r="T34" s="1066">
        <v>3.2888924184247786E-3</v>
      </c>
      <c r="U34" s="1066">
        <v>5.0462185065678952E-3</v>
      </c>
      <c r="V34" s="1066">
        <v>5.0633776340131918E-3</v>
      </c>
      <c r="W34" s="1066">
        <v>5.3158741490225789E-3</v>
      </c>
      <c r="X34" s="1066">
        <v>7.552263942858831E-3</v>
      </c>
      <c r="Y34" s="1066">
        <v>9.1981243406571399E-3</v>
      </c>
      <c r="Z34" s="1066">
        <v>9.2219133840731656E-3</v>
      </c>
      <c r="AA34" s="1066">
        <v>9.2251297637533092E-3</v>
      </c>
      <c r="AB34" s="1066">
        <v>9.1576872442397476E-3</v>
      </c>
      <c r="AC34" s="1066">
        <v>9.0986641503200318E-3</v>
      </c>
      <c r="AD34" s="1066">
        <v>8.751393663608685E-3</v>
      </c>
      <c r="AE34" s="1066">
        <v>8.5963565178718785E-3</v>
      </c>
      <c r="AF34" s="1066">
        <v>8.4611008985568305E-3</v>
      </c>
      <c r="AG34" s="1066">
        <v>8.4477777333685743E-3</v>
      </c>
      <c r="AH34" s="1066">
        <v>8.2789830906873866E-3</v>
      </c>
      <c r="AI34" s="1066">
        <v>8.0585481005613496E-3</v>
      </c>
      <c r="AJ34" s="455"/>
      <c r="AK34" s="448"/>
    </row>
    <row r="35" spans="1:43" x14ac:dyDescent="0.4">
      <c r="A35" s="623" t="s">
        <v>346</v>
      </c>
      <c r="B35" s="625">
        <v>6.2457351450589879E-3</v>
      </c>
      <c r="C35" s="33">
        <v>4.9184278980767245E-3</v>
      </c>
      <c r="D35" s="33">
        <v>4.3101581720843152E-3</v>
      </c>
      <c r="E35" s="33">
        <v>3.4565858555825456E-3</v>
      </c>
      <c r="F35" s="33">
        <v>3.0369992236934568E-3</v>
      </c>
      <c r="G35" s="33">
        <v>2.8473672324412095E-3</v>
      </c>
      <c r="H35" s="33">
        <v>2.4938917632752592E-3</v>
      </c>
      <c r="I35" s="33">
        <v>2.4117319074919868E-3</v>
      </c>
      <c r="J35" s="33">
        <v>2.6257252381714689E-3</v>
      </c>
      <c r="K35" s="33">
        <v>2.3391851280079902E-3</v>
      </c>
      <c r="L35" s="33">
        <v>2.255072582887963E-3</v>
      </c>
      <c r="M35" s="33">
        <v>3.4410147534919529E-3</v>
      </c>
      <c r="N35" s="33">
        <v>3.4225690006667361E-3</v>
      </c>
      <c r="O35" s="33">
        <v>2.9090355936264522E-3</v>
      </c>
      <c r="P35" s="33">
        <v>2.9063348716151871E-3</v>
      </c>
      <c r="Q35" s="33">
        <v>2.7743130677704919E-3</v>
      </c>
      <c r="R35" s="33">
        <v>1.6480129860734604E-3</v>
      </c>
      <c r="S35" s="33">
        <v>1.7857455492440374E-3</v>
      </c>
      <c r="T35" s="33">
        <v>1.8218355245424296E-3</v>
      </c>
      <c r="U35" s="33">
        <v>2.8660250783885976E-3</v>
      </c>
      <c r="V35" s="33">
        <v>2.8640841977892557E-3</v>
      </c>
      <c r="W35" s="33">
        <v>3.1113018526713792E-3</v>
      </c>
      <c r="X35" s="33">
        <v>4.4846633551779459E-3</v>
      </c>
      <c r="Y35" s="33">
        <v>5.4667035557805924E-3</v>
      </c>
      <c r="Z35" s="33">
        <v>5.4640934279757457E-3</v>
      </c>
      <c r="AA35" s="33">
        <v>5.4522299312746636E-3</v>
      </c>
      <c r="AB35" s="33">
        <v>5.4070533931973343E-3</v>
      </c>
      <c r="AC35" s="33">
        <v>5.3616305227841918E-3</v>
      </c>
      <c r="AD35" s="33">
        <v>5.1357736954036276E-3</v>
      </c>
      <c r="AE35" s="33">
        <v>5.0321358960822215E-3</v>
      </c>
      <c r="AF35" s="33">
        <v>4.9432406909312452E-3</v>
      </c>
      <c r="AG35" s="33">
        <v>4.9467747472823472E-3</v>
      </c>
      <c r="AH35" s="33">
        <v>4.8588127705395954E-3</v>
      </c>
      <c r="AI35" s="33">
        <v>4.7353448864725879E-3</v>
      </c>
      <c r="AJ35" s="626"/>
      <c r="AK35" s="448"/>
    </row>
    <row r="36" spans="1:43" ht="17" x14ac:dyDescent="0.4">
      <c r="A36" s="1428" t="s">
        <v>1547</v>
      </c>
      <c r="B36" s="33">
        <v>4.0876775530372892E-3</v>
      </c>
      <c r="C36" s="33">
        <v>3.2351345522148032E-3</v>
      </c>
      <c r="D36" s="33">
        <v>2.8499988546748893E-3</v>
      </c>
      <c r="E36" s="33">
        <v>2.3141622274591052E-3</v>
      </c>
      <c r="F36" s="33">
        <v>2.0485694555931709E-3</v>
      </c>
      <c r="G36" s="33">
        <v>1.898009830661417E-3</v>
      </c>
      <c r="H36" s="33">
        <v>1.6885295563447927E-3</v>
      </c>
      <c r="I36" s="33">
        <v>1.6457955758535962E-3</v>
      </c>
      <c r="J36" s="33">
        <v>1.782289111565604E-3</v>
      </c>
      <c r="K36" s="33">
        <v>1.615298270649404E-3</v>
      </c>
      <c r="L36" s="33">
        <v>1.573104608364949E-3</v>
      </c>
      <c r="M36" s="33">
        <v>1.4107914829636751E-3</v>
      </c>
      <c r="N36" s="33">
        <v>1.4483577203971752E-3</v>
      </c>
      <c r="O36" s="33">
        <v>1.1528513795562522E-3</v>
      </c>
      <c r="P36" s="33">
        <v>1.1956392873172228E-3</v>
      </c>
      <c r="Q36" s="33">
        <v>1.1495801453035226E-3</v>
      </c>
      <c r="R36" s="33">
        <v>1.3036801264887147E-3</v>
      </c>
      <c r="S36" s="33">
        <v>1.435403147010985E-3</v>
      </c>
      <c r="T36" s="33">
        <v>1.467056893882349E-3</v>
      </c>
      <c r="U36" s="33">
        <v>2.1801934281792971E-3</v>
      </c>
      <c r="V36" s="33">
        <v>2.1992934362239365E-3</v>
      </c>
      <c r="W36" s="33">
        <v>2.2045722963511998E-3</v>
      </c>
      <c r="X36" s="33">
        <v>3.0676005876808846E-3</v>
      </c>
      <c r="Y36" s="33">
        <v>3.7314207848765471E-3</v>
      </c>
      <c r="Z36" s="33">
        <v>3.7578199560974199E-3</v>
      </c>
      <c r="AA36" s="33">
        <v>3.7728998324786456E-3</v>
      </c>
      <c r="AB36" s="33">
        <v>3.7506338510424134E-3</v>
      </c>
      <c r="AC36" s="33">
        <v>3.73703362753584E-3</v>
      </c>
      <c r="AD36" s="33">
        <v>3.615619968205057E-3</v>
      </c>
      <c r="AE36" s="33">
        <v>3.5642206217896565E-3</v>
      </c>
      <c r="AF36" s="33">
        <v>3.5178602076255858E-3</v>
      </c>
      <c r="AG36" s="33">
        <v>3.5010029860862261E-3</v>
      </c>
      <c r="AH36" s="33">
        <v>3.4201703201477917E-3</v>
      </c>
      <c r="AI36" s="33">
        <v>3.3232032140887613E-3</v>
      </c>
      <c r="AJ36" s="626"/>
      <c r="AK36" s="448"/>
    </row>
    <row r="37" spans="1:43" x14ac:dyDescent="0.4">
      <c r="A37" s="621" t="s">
        <v>327</v>
      </c>
      <c r="B37" s="622">
        <f>B38+B43</f>
        <v>-0.76729488721680872</v>
      </c>
      <c r="C37" s="622">
        <f>C38+C43</f>
        <v>-0.70988641959844301</v>
      </c>
      <c r="D37" s="622">
        <f t="shared" ref="D37:AI37" si="3">D38+D43</f>
        <v>-0.71621212880859542</v>
      </c>
      <c r="E37" s="622">
        <f t="shared" si="3"/>
        <v>-0.68563765002587884</v>
      </c>
      <c r="F37" s="622">
        <f t="shared" si="3"/>
        <v>-0.68198761528335994</v>
      </c>
      <c r="G37" s="622">
        <f t="shared" si="3"/>
        <v>-0.65165059037062834</v>
      </c>
      <c r="H37" s="622">
        <f t="shared" si="3"/>
        <v>-0.67521939571796097</v>
      </c>
      <c r="I37" s="622">
        <f t="shared" si="3"/>
        <v>-0.65924042172704556</v>
      </c>
      <c r="J37" s="622">
        <f t="shared" si="3"/>
        <v>-0.71249781492904407</v>
      </c>
      <c r="K37" s="622">
        <f t="shared" si="3"/>
        <v>-0.70666548709797627</v>
      </c>
      <c r="L37" s="622">
        <f t="shared" si="3"/>
        <v>-0.72994715586245384</v>
      </c>
      <c r="M37" s="622">
        <f t="shared" si="3"/>
        <v>-0.74596134125877478</v>
      </c>
      <c r="N37" s="622">
        <f t="shared" si="3"/>
        <v>-0.75606209146360592</v>
      </c>
      <c r="O37" s="622">
        <f t="shared" si="3"/>
        <v>-0.78124094396805588</v>
      </c>
      <c r="P37" s="622">
        <f t="shared" si="3"/>
        <v>-0.79513583942692956</v>
      </c>
      <c r="Q37" s="622">
        <f t="shared" si="3"/>
        <v>-0.79582515678085919</v>
      </c>
      <c r="R37" s="622">
        <f t="shared" si="3"/>
        <v>-0.82325166606787403</v>
      </c>
      <c r="S37" s="622">
        <f t="shared" si="3"/>
        <v>-0.83737145927255674</v>
      </c>
      <c r="T37" s="622">
        <f t="shared" si="3"/>
        <v>-0.86668381433872743</v>
      </c>
      <c r="U37" s="622">
        <f t="shared" si="3"/>
        <v>-0.88753010380221486</v>
      </c>
      <c r="V37" s="622">
        <f t="shared" si="3"/>
        <v>-0.92065233902311017</v>
      </c>
      <c r="W37" s="622">
        <f t="shared" si="3"/>
        <v>-0.91681974770689412</v>
      </c>
      <c r="X37" s="622">
        <f t="shared" si="3"/>
        <v>-0.92733035179237377</v>
      </c>
      <c r="Y37" s="622">
        <f t="shared" si="3"/>
        <v>-0.91438719828564718</v>
      </c>
      <c r="Z37" s="622">
        <f t="shared" si="3"/>
        <v>-0.95403721509898154</v>
      </c>
      <c r="AA37" s="622">
        <f t="shared" si="3"/>
        <v>-0.95969839315733296</v>
      </c>
      <c r="AB37" s="622">
        <f t="shared" si="3"/>
        <v>-0.95775781749807509</v>
      </c>
      <c r="AC37" s="622">
        <f t="shared" si="3"/>
        <v>-1.0282466891011015</v>
      </c>
      <c r="AD37" s="622">
        <f t="shared" si="3"/>
        <v>-1.0264432171356892</v>
      </c>
      <c r="AE37" s="622">
        <f t="shared" si="3"/>
        <v>-1.0370332194928062</v>
      </c>
      <c r="AF37" s="622">
        <f t="shared" si="3"/>
        <v>-1.0311503906037851</v>
      </c>
      <c r="AG37" s="622">
        <f t="shared" si="3"/>
        <v>-1.0007430019470203</v>
      </c>
      <c r="AH37" s="622">
        <f t="shared" si="3"/>
        <v>-0.97971047954174084</v>
      </c>
      <c r="AI37" s="622">
        <f t="shared" si="3"/>
        <v>-0.94733588009053216</v>
      </c>
    </row>
    <row r="38" spans="1:43" x14ac:dyDescent="0.4">
      <c r="A38" s="616" t="s">
        <v>347</v>
      </c>
      <c r="B38" s="617">
        <v>-1.5376287710266032</v>
      </c>
      <c r="C38" s="617">
        <v>-1.5473842526412167</v>
      </c>
      <c r="D38" s="617">
        <v>-1.5438721268909916</v>
      </c>
      <c r="E38" s="617">
        <v>-1.5419314112836668</v>
      </c>
      <c r="F38" s="617">
        <v>-1.5412160014920431</v>
      </c>
      <c r="G38" s="617">
        <v>-1.5670577095539344</v>
      </c>
      <c r="H38" s="617">
        <v>-1.5729870588441466</v>
      </c>
      <c r="I38" s="617">
        <v>-1.5879720863602751</v>
      </c>
      <c r="J38" s="617">
        <v>-1.6082009105341926</v>
      </c>
      <c r="K38" s="617">
        <v>-1.6641901393584746</v>
      </c>
      <c r="L38" s="617">
        <v>-1.6611169552096785</v>
      </c>
      <c r="M38" s="617">
        <v>-1.6738035839662202</v>
      </c>
      <c r="N38" s="617">
        <v>-1.6869675169994187</v>
      </c>
      <c r="O38" s="617">
        <v>-1.7131573361189001</v>
      </c>
      <c r="P38" s="617">
        <v>-1.7291174536946563</v>
      </c>
      <c r="Q38" s="617">
        <v>-1.7395223631812771</v>
      </c>
      <c r="R38" s="617">
        <v>-1.7458908667456916</v>
      </c>
      <c r="S38" s="617">
        <v>-1.755619218642112</v>
      </c>
      <c r="T38" s="617">
        <v>-1.7896220337338604</v>
      </c>
      <c r="U38" s="617">
        <v>-1.8066887343869056</v>
      </c>
      <c r="V38" s="617">
        <v>-1.8312939560758201</v>
      </c>
      <c r="W38" s="617">
        <v>-1.8185749938169851</v>
      </c>
      <c r="X38" s="617">
        <v>-1.8121239913658236</v>
      </c>
      <c r="Y38" s="617">
        <v>-1.8052956984628399</v>
      </c>
      <c r="Z38" s="617">
        <v>-1.832719235378852</v>
      </c>
      <c r="AA38" s="617">
        <v>-1.8332757751796502</v>
      </c>
      <c r="AB38" s="617">
        <v>-1.8184133777113696</v>
      </c>
      <c r="AC38" s="617">
        <v>-1.8901293505958014</v>
      </c>
      <c r="AD38" s="617">
        <v>-1.8906428610011028</v>
      </c>
      <c r="AE38" s="617">
        <v>-1.8928165258183547</v>
      </c>
      <c r="AF38" s="617">
        <v>-1.8822947798817578</v>
      </c>
      <c r="AG38" s="617">
        <v>-1.8510941394057474</v>
      </c>
      <c r="AH38" s="617">
        <v>-1.8302617261545886</v>
      </c>
      <c r="AI38" s="617">
        <v>-1.7980685746432581</v>
      </c>
      <c r="AJ38" s="456"/>
    </row>
    <row r="39" spans="1:43" x14ac:dyDescent="0.4">
      <c r="A39" s="623" t="s">
        <v>348</v>
      </c>
      <c r="B39" s="627">
        <v>-2.0482452757074641</v>
      </c>
      <c r="C39" s="627">
        <v>-2.0600379303298322</v>
      </c>
      <c r="D39" s="627">
        <v>-2.0670611361138991</v>
      </c>
      <c r="E39" s="627">
        <v>-2.078525191017885</v>
      </c>
      <c r="F39" s="627">
        <v>-2.0909700144835441</v>
      </c>
      <c r="G39" s="627">
        <v>-2.1115464799556061</v>
      </c>
      <c r="H39" s="627">
        <v>-2.1225072090981691</v>
      </c>
      <c r="I39" s="627">
        <v>-2.131973675816901</v>
      </c>
      <c r="J39" s="627">
        <v>-2.138820712106694</v>
      </c>
      <c r="K39" s="627">
        <v>-2.1546676259467881</v>
      </c>
      <c r="L39" s="627">
        <v>-2.163407422575788</v>
      </c>
      <c r="M39" s="627">
        <v>-2.170981680074485</v>
      </c>
      <c r="N39" s="627">
        <v>-2.1759354362971171</v>
      </c>
      <c r="O39" s="627">
        <v>-2.2023658638174339</v>
      </c>
      <c r="P39" s="627">
        <v>-2.2430296174439741</v>
      </c>
      <c r="Q39" s="627">
        <v>-2.2744041237157719</v>
      </c>
      <c r="R39" s="627">
        <v>-2.317687830847698</v>
      </c>
      <c r="S39" s="627">
        <v>-2.3571825601967009</v>
      </c>
      <c r="T39" s="627">
        <v>-2.3963926412356291</v>
      </c>
      <c r="U39" s="627">
        <v>-2.4433501440276491</v>
      </c>
      <c r="V39" s="627">
        <v>-2.4826436083468448</v>
      </c>
      <c r="W39" s="627">
        <v>-2.5218860460603452</v>
      </c>
      <c r="X39" s="627">
        <v>-2.5545736718987908</v>
      </c>
      <c r="Y39" s="627">
        <v>-2.6060802608036129</v>
      </c>
      <c r="Z39" s="627">
        <v>-2.6605003969886289</v>
      </c>
      <c r="AA39" s="627">
        <v>-2.713447851377178</v>
      </c>
      <c r="AB39" s="627">
        <v>-2.754610107132121</v>
      </c>
      <c r="AC39" s="627">
        <v>-2.8214078515010699</v>
      </c>
      <c r="AD39" s="627">
        <v>-2.8465605575490609</v>
      </c>
      <c r="AE39" s="627">
        <v>-2.8661629078894681</v>
      </c>
      <c r="AF39" s="627">
        <v>-2.8867326004520879</v>
      </c>
      <c r="AG39" s="627">
        <v>-2.906303046961682</v>
      </c>
      <c r="AH39" s="627">
        <v>-2.9211025686958818</v>
      </c>
      <c r="AI39" s="627">
        <v>-2.934223962887831</v>
      </c>
    </row>
    <row r="40" spans="1:43" x14ac:dyDescent="0.4">
      <c r="A40" s="623" t="s">
        <v>349</v>
      </c>
      <c r="B40" s="627">
        <v>0.53168866666666659</v>
      </c>
      <c r="C40" s="627">
        <v>0.53169233333333332</v>
      </c>
      <c r="D40" s="627">
        <v>0.53169599999999995</v>
      </c>
      <c r="E40" s="627">
        <v>0.53170333333333331</v>
      </c>
      <c r="F40" s="627">
        <v>0.53167399999999998</v>
      </c>
      <c r="G40" s="627">
        <v>0.5316776666666666</v>
      </c>
      <c r="H40" s="627">
        <v>0.53181699999999998</v>
      </c>
      <c r="I40" s="627">
        <v>0.53182066666666661</v>
      </c>
      <c r="J40" s="627">
        <v>0.53228266666666657</v>
      </c>
      <c r="K40" s="627">
        <v>0.53246966666666662</v>
      </c>
      <c r="L40" s="627">
        <v>0.53279599999999994</v>
      </c>
      <c r="M40" s="627">
        <v>0.53288766666666665</v>
      </c>
      <c r="N40" s="627">
        <v>0.53288766666666665</v>
      </c>
      <c r="O40" s="627">
        <v>0.53480899999999998</v>
      </c>
      <c r="P40" s="627">
        <v>0.53903299999999998</v>
      </c>
      <c r="Q40" s="627">
        <v>0.55557333333333325</v>
      </c>
      <c r="R40" s="627">
        <v>0.58266633333333329</v>
      </c>
      <c r="S40" s="627">
        <v>0.61175766666666664</v>
      </c>
      <c r="T40" s="627">
        <v>0.62438566666666662</v>
      </c>
      <c r="U40" s="627">
        <v>0.65147133333333329</v>
      </c>
      <c r="V40" s="627">
        <v>0.6691043333333333</v>
      </c>
      <c r="W40" s="627">
        <v>0.7018036666666666</v>
      </c>
      <c r="X40" s="627">
        <v>0.74379433333333334</v>
      </c>
      <c r="Y40" s="627">
        <v>0.80860999999999994</v>
      </c>
      <c r="Z40" s="627">
        <v>0.83700466666666662</v>
      </c>
      <c r="AA40" s="627">
        <v>0.8870216666666666</v>
      </c>
      <c r="AB40" s="627">
        <v>0.93279266666666671</v>
      </c>
      <c r="AC40" s="627">
        <v>0.97644799999999987</v>
      </c>
      <c r="AD40" s="627">
        <v>0.98501700000000003</v>
      </c>
      <c r="AE40" s="627">
        <v>0.99095333333333324</v>
      </c>
      <c r="AF40" s="627">
        <v>1.0110503333333329</v>
      </c>
      <c r="AG40" s="627">
        <v>1.054169150598379</v>
      </c>
      <c r="AH40" s="627">
        <v>1.083282743466198</v>
      </c>
      <c r="AI40" s="627">
        <v>1.112431105720201</v>
      </c>
    </row>
    <row r="41" spans="1:43" ht="17" x14ac:dyDescent="0.4">
      <c r="A41" s="1428" t="s">
        <v>1342</v>
      </c>
      <c r="B41" s="627">
        <v>7.5268411435346308E-2</v>
      </c>
      <c r="C41" s="627">
        <v>7.488254791735173E-2</v>
      </c>
      <c r="D41" s="627">
        <v>8.1884108854130555E-2</v>
      </c>
      <c r="E41" s="627">
        <v>8.5349506232525393E-2</v>
      </c>
      <c r="F41" s="627">
        <v>8.424858743712027E-2</v>
      </c>
      <c r="G41" s="627">
        <v>8.5458763970557891E-2</v>
      </c>
      <c r="H41" s="627">
        <v>8.6762493535624194E-2</v>
      </c>
      <c r="I41" s="627">
        <v>8.4360005354557968E-2</v>
      </c>
      <c r="J41" s="627">
        <v>7.4900636320298808E-2</v>
      </c>
      <c r="K41" s="627">
        <v>7.5276093798758131E-2</v>
      </c>
      <c r="L41" s="627">
        <v>8.6390804260798384E-2</v>
      </c>
      <c r="M41" s="627">
        <v>8.5608414851464115E-2</v>
      </c>
      <c r="N41" s="627">
        <v>7.8609517960575276E-2</v>
      </c>
      <c r="O41" s="627">
        <v>8.1493141754130111E-2</v>
      </c>
      <c r="P41" s="627">
        <v>9.7847391166919123E-2</v>
      </c>
      <c r="Q41" s="627">
        <v>9.7803332564554077E-2</v>
      </c>
      <c r="R41" s="627">
        <v>0.10051470433474387</v>
      </c>
      <c r="S41" s="627">
        <v>0.10347133039222993</v>
      </c>
      <c r="T41" s="627">
        <v>0.10276921666422945</v>
      </c>
      <c r="U41" s="627">
        <v>0.10134362781694577</v>
      </c>
      <c r="V41" s="627">
        <v>8.3844688201674247E-2</v>
      </c>
      <c r="W41" s="627">
        <v>9.0924674542992898E-2</v>
      </c>
      <c r="X41" s="627">
        <v>8.8374109825052505E-2</v>
      </c>
      <c r="Y41" s="627">
        <v>9.4460704225950237E-2</v>
      </c>
      <c r="Z41" s="627">
        <v>9.6152066599448083E-2</v>
      </c>
      <c r="AA41" s="627">
        <v>9.7191954182606274E-2</v>
      </c>
      <c r="AB41" s="627">
        <v>9.9912168002835228E-2</v>
      </c>
      <c r="AC41" s="627">
        <v>0.10374606372352535</v>
      </c>
      <c r="AD41" s="627">
        <v>0.10508110485454496</v>
      </c>
      <c r="AE41" s="627">
        <v>0.10637892504867454</v>
      </c>
      <c r="AF41" s="627">
        <v>0.1086331256507972</v>
      </c>
      <c r="AG41" s="627">
        <v>0.10877892780719263</v>
      </c>
      <c r="AH41" s="627">
        <v>0.10883834186815378</v>
      </c>
      <c r="AI41" s="627">
        <v>0.10891045621380223</v>
      </c>
    </row>
    <row r="42" spans="1:43" x14ac:dyDescent="0.4">
      <c r="A42" s="623" t="s">
        <v>350</v>
      </c>
      <c r="B42" s="627">
        <v>-9.6340573421152223E-2</v>
      </c>
      <c r="C42" s="627">
        <v>-9.3921203562069816E-2</v>
      </c>
      <c r="D42" s="627">
        <v>-9.0391099631222924E-2</v>
      </c>
      <c r="E42" s="627">
        <v>-8.0459059831640437E-2</v>
      </c>
      <c r="F42" s="627">
        <v>-6.6168574445619008E-2</v>
      </c>
      <c r="G42" s="627">
        <v>-7.2647660235552747E-2</v>
      </c>
      <c r="H42" s="627">
        <v>-6.9059343281601571E-2</v>
      </c>
      <c r="I42" s="627">
        <v>-7.2179082564598457E-2</v>
      </c>
      <c r="J42" s="627">
        <v>-7.6563501414464163E-2</v>
      </c>
      <c r="K42" s="627">
        <v>-0.11726827387711131</v>
      </c>
      <c r="L42" s="627">
        <v>-0.1168963368946886</v>
      </c>
      <c r="M42" s="627">
        <v>-0.12131798540986601</v>
      </c>
      <c r="N42" s="627">
        <v>-0.1225292653295435</v>
      </c>
      <c r="O42" s="627">
        <v>-0.12709361405559619</v>
      </c>
      <c r="P42" s="627">
        <v>-0.1229682274176012</v>
      </c>
      <c r="Q42" s="627">
        <v>-0.1184949053633923</v>
      </c>
      <c r="R42" s="627">
        <v>-0.1113840735660708</v>
      </c>
      <c r="S42" s="627">
        <v>-0.1136656555043077</v>
      </c>
      <c r="T42" s="627">
        <v>-0.1203842758291274</v>
      </c>
      <c r="U42" s="627">
        <v>-0.1161535515095355</v>
      </c>
      <c r="V42" s="627">
        <v>-0.1015993692639829</v>
      </c>
      <c r="W42" s="627">
        <v>-8.9417288966299344E-2</v>
      </c>
      <c r="X42" s="627">
        <v>-8.9718762625418599E-2</v>
      </c>
      <c r="Y42" s="627">
        <v>-0.102286141885177</v>
      </c>
      <c r="Z42" s="627">
        <v>-0.1053755716563379</v>
      </c>
      <c r="AA42" s="627">
        <v>-0.104041544651745</v>
      </c>
      <c r="AB42" s="627">
        <v>-9.6508105248750642E-2</v>
      </c>
      <c r="AC42" s="627">
        <v>-0.14891556281825671</v>
      </c>
      <c r="AD42" s="627">
        <v>-0.13418040830658701</v>
      </c>
      <c r="AE42" s="627">
        <v>-0.1239858763108944</v>
      </c>
      <c r="AF42" s="627">
        <v>-0.1152456384138002</v>
      </c>
      <c r="AG42" s="627">
        <v>-0.1077391708496372</v>
      </c>
      <c r="AH42" s="627">
        <v>-0.10128024279305869</v>
      </c>
      <c r="AI42" s="627">
        <v>-8.5186173689430128E-2</v>
      </c>
    </row>
    <row r="43" spans="1:43" x14ac:dyDescent="0.4">
      <c r="A43" s="618" t="s">
        <v>351</v>
      </c>
      <c r="B43" s="617">
        <v>0.77033388380979451</v>
      </c>
      <c r="C43" s="617">
        <v>0.8374978330427737</v>
      </c>
      <c r="D43" s="617">
        <v>0.82765999808239621</v>
      </c>
      <c r="E43" s="617">
        <v>0.856293761257788</v>
      </c>
      <c r="F43" s="617">
        <v>0.85922838620868314</v>
      </c>
      <c r="G43" s="617">
        <v>0.91540711918330608</v>
      </c>
      <c r="H43" s="617">
        <v>0.89776766312618561</v>
      </c>
      <c r="I43" s="617">
        <v>0.92873166463322954</v>
      </c>
      <c r="J43" s="617">
        <v>0.89570309560514849</v>
      </c>
      <c r="K43" s="617">
        <v>0.95752465226049832</v>
      </c>
      <c r="L43" s="617">
        <v>0.93116979934722466</v>
      </c>
      <c r="M43" s="617">
        <v>0.92784224270744542</v>
      </c>
      <c r="N43" s="617">
        <v>0.93090542553581279</v>
      </c>
      <c r="O43" s="617">
        <v>0.93191639215084421</v>
      </c>
      <c r="P43" s="617">
        <v>0.93398161426772675</v>
      </c>
      <c r="Q43" s="617">
        <v>0.94369720640041788</v>
      </c>
      <c r="R43" s="617">
        <v>0.92263920067781757</v>
      </c>
      <c r="S43" s="617">
        <v>0.91824775936955527</v>
      </c>
      <c r="T43" s="617">
        <v>0.92293821939513299</v>
      </c>
      <c r="U43" s="617">
        <v>0.91915863058469072</v>
      </c>
      <c r="V43" s="617">
        <v>0.91064161705270996</v>
      </c>
      <c r="W43" s="617">
        <v>0.90175524611009095</v>
      </c>
      <c r="X43" s="617">
        <v>0.88479363957344981</v>
      </c>
      <c r="Y43" s="617">
        <v>0.8909085001771927</v>
      </c>
      <c r="Z43" s="617">
        <v>0.87868202027987041</v>
      </c>
      <c r="AA43" s="617">
        <v>0.87357738202231727</v>
      </c>
      <c r="AB43" s="617">
        <v>0.86065556021329448</v>
      </c>
      <c r="AC43" s="617">
        <v>0.86188266149469994</v>
      </c>
      <c r="AD43" s="617">
        <v>0.86419964386541359</v>
      </c>
      <c r="AE43" s="617">
        <v>0.85578330632554855</v>
      </c>
      <c r="AF43" s="617">
        <v>0.85114438927797265</v>
      </c>
      <c r="AG43" s="617">
        <v>0.85035113745872715</v>
      </c>
      <c r="AH43" s="617">
        <v>0.85055124661284776</v>
      </c>
      <c r="AI43" s="617">
        <v>0.85073269455272593</v>
      </c>
    </row>
    <row r="44" spans="1:43" s="61" customFormat="1" x14ac:dyDescent="0.4">
      <c r="A44" s="619" t="s">
        <v>352</v>
      </c>
      <c r="B44" s="620">
        <v>0.77033388380979451</v>
      </c>
      <c r="C44" s="620">
        <v>0.8374978330427737</v>
      </c>
      <c r="D44" s="620">
        <v>0.82765999808239621</v>
      </c>
      <c r="E44" s="620">
        <v>0.856293761257788</v>
      </c>
      <c r="F44" s="620">
        <v>0.85922838620868314</v>
      </c>
      <c r="G44" s="620">
        <v>0.91540711918330608</v>
      </c>
      <c r="H44" s="620">
        <v>0.89776766312618561</v>
      </c>
      <c r="I44" s="620">
        <v>0.92873166463322954</v>
      </c>
      <c r="J44" s="620">
        <v>0.89570309560514849</v>
      </c>
      <c r="K44" s="620">
        <v>0.95752465226049832</v>
      </c>
      <c r="L44" s="620">
        <v>0.93116979934722466</v>
      </c>
      <c r="M44" s="620">
        <v>0.92784224270744542</v>
      </c>
      <c r="N44" s="620">
        <v>0.93090542553581279</v>
      </c>
      <c r="O44" s="620">
        <v>0.93191639215084421</v>
      </c>
      <c r="P44" s="620">
        <v>0.93398161426772675</v>
      </c>
      <c r="Q44" s="620">
        <v>0.94369720640041788</v>
      </c>
      <c r="R44" s="620">
        <v>0.92263920067781757</v>
      </c>
      <c r="S44" s="620">
        <v>0.91824775936955527</v>
      </c>
      <c r="T44" s="620">
        <v>0.92293821939513299</v>
      </c>
      <c r="U44" s="620">
        <v>0.91915863058469072</v>
      </c>
      <c r="V44" s="620">
        <v>0.91064161705270996</v>
      </c>
      <c r="W44" s="620">
        <v>0.90175524611009095</v>
      </c>
      <c r="X44" s="620">
        <v>0.88479363957344981</v>
      </c>
      <c r="Y44" s="620">
        <v>0.8909085001771927</v>
      </c>
      <c r="Z44" s="620">
        <v>0.87868202027987041</v>
      </c>
      <c r="AA44" s="620">
        <v>0.87357738202231727</v>
      </c>
      <c r="AB44" s="620">
        <v>0.86065556021329448</v>
      </c>
      <c r="AC44" s="620">
        <v>0.86188266149469994</v>
      </c>
      <c r="AD44" s="620">
        <v>0.86419964386541359</v>
      </c>
      <c r="AE44" s="620">
        <v>0.85578330632554855</v>
      </c>
      <c r="AF44" s="620">
        <v>0.85114438927797265</v>
      </c>
      <c r="AG44" s="620">
        <v>0.85035113745872715</v>
      </c>
      <c r="AH44" s="620">
        <v>0.85055124661284776</v>
      </c>
      <c r="AI44" s="620">
        <v>0.85073269455272593</v>
      </c>
    </row>
    <row r="45" spans="1:43" ht="18" x14ac:dyDescent="0.4">
      <c r="A45" s="457" t="s">
        <v>520</v>
      </c>
      <c r="B45" s="458">
        <v>0</v>
      </c>
      <c r="C45" s="458">
        <v>0</v>
      </c>
      <c r="D45" s="458">
        <v>0</v>
      </c>
      <c r="E45" s="458">
        <v>0</v>
      </c>
      <c r="F45" s="458">
        <v>0</v>
      </c>
      <c r="G45" s="458">
        <v>0</v>
      </c>
      <c r="H45" s="458">
        <v>0</v>
      </c>
      <c r="I45" s="458">
        <v>0</v>
      </c>
      <c r="J45" s="458">
        <v>0</v>
      </c>
      <c r="K45" s="458">
        <v>0</v>
      </c>
      <c r="L45" s="458">
        <v>0</v>
      </c>
      <c r="M45" s="458">
        <v>0</v>
      </c>
      <c r="N45" s="458">
        <v>0</v>
      </c>
      <c r="O45" s="458">
        <v>0</v>
      </c>
      <c r="P45" s="458">
        <v>0</v>
      </c>
      <c r="Q45" s="458">
        <v>0</v>
      </c>
      <c r="R45" s="458">
        <v>0</v>
      </c>
      <c r="S45" s="458">
        <v>0</v>
      </c>
      <c r="T45" s="458">
        <v>0</v>
      </c>
      <c r="U45" s="458">
        <v>0</v>
      </c>
      <c r="V45" s="458">
        <v>0</v>
      </c>
      <c r="W45" s="458">
        <v>0</v>
      </c>
      <c r="X45" s="458">
        <v>0</v>
      </c>
      <c r="Y45" s="458">
        <v>0</v>
      </c>
      <c r="Z45" s="458">
        <v>0</v>
      </c>
      <c r="AA45" s="458">
        <v>0</v>
      </c>
      <c r="AB45" s="458">
        <v>0</v>
      </c>
      <c r="AC45" s="458">
        <v>0</v>
      </c>
      <c r="AD45" s="458">
        <v>0</v>
      </c>
      <c r="AE45" s="458">
        <v>0</v>
      </c>
      <c r="AF45" s="458">
        <v>0</v>
      </c>
      <c r="AG45" s="458">
        <v>0</v>
      </c>
      <c r="AH45" s="458">
        <v>0</v>
      </c>
      <c r="AI45" s="458">
        <v>0</v>
      </c>
    </row>
    <row r="46" spans="1:43" x14ac:dyDescent="0.4">
      <c r="A46" s="441" t="s">
        <v>353</v>
      </c>
      <c r="B46" s="613">
        <f>B13+B20+B27+B37+B45</f>
        <v>-5.3487877829931305</v>
      </c>
      <c r="C46" s="613">
        <f t="shared" ref="C46:AI46" si="4">C13+C20+C27+C37+C45</f>
        <v>-5.328334370716961</v>
      </c>
      <c r="D46" s="613">
        <f t="shared" si="4"/>
        <v>-5.3684794206469535</v>
      </c>
      <c r="E46" s="613">
        <f t="shared" si="4"/>
        <v>-5.4869262812256645</v>
      </c>
      <c r="F46" s="613">
        <f t="shared" si="4"/>
        <v>-5.6076702215884824</v>
      </c>
      <c r="G46" s="613">
        <f t="shared" si="4"/>
        <v>-5.5951893911231476</v>
      </c>
      <c r="H46" s="613">
        <f t="shared" si="4"/>
        <v>-5.7330986170509561</v>
      </c>
      <c r="I46" s="613">
        <f t="shared" si="4"/>
        <v>-5.75577257436818</v>
      </c>
      <c r="J46" s="613">
        <f t="shared" si="4"/>
        <v>-5.914459939095452</v>
      </c>
      <c r="K46" s="613">
        <f t="shared" si="4"/>
        <v>-5.8985754590119379</v>
      </c>
      <c r="L46" s="613">
        <f t="shared" si="4"/>
        <v>-5.9293499000776775</v>
      </c>
      <c r="M46" s="613">
        <f t="shared" si="4"/>
        <v>-6.0493211385906447</v>
      </c>
      <c r="N46" s="613">
        <f t="shared" si="4"/>
        <v>-6.1226946036869023</v>
      </c>
      <c r="O46" s="613">
        <f t="shared" si="4"/>
        <v>-6.1881133600354907</v>
      </c>
      <c r="P46" s="613">
        <f t="shared" si="4"/>
        <v>-6.2933241442149468</v>
      </c>
      <c r="Q46" s="613">
        <f t="shared" si="4"/>
        <v>-6.3624206687554405</v>
      </c>
      <c r="R46" s="613">
        <f t="shared" si="4"/>
        <v>-6.439494779550512</v>
      </c>
      <c r="S46" s="613">
        <f t="shared" si="4"/>
        <v>-6.4587287737370103</v>
      </c>
      <c r="T46" s="613">
        <f t="shared" si="4"/>
        <v>-6.6083329100549406</v>
      </c>
      <c r="U46" s="613">
        <f t="shared" si="4"/>
        <v>-6.6536386204230853</v>
      </c>
      <c r="V46" s="613">
        <f t="shared" si="4"/>
        <v>-6.725962480764248</v>
      </c>
      <c r="W46" s="613">
        <f t="shared" si="4"/>
        <v>-6.8161015211699647</v>
      </c>
      <c r="X46" s="613">
        <f t="shared" si="4"/>
        <v>-6.8388422036135852</v>
      </c>
      <c r="Y46" s="613">
        <f t="shared" si="4"/>
        <v>-6.8354276125868578</v>
      </c>
      <c r="Z46" s="613">
        <f t="shared" si="4"/>
        <v>-6.9505800796165076</v>
      </c>
      <c r="AA46" s="613">
        <f t="shared" si="4"/>
        <v>-6.9767227242494245</v>
      </c>
      <c r="AB46" s="613">
        <f t="shared" si="4"/>
        <v>-7.0038372677369365</v>
      </c>
      <c r="AC46" s="613">
        <f t="shared" si="4"/>
        <v>-7.0756500775264337</v>
      </c>
      <c r="AD46" s="613">
        <f t="shared" si="4"/>
        <v>-7.0555686056797233</v>
      </c>
      <c r="AE46" s="613">
        <f t="shared" si="4"/>
        <v>-7.0953474125749576</v>
      </c>
      <c r="AF46" s="613">
        <f t="shared" si="4"/>
        <v>-7.1022409412767535</v>
      </c>
      <c r="AG46" s="613">
        <f t="shared" si="4"/>
        <v>-7.0557450885422552</v>
      </c>
      <c r="AH46" s="613">
        <f t="shared" si="4"/>
        <v>-7.0355100500407168</v>
      </c>
      <c r="AI46" s="613">
        <f t="shared" si="4"/>
        <v>-7.014866458760217</v>
      </c>
    </row>
    <row r="47" spans="1:43" x14ac:dyDescent="0.4">
      <c r="A47" s="1055" t="s">
        <v>1063</v>
      </c>
      <c r="B47" s="1055"/>
      <c r="C47" s="1055"/>
      <c r="D47" s="1055"/>
      <c r="E47" s="1055"/>
      <c r="F47" s="1055"/>
      <c r="G47" s="1055"/>
      <c r="H47" s="1055"/>
      <c r="I47" s="1055"/>
      <c r="J47" s="1055"/>
      <c r="K47" s="1055"/>
      <c r="L47" s="1055"/>
      <c r="M47" s="1055"/>
      <c r="N47" s="1055"/>
      <c r="O47" s="1055"/>
      <c r="P47" s="1055"/>
      <c r="Q47" s="1055"/>
      <c r="R47" s="1055"/>
      <c r="S47" s="1055"/>
      <c r="T47" s="1055"/>
      <c r="U47" s="1055"/>
      <c r="V47" s="1055"/>
      <c r="W47" s="1055"/>
      <c r="X47" s="1055"/>
      <c r="Y47" s="1055"/>
      <c r="Z47" s="1055"/>
      <c r="AA47" s="1055"/>
      <c r="AB47" s="1055"/>
      <c r="AC47" s="1055"/>
      <c r="AD47" s="1055"/>
      <c r="AE47" s="1055"/>
      <c r="AF47" s="1055"/>
      <c r="AG47" s="1055"/>
      <c r="AH47" s="1055"/>
      <c r="AI47" s="1055"/>
      <c r="AQ47" s="329"/>
    </row>
    <row r="48" spans="1:43" x14ac:dyDescent="0.4">
      <c r="A48" s="12"/>
      <c r="AB48" s="459"/>
      <c r="AC48" s="459"/>
      <c r="AQ48" s="329"/>
    </row>
    <row r="49" spans="1:43" x14ac:dyDescent="0.4">
      <c r="A49" s="58" t="s">
        <v>489</v>
      </c>
      <c r="B49" s="1099"/>
      <c r="AB49" s="459"/>
      <c r="AC49" s="459"/>
      <c r="AQ49" s="329"/>
    </row>
    <row r="50" spans="1:43" ht="18" x14ac:dyDescent="0.4">
      <c r="A50" s="56" t="s">
        <v>483</v>
      </c>
      <c r="AD50" s="3"/>
      <c r="AE50" s="3"/>
      <c r="AF50" s="3"/>
    </row>
    <row r="51" spans="1:43" x14ac:dyDescent="0.4">
      <c r="A51" s="460" t="s">
        <v>368</v>
      </c>
      <c r="B51" s="460"/>
      <c r="AD51" s="3"/>
      <c r="AE51" s="3"/>
      <c r="AF51" s="3"/>
    </row>
    <row r="52" spans="1:43" ht="18" x14ac:dyDescent="0.4">
      <c r="A52" s="461" t="s">
        <v>484</v>
      </c>
      <c r="AD52" s="3"/>
      <c r="AE52" s="3"/>
      <c r="AF52" s="3"/>
    </row>
    <row r="53" spans="1:43" ht="18" x14ac:dyDescent="0.4">
      <c r="A53" s="461" t="s">
        <v>485</v>
      </c>
      <c r="AD53" s="3"/>
      <c r="AE53" s="3"/>
      <c r="AF53" s="3"/>
    </row>
    <row r="54" spans="1:43" ht="18" x14ac:dyDescent="0.4">
      <c r="A54" s="461" t="s">
        <v>486</v>
      </c>
      <c r="AD54" s="3"/>
      <c r="AE54" s="3"/>
      <c r="AF54" s="3"/>
    </row>
    <row r="55" spans="1:43" x14ac:dyDescent="0.4">
      <c r="A55" s="201" t="s">
        <v>516</v>
      </c>
      <c r="B55" s="462"/>
      <c r="AB55" s="459"/>
      <c r="AC55" s="459"/>
    </row>
    <row r="56" spans="1:43" x14ac:dyDescent="0.4">
      <c r="A56" s="463" t="s">
        <v>354</v>
      </c>
      <c r="AB56" s="459"/>
      <c r="AC56" s="459"/>
    </row>
    <row r="57" spans="1:43" x14ac:dyDescent="0.4">
      <c r="A57" s="463" t="s">
        <v>355</v>
      </c>
      <c r="AB57" s="459"/>
      <c r="AC57" s="459"/>
    </row>
    <row r="58" spans="1:43" x14ac:dyDescent="0.4">
      <c r="A58" s="463" t="s">
        <v>356</v>
      </c>
      <c r="AB58" s="459"/>
      <c r="AC58" s="459"/>
    </row>
    <row r="59" spans="1:43" s="42" customFormat="1" ht="17" x14ac:dyDescent="0.4">
      <c r="A59" s="1430" t="s">
        <v>1346</v>
      </c>
      <c r="B59" s="475"/>
      <c r="C59" s="475"/>
      <c r="D59" s="475"/>
      <c r="E59" s="475"/>
      <c r="F59" s="475"/>
      <c r="G59" s="475"/>
      <c r="H59" s="475"/>
      <c r="I59" s="475"/>
      <c r="J59" s="475"/>
      <c r="K59" s="475"/>
      <c r="L59" s="475"/>
      <c r="M59" s="475"/>
      <c r="N59" s="475"/>
      <c r="O59" s="475"/>
      <c r="P59" s="475"/>
      <c r="Q59" s="475"/>
      <c r="R59" s="475"/>
      <c r="S59" s="475"/>
      <c r="T59" s="475"/>
      <c r="U59" s="475"/>
      <c r="V59" s="475"/>
      <c r="W59" s="475"/>
      <c r="X59" s="475"/>
      <c r="Y59" s="475"/>
      <c r="Z59" s="475"/>
      <c r="AA59" s="475"/>
      <c r="AB59" s="475"/>
      <c r="AC59" s="475"/>
      <c r="AD59" s="475"/>
      <c r="AE59" s="475"/>
      <c r="AF59" s="475"/>
      <c r="AG59" s="475"/>
      <c r="AH59" s="475"/>
      <c r="AI59" s="474"/>
      <c r="AJ59" s="3"/>
    </row>
    <row r="60" spans="1:43" s="42" customFormat="1" x14ac:dyDescent="0.4">
      <c r="A60" s="472" t="s">
        <v>488</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474"/>
      <c r="AJ60" s="3"/>
    </row>
    <row r="61" spans="1:43" s="42" customFormat="1" x14ac:dyDescent="0.4">
      <c r="A61" s="5" t="s">
        <v>487</v>
      </c>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474"/>
      <c r="AJ61" s="3"/>
    </row>
    <row r="62" spans="1:43" x14ac:dyDescent="0.4">
      <c r="A62" s="465"/>
      <c r="B62" s="465"/>
      <c r="C62" s="466"/>
      <c r="AB62" s="459"/>
      <c r="AC62" s="459"/>
    </row>
    <row r="63" spans="1:43" x14ac:dyDescent="0.4">
      <c r="A63" s="395" t="s">
        <v>1064</v>
      </c>
      <c r="B63" s="467"/>
      <c r="C63" s="466"/>
      <c r="AB63" s="459"/>
      <c r="AC63" s="459"/>
    </row>
    <row r="64" spans="1:43" x14ac:dyDescent="0.4">
      <c r="A64" s="1275" t="s">
        <v>1065</v>
      </c>
      <c r="B64" s="465"/>
      <c r="C64" s="466"/>
      <c r="AB64" s="459"/>
      <c r="AC64" s="459"/>
    </row>
    <row r="65" spans="1:29" x14ac:dyDescent="0.4">
      <c r="A65" s="465"/>
      <c r="B65" s="465"/>
      <c r="C65" s="466"/>
      <c r="AB65" s="459"/>
      <c r="AC65" s="459"/>
    </row>
    <row r="66" spans="1:29" x14ac:dyDescent="0.4">
      <c r="A66" s="468"/>
      <c r="B66" s="468"/>
      <c r="C66" s="466"/>
      <c r="AB66" s="459"/>
      <c r="AC66" s="459"/>
    </row>
    <row r="67" spans="1:29" x14ac:dyDescent="0.4">
      <c r="A67" s="467"/>
      <c r="B67" s="467"/>
      <c r="C67" s="466"/>
      <c r="AB67" s="459"/>
      <c r="AC67" s="459"/>
    </row>
    <row r="68" spans="1:29" x14ac:dyDescent="0.4">
      <c r="A68" s="465"/>
      <c r="B68" s="465"/>
      <c r="C68" s="466"/>
      <c r="AB68" s="459"/>
      <c r="AC68" s="459"/>
    </row>
    <row r="69" spans="1:29" x14ac:dyDescent="0.4">
      <c r="A69" s="465"/>
      <c r="B69" s="465"/>
      <c r="C69" s="466"/>
      <c r="AB69" s="459"/>
      <c r="AC69" s="459"/>
    </row>
    <row r="70" spans="1:29" x14ac:dyDescent="0.4">
      <c r="A70" s="465"/>
      <c r="B70" s="465"/>
      <c r="C70" s="466"/>
      <c r="AB70" s="459"/>
      <c r="AC70" s="459"/>
    </row>
    <row r="71" spans="1:29" x14ac:dyDescent="0.4">
      <c r="A71" s="465"/>
      <c r="B71" s="465"/>
      <c r="C71" s="466"/>
      <c r="AB71" s="459"/>
      <c r="AC71" s="459"/>
    </row>
    <row r="72" spans="1:29" x14ac:dyDescent="0.4">
      <c r="A72" s="467"/>
      <c r="B72" s="467"/>
      <c r="C72" s="466"/>
      <c r="AB72" s="459"/>
      <c r="AC72" s="459"/>
    </row>
    <row r="73" spans="1:29" x14ac:dyDescent="0.4">
      <c r="A73" s="465"/>
      <c r="B73" s="465"/>
      <c r="C73" s="466"/>
      <c r="AB73" s="459"/>
      <c r="AC73" s="459"/>
    </row>
    <row r="74" spans="1:29" x14ac:dyDescent="0.4">
      <c r="A74" s="104"/>
      <c r="B74" s="104"/>
      <c r="C74" s="469"/>
      <c r="AB74" s="459"/>
      <c r="AC74" s="459"/>
    </row>
    <row r="75" spans="1:29" x14ac:dyDescent="0.4">
      <c r="A75" s="464"/>
      <c r="B75" s="464"/>
      <c r="C75" s="470"/>
      <c r="AB75" s="459"/>
      <c r="AC75" s="459"/>
    </row>
    <row r="76" spans="1:29" x14ac:dyDescent="0.4">
      <c r="A76" s="464"/>
      <c r="B76" s="464"/>
      <c r="C76" s="470"/>
      <c r="AB76" s="459"/>
      <c r="AC76" s="459"/>
    </row>
    <row r="77" spans="1:29" x14ac:dyDescent="0.4">
      <c r="A77" s="445"/>
      <c r="B77" s="445"/>
      <c r="C77" s="446"/>
      <c r="AB77" s="459"/>
      <c r="AC77" s="459"/>
    </row>
    <row r="78" spans="1:29" x14ac:dyDescent="0.4">
      <c r="AB78" s="459"/>
      <c r="AC78" s="459"/>
    </row>
  </sheetData>
  <hyperlinks>
    <hyperlink ref="A56" r:id="rId1" xr:uid="{2986DB11-01BC-410C-B84A-3E317A72C071}"/>
    <hyperlink ref="A57" r:id="rId2" xr:uid="{81200EBC-6385-47C6-8908-64ADF27BF3A1}"/>
    <hyperlink ref="A58" r:id="rId3" display="Inventory of U.S. Greenhouse Gas Emissions and Sinks: 1990-2021" xr:uid="{8C5D78EE-5A63-4192-A18B-B386F8A5772F}"/>
    <hyperlink ref="A61" r:id="rId4" display="https://www.epa.gov/ghgemissions/state-ghg-emissions-and-removals" xr:uid="{FA0AE587-E09C-4F6B-B940-D88189362FD7}"/>
    <hyperlink ref="A2" location="Contents!A1" display="Return to Contents tab" xr:uid="{073FEF64-26C9-40C9-8690-ABF65D5BF014}"/>
    <hyperlink ref="A3" location="'Natural and Working Lands'!A5" display="Go to Data on Natural and Working Lands Worksheet" xr:uid="{71419851-FECF-444F-A1F4-13910666E067}"/>
  </hyperlinks>
  <pageMargins left="0.7" right="0.7" top="0.75" bottom="0.75" header="0.3" footer="0.3"/>
  <pageSetup scale="26" orientation="landscape" r:id="rId5"/>
  <tableParts count="2">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10"/>
  <sheetViews>
    <sheetView zoomScaleNormal="100" workbookViewId="0">
      <pane xSplit="1" topLeftCell="B1" activePane="topRight" state="frozen"/>
      <selection pane="topRight"/>
    </sheetView>
  </sheetViews>
  <sheetFormatPr defaultColWidth="8.81640625" defaultRowHeight="16" x14ac:dyDescent="0.4"/>
  <cols>
    <col min="1" max="1" width="86.7265625" style="1320" customWidth="1"/>
    <col min="2" max="16384" width="8.81640625" style="1320"/>
  </cols>
  <sheetData>
    <row r="1" spans="1:1" ht="21" x14ac:dyDescent="0.4">
      <c r="A1" s="1098" t="s">
        <v>1073</v>
      </c>
    </row>
    <row r="2" spans="1:1" x14ac:dyDescent="0.4">
      <c r="A2" s="1011" t="s">
        <v>730</v>
      </c>
    </row>
    <row r="4" spans="1:1" x14ac:dyDescent="0.4">
      <c r="A4" s="467" t="s">
        <v>1143</v>
      </c>
    </row>
    <row r="5" spans="1:1" x14ac:dyDescent="0.4">
      <c r="A5" s="330" t="s">
        <v>1148</v>
      </c>
    </row>
    <row r="6" spans="1:1" x14ac:dyDescent="0.4">
      <c r="A6" s="330" t="s">
        <v>1149</v>
      </c>
    </row>
    <row r="7" spans="1:1" x14ac:dyDescent="0.4">
      <c r="A7" s="1338" t="s">
        <v>1150</v>
      </c>
    </row>
    <row r="26" spans="1:1" x14ac:dyDescent="0.4">
      <c r="A26" s="467" t="s">
        <v>1144</v>
      </c>
    </row>
    <row r="27" spans="1:1" x14ac:dyDescent="0.4">
      <c r="A27" s="1338" t="s">
        <v>1151</v>
      </c>
    </row>
    <row r="28" spans="1:1" x14ac:dyDescent="0.4">
      <c r="A28" s="1338" t="s">
        <v>1152</v>
      </c>
    </row>
    <row r="29" spans="1:1" x14ac:dyDescent="0.4">
      <c r="A29" s="1338" t="s">
        <v>1153</v>
      </c>
    </row>
    <row r="32" spans="1:1" x14ac:dyDescent="0.4">
      <c r="A32" s="330"/>
    </row>
    <row r="48" spans="1:1" x14ac:dyDescent="0.4">
      <c r="A48" s="467" t="s">
        <v>1145</v>
      </c>
    </row>
    <row r="49" spans="1:1" x14ac:dyDescent="0.4">
      <c r="A49" s="1324" t="s">
        <v>1154</v>
      </c>
    </row>
    <row r="50" spans="1:1" x14ac:dyDescent="0.4">
      <c r="A50" s="1324" t="s">
        <v>1155</v>
      </c>
    </row>
    <row r="72" spans="1:1" x14ac:dyDescent="0.4">
      <c r="A72" s="467" t="s">
        <v>1146</v>
      </c>
    </row>
    <row r="73" spans="1:1" ht="17" x14ac:dyDescent="0.45">
      <c r="A73" s="1396" t="s">
        <v>1288</v>
      </c>
    </row>
    <row r="89" spans="1:1" x14ac:dyDescent="0.4">
      <c r="A89" s="467" t="s">
        <v>1147</v>
      </c>
    </row>
    <row r="90" spans="1:1" ht="17" x14ac:dyDescent="0.4">
      <c r="A90" s="330" t="s">
        <v>1403</v>
      </c>
    </row>
    <row r="91" spans="1:1" x14ac:dyDescent="0.4">
      <c r="A91" s="330" t="s">
        <v>1156</v>
      </c>
    </row>
    <row r="110" spans="1:1" x14ac:dyDescent="0.4">
      <c r="A110" s="1321" t="s">
        <v>1064</v>
      </c>
    </row>
  </sheetData>
  <hyperlinks>
    <hyperlink ref="A2" location="Contents!A1" display="Return to Contents tab" xr:uid="{85908185-9B43-4811-8721-37A29D678226}"/>
  </hyperlinks>
  <pageMargins left="0.2" right="0.2" top="0.75" bottom="0.75" header="0.3" footer="0.3"/>
  <pageSetup scale="29" orientation="landscape" r:id="rId1"/>
  <headerFooter>
    <oddFooter>&amp;L&amp;F&amp;A&amp;RPage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P86"/>
  <sheetViews>
    <sheetView zoomScaleNormal="100" zoomScaleSheetLayoutView="30" workbookViewId="0">
      <pane xSplit="1" topLeftCell="B1" activePane="topRight" state="frozen"/>
      <selection pane="topRight"/>
    </sheetView>
  </sheetViews>
  <sheetFormatPr defaultColWidth="8.81640625" defaultRowHeight="16" x14ac:dyDescent="0.4"/>
  <cols>
    <col min="1" max="1" width="66.1796875" style="3" customWidth="1"/>
    <col min="2" max="2" width="19.1796875" style="3" customWidth="1"/>
    <col min="3" max="34" width="8.26953125" style="3" customWidth="1"/>
    <col min="35" max="35" width="8.81640625" style="3" customWidth="1"/>
    <col min="36" max="39" width="8.26953125" style="3" customWidth="1"/>
    <col min="40" max="40" width="11.453125" style="3" bestFit="1" customWidth="1"/>
    <col min="41" max="41" width="9" style="3" customWidth="1"/>
    <col min="42" max="42" width="13.1796875" style="3" customWidth="1"/>
    <col min="43" max="43" width="10.81640625" style="3" customWidth="1"/>
    <col min="44" max="44" width="12.453125" style="3" customWidth="1"/>
    <col min="45" max="45" width="10" style="3" customWidth="1"/>
    <col min="46" max="46" width="13.1796875" style="3" customWidth="1"/>
    <col min="47" max="47" width="10.81640625" style="3" customWidth="1"/>
    <col min="48" max="48" width="14.54296875" style="3" customWidth="1"/>
    <col min="49" max="49" width="8.81640625" style="3"/>
    <col min="50" max="50" width="13.1796875" style="3" customWidth="1"/>
    <col min="51" max="51" width="10.81640625" style="3" customWidth="1"/>
    <col min="52" max="52" width="17.26953125" style="3" customWidth="1"/>
    <col min="53" max="16384" width="8.81640625" style="3"/>
  </cols>
  <sheetData>
    <row r="1" spans="1:1" ht="21" x14ac:dyDescent="0.5">
      <c r="A1" s="332" t="s">
        <v>751</v>
      </c>
    </row>
    <row r="2" spans="1:1" ht="15.75" customHeight="1" x14ac:dyDescent="0.4">
      <c r="A2" s="1011" t="s">
        <v>730</v>
      </c>
    </row>
    <row r="3" spans="1:1" ht="15.75" customHeight="1" x14ac:dyDescent="0.4">
      <c r="A3" s="1011" t="s">
        <v>897</v>
      </c>
    </row>
    <row r="4" spans="1:1" ht="15.75" customHeight="1" x14ac:dyDescent="0.4">
      <c r="A4" s="1052"/>
    </row>
    <row r="5" spans="1:1" ht="15.75" customHeight="1" x14ac:dyDescent="0.4">
      <c r="A5" s="108" t="s">
        <v>1126</v>
      </c>
    </row>
    <row r="6" spans="1:1" ht="15.75" customHeight="1" x14ac:dyDescent="0.4">
      <c r="A6" s="330" t="s">
        <v>977</v>
      </c>
    </row>
    <row r="7" spans="1:1" ht="15.75" customHeight="1" x14ac:dyDescent="0.4">
      <c r="A7" s="330" t="s">
        <v>978</v>
      </c>
    </row>
    <row r="8" spans="1:1" ht="15.75" customHeight="1" x14ac:dyDescent="0.4">
      <c r="A8" s="1318"/>
    </row>
    <row r="9" spans="1:1" ht="15.75" customHeight="1" x14ac:dyDescent="0.4">
      <c r="A9" s="1303"/>
    </row>
    <row r="10" spans="1:1" ht="15.75" customHeight="1" x14ac:dyDescent="0.4">
      <c r="A10" s="1318"/>
    </row>
    <row r="11" spans="1:1" ht="15.75" customHeight="1" x14ac:dyDescent="0.4">
      <c r="A11" s="1303"/>
    </row>
    <row r="12" spans="1:1" ht="15.75" customHeight="1" x14ac:dyDescent="0.4">
      <c r="A12" s="1303"/>
    </row>
    <row r="13" spans="1:1" ht="15.75" customHeight="1" x14ac:dyDescent="0.4">
      <c r="A13" s="1303"/>
    </row>
    <row r="14" spans="1:1" ht="15.75" customHeight="1" x14ac:dyDescent="0.4">
      <c r="A14" s="1303"/>
    </row>
    <row r="15" spans="1:1" ht="15.75" customHeight="1" x14ac:dyDescent="0.4">
      <c r="A15" s="1303"/>
    </row>
    <row r="16" spans="1:1" ht="15.75" customHeight="1" x14ac:dyDescent="0.4">
      <c r="A16" s="1303"/>
    </row>
    <row r="17" spans="1:50" ht="15.75" customHeight="1" x14ac:dyDescent="0.4">
      <c r="A17" s="1303"/>
    </row>
    <row r="18" spans="1:50" ht="15.75" customHeight="1" x14ac:dyDescent="0.4">
      <c r="A18" s="1303"/>
    </row>
    <row r="19" spans="1:50" ht="15.75" customHeight="1" x14ac:dyDescent="0.4">
      <c r="A19" s="1303"/>
    </row>
    <row r="20" spans="1:50" ht="15.75" customHeight="1" x14ac:dyDescent="0.4">
      <c r="A20" s="108" t="s">
        <v>1127</v>
      </c>
      <c r="AN20" s="1273" t="s">
        <v>979</v>
      </c>
      <c r="AR20" s="1273" t="s">
        <v>980</v>
      </c>
      <c r="AV20" s="196" t="s">
        <v>982</v>
      </c>
    </row>
    <row r="21" spans="1:50" ht="15.75" customHeight="1" x14ac:dyDescent="0.45">
      <c r="A21" s="56" t="s">
        <v>979</v>
      </c>
      <c r="AN21" s="1366" t="s">
        <v>1189</v>
      </c>
      <c r="AO21" s="1324" t="s">
        <v>1137</v>
      </c>
      <c r="AP21" s="1324" t="s">
        <v>670</v>
      </c>
      <c r="AR21" s="1366" t="s">
        <v>1189</v>
      </c>
      <c r="AS21" s="1324" t="s">
        <v>1137</v>
      </c>
      <c r="AT21" s="1324" t="s">
        <v>670</v>
      </c>
      <c r="AV21" s="1366" t="s">
        <v>1189</v>
      </c>
      <c r="AW21" s="1324" t="s">
        <v>1137</v>
      </c>
      <c r="AX21" s="1324" t="s">
        <v>670</v>
      </c>
    </row>
    <row r="22" spans="1:50" ht="15.75" customHeight="1" x14ac:dyDescent="0.4">
      <c r="A22" s="196" t="s">
        <v>981</v>
      </c>
      <c r="AN22" s="1112">
        <f t="shared" ref="AN22:AN28" si="0">AI50</f>
        <v>22.473216971138029</v>
      </c>
      <c r="AO22" s="334">
        <f t="shared" ref="AO22:AO28" si="1">AN22/$AN$29</f>
        <v>0.34499971599028617</v>
      </c>
      <c r="AP22" s="660" t="s">
        <v>1</v>
      </c>
      <c r="AR22" s="1112">
        <f>Summary!AI68</f>
        <v>11.260706072606789</v>
      </c>
      <c r="AS22" s="334">
        <f t="shared" ref="AS22:AS31" si="2">AR22/$AR$31</f>
        <v>0.17286979438185446</v>
      </c>
      <c r="AT22" s="196" t="s">
        <v>14</v>
      </c>
      <c r="AV22" s="1113">
        <f>Summary!B68</f>
        <v>28.162431330116149</v>
      </c>
      <c r="AW22" s="334">
        <f t="shared" ref="AW22:AW31" si="3">AV22/$AV$31</f>
        <v>0.3028053634143586</v>
      </c>
      <c r="AX22" s="196" t="s">
        <v>14</v>
      </c>
    </row>
    <row r="23" spans="1:50" ht="15.75" customHeight="1" x14ac:dyDescent="0.4">
      <c r="A23" s="56" t="s">
        <v>980</v>
      </c>
      <c r="AN23" s="1112">
        <f t="shared" si="0"/>
        <v>11.260706072606789</v>
      </c>
      <c r="AO23" s="334">
        <f t="shared" si="1"/>
        <v>0.17286979438185446</v>
      </c>
      <c r="AP23" s="660" t="s">
        <v>2</v>
      </c>
      <c r="AR23" s="1112">
        <f>Summary!AI69</f>
        <v>26.290528324068958</v>
      </c>
      <c r="AS23" s="334">
        <f t="shared" si="2"/>
        <v>0.40360153229006335</v>
      </c>
      <c r="AT23" s="196" t="s">
        <v>15</v>
      </c>
      <c r="AV23" s="1113">
        <f>Summary!B69</f>
        <v>29.581745501205152</v>
      </c>
      <c r="AW23" s="334">
        <f t="shared" si="3"/>
        <v>0.3180659756227997</v>
      </c>
      <c r="AX23" s="196" t="s">
        <v>15</v>
      </c>
    </row>
    <row r="24" spans="1:50" ht="15.75" customHeight="1" x14ac:dyDescent="0.4">
      <c r="A24" s="196" t="s">
        <v>982</v>
      </c>
      <c r="AN24" s="1112">
        <f t="shared" si="0"/>
        <v>26.290528324068958</v>
      </c>
      <c r="AO24" s="334">
        <f t="shared" si="1"/>
        <v>0.40360153229006335</v>
      </c>
      <c r="AP24" s="660" t="s">
        <v>3</v>
      </c>
      <c r="AR24" s="1112">
        <f>Summary!AI70</f>
        <v>10.62414294075</v>
      </c>
      <c r="AS24" s="334">
        <f t="shared" si="2"/>
        <v>0.16309753525302007</v>
      </c>
      <c r="AT24" s="196" t="s">
        <v>16</v>
      </c>
      <c r="AV24" s="1113">
        <f>Summary!B70</f>
        <v>14.055381766855493</v>
      </c>
      <c r="AW24" s="334">
        <f t="shared" si="3"/>
        <v>0.15112491297187566</v>
      </c>
      <c r="AX24" s="196" t="s">
        <v>16</v>
      </c>
    </row>
    <row r="25" spans="1:50" ht="15.75" customHeight="1" x14ac:dyDescent="0.4">
      <c r="AN25" s="1112">
        <f t="shared" si="0"/>
        <v>0.70636312077249752</v>
      </c>
      <c r="AO25" s="334">
        <f t="shared" si="1"/>
        <v>1.0843800260794763E-2</v>
      </c>
      <c r="AP25" s="1114" t="s">
        <v>4</v>
      </c>
      <c r="AR25" s="1112">
        <f>Summary!AI71</f>
        <v>11.849074030388028</v>
      </c>
      <c r="AS25" s="334">
        <f t="shared" si="2"/>
        <v>0.18190218073726608</v>
      </c>
      <c r="AT25" s="196" t="s">
        <v>17</v>
      </c>
      <c r="AV25" s="1113">
        <f>Summary!B71</f>
        <v>15.31365040534536</v>
      </c>
      <c r="AW25" s="334">
        <f t="shared" si="3"/>
        <v>0.16465394702027372</v>
      </c>
      <c r="AX25" s="196" t="s">
        <v>17</v>
      </c>
    </row>
    <row r="26" spans="1:50" ht="15.75" customHeight="1" x14ac:dyDescent="0.4">
      <c r="A26" s="1324" t="s">
        <v>1138</v>
      </c>
      <c r="AN26" s="1112">
        <f t="shared" si="0"/>
        <v>3.5821232543038848</v>
      </c>
      <c r="AO26" s="334">
        <f t="shared" si="1"/>
        <v>5.4991303958138137E-2</v>
      </c>
      <c r="AP26" s="1114" t="s">
        <v>5</v>
      </c>
      <c r="AR26" s="1112">
        <f>Summary!AI72</f>
        <v>3.5821232543038848</v>
      </c>
      <c r="AS26" s="334">
        <f t="shared" si="2"/>
        <v>5.4991303958138137E-2</v>
      </c>
      <c r="AT26" s="196" t="s">
        <v>5</v>
      </c>
      <c r="AV26" s="1113">
        <f>Summary!B72</f>
        <v>0.65625199051509786</v>
      </c>
      <c r="AW26" s="334">
        <f t="shared" si="3"/>
        <v>7.0560890198005802E-3</v>
      </c>
      <c r="AX26" s="196" t="s">
        <v>5</v>
      </c>
    </row>
    <row r="27" spans="1:50" ht="15.75" customHeight="1" x14ac:dyDescent="0.4">
      <c r="A27" s="1331" t="s">
        <v>979</v>
      </c>
      <c r="AN27" s="1112">
        <f t="shared" si="0"/>
        <v>0.25654006769458504</v>
      </c>
      <c r="AO27" s="334">
        <f t="shared" si="1"/>
        <v>3.9382991143825869E-3</v>
      </c>
      <c r="AP27" s="1114" t="s">
        <v>6</v>
      </c>
      <c r="AR27" s="1112">
        <f>Summary!AI73</f>
        <v>0.60731598850412949</v>
      </c>
      <c r="AS27" s="334">
        <f t="shared" si="2"/>
        <v>9.3232688412777081E-3</v>
      </c>
      <c r="AT27" s="196" t="s">
        <v>18</v>
      </c>
      <c r="AV27" s="1113">
        <f>Summary!B73</f>
        <v>1.6981171446349697</v>
      </c>
      <c r="AW27" s="334">
        <f t="shared" si="3"/>
        <v>1.8258330506836402E-2</v>
      </c>
      <c r="AX27" s="196" t="s">
        <v>18</v>
      </c>
    </row>
    <row r="28" spans="1:50" ht="15.75" customHeight="1" x14ac:dyDescent="0.4">
      <c r="A28" s="1303" t="s">
        <v>981</v>
      </c>
      <c r="AN28" s="1112">
        <f t="shared" si="0"/>
        <v>0.57033515022009018</v>
      </c>
      <c r="AO28" s="334">
        <f t="shared" si="1"/>
        <v>8.7555540044805709E-3</v>
      </c>
      <c r="AP28" s="1114" t="s">
        <v>7</v>
      </c>
      <c r="AR28" s="1112">
        <f>Summary!AI74</f>
        <v>9.9047132268368018E-2</v>
      </c>
      <c r="AS28" s="334">
        <f t="shared" si="2"/>
        <v>1.5205314195170549E-3</v>
      </c>
      <c r="AT28" s="196" t="s">
        <v>19</v>
      </c>
      <c r="AV28" s="1113">
        <f>Summary!B74</f>
        <v>0.16964798123063266</v>
      </c>
      <c r="AW28" s="334">
        <f t="shared" si="3"/>
        <v>1.8240725740934153E-3</v>
      </c>
      <c r="AX28" s="196" t="s">
        <v>19</v>
      </c>
    </row>
    <row r="29" spans="1:50" ht="15.75" customHeight="1" x14ac:dyDescent="0.4">
      <c r="A29" s="1324" t="s">
        <v>1139</v>
      </c>
      <c r="AN29" s="281">
        <f>SUM(AN22:AN28)</f>
        <v>65.139812960804832</v>
      </c>
      <c r="AO29" s="334">
        <f>SUM(AO22:AO28)</f>
        <v>1</v>
      </c>
      <c r="AP29" s="56" t="s">
        <v>20</v>
      </c>
      <c r="AR29" s="1112">
        <f>Summary!AI75</f>
        <v>0.25654006769458504</v>
      </c>
      <c r="AS29" s="334">
        <f t="shared" si="2"/>
        <v>3.9382991143825869E-3</v>
      </c>
      <c r="AT29" s="196" t="s">
        <v>8</v>
      </c>
      <c r="AV29" s="1113">
        <f>Summary!B75</f>
        <v>0.44610076900597256</v>
      </c>
      <c r="AW29" s="334">
        <f t="shared" si="3"/>
        <v>4.7965214329284706E-3</v>
      </c>
      <c r="AX29" s="196" t="s">
        <v>8</v>
      </c>
    </row>
    <row r="30" spans="1:50" ht="15.75" customHeight="1" x14ac:dyDescent="0.4">
      <c r="A30" s="1331" t="s">
        <v>980</v>
      </c>
      <c r="AN30" s="1324" t="s">
        <v>1111</v>
      </c>
      <c r="AR30" s="1112">
        <f>Summary!AI76</f>
        <v>0.57033515022009018</v>
      </c>
      <c r="AS30" s="334">
        <f t="shared" si="2"/>
        <v>8.7555540044805709E-3</v>
      </c>
      <c r="AT30" s="196" t="s">
        <v>7</v>
      </c>
      <c r="AV30" s="1113">
        <f>Summary!B76</f>
        <v>2.921734225476742</v>
      </c>
      <c r="AW30" s="334">
        <f t="shared" si="3"/>
        <v>3.1414787437033603E-2</v>
      </c>
      <c r="AX30" s="196" t="s">
        <v>7</v>
      </c>
    </row>
    <row r="31" spans="1:50" ht="15.75" customHeight="1" x14ac:dyDescent="0.4">
      <c r="A31" s="1324" t="s">
        <v>1140</v>
      </c>
      <c r="AR31" s="281">
        <f>SUM(AR22:AR30)</f>
        <v>65.139812960804832</v>
      </c>
      <c r="AS31" s="334">
        <f t="shared" si="2"/>
        <v>1</v>
      </c>
      <c r="AT31" s="196" t="s">
        <v>20</v>
      </c>
      <c r="AV31" s="281">
        <f>Summary!B77</f>
        <v>93.005061114385555</v>
      </c>
      <c r="AW31" s="334">
        <f t="shared" si="3"/>
        <v>1</v>
      </c>
      <c r="AX31" s="196" t="s">
        <v>20</v>
      </c>
    </row>
    <row r="32" spans="1:50" ht="15.75" customHeight="1" x14ac:dyDescent="0.4">
      <c r="A32" s="1303" t="s">
        <v>982</v>
      </c>
      <c r="AN32" s="196" t="s">
        <v>981</v>
      </c>
      <c r="AO32" s="28"/>
      <c r="AP32" s="28"/>
      <c r="AR32" s="1324" t="s">
        <v>1111</v>
      </c>
      <c r="AV32" s="1324" t="s">
        <v>1111</v>
      </c>
    </row>
    <row r="33" spans="1:44" ht="15.75" customHeight="1" x14ac:dyDescent="0.45">
      <c r="AN33" s="1366" t="s">
        <v>1189</v>
      </c>
      <c r="AO33" s="1324" t="s">
        <v>1137</v>
      </c>
      <c r="AP33" s="1324" t="s">
        <v>670</v>
      </c>
    </row>
    <row r="34" spans="1:44" ht="15.75" customHeight="1" x14ac:dyDescent="0.4">
      <c r="AN34" s="1113">
        <f t="shared" ref="AN34:AN40" si="4">B50</f>
        <v>29.369032172200857</v>
      </c>
      <c r="AO34" s="334">
        <f t="shared" ref="AO34:AO40" si="5">AN34/$AN$41</f>
        <v>0.31577885999214939</v>
      </c>
      <c r="AP34" s="660" t="s">
        <v>1</v>
      </c>
    </row>
    <row r="35" spans="1:44" ht="15.75" customHeight="1" x14ac:dyDescent="0.4">
      <c r="A35" s="1052"/>
      <c r="AN35" s="1113">
        <f t="shared" si="4"/>
        <v>28.162431330116149</v>
      </c>
      <c r="AO35" s="334">
        <f t="shared" si="5"/>
        <v>0.30280536341435854</v>
      </c>
      <c r="AP35" s="660" t="s">
        <v>2</v>
      </c>
    </row>
    <row r="36" spans="1:44" ht="15.75" customHeight="1" x14ac:dyDescent="0.4">
      <c r="A36" s="1052"/>
      <c r="AN36" s="1113">
        <f t="shared" si="4"/>
        <v>29.581745501205152</v>
      </c>
      <c r="AO36" s="334">
        <f t="shared" si="5"/>
        <v>0.31806597562279965</v>
      </c>
      <c r="AP36" s="660" t="s">
        <v>3</v>
      </c>
    </row>
    <row r="37" spans="1:44" ht="15.75" customHeight="1" x14ac:dyDescent="0.4">
      <c r="A37" s="1052"/>
      <c r="AN37" s="1113">
        <f t="shared" si="4"/>
        <v>1.8677651258656023</v>
      </c>
      <c r="AO37" s="334">
        <f t="shared" si="5"/>
        <v>2.0082403080929814E-2</v>
      </c>
      <c r="AP37" s="660" t="s">
        <v>4</v>
      </c>
    </row>
    <row r="38" spans="1:44" ht="15.75" customHeight="1" x14ac:dyDescent="0.4">
      <c r="A38" s="1052"/>
      <c r="AN38" s="1113">
        <f t="shared" si="4"/>
        <v>0.65625199051509786</v>
      </c>
      <c r="AO38" s="334">
        <f t="shared" si="5"/>
        <v>7.0560890198005793E-3</v>
      </c>
      <c r="AP38" s="660" t="s">
        <v>5</v>
      </c>
    </row>
    <row r="39" spans="1:44" ht="15.75" customHeight="1" x14ac:dyDescent="0.4">
      <c r="A39" s="1052"/>
      <c r="AN39" s="1113">
        <f t="shared" si="4"/>
        <v>0.44610076900597256</v>
      </c>
      <c r="AO39" s="334">
        <f t="shared" si="5"/>
        <v>4.7965214329284698E-3</v>
      </c>
      <c r="AP39" s="660" t="s">
        <v>6</v>
      </c>
    </row>
    <row r="40" spans="1:44" ht="15.75" customHeight="1" x14ac:dyDescent="0.4">
      <c r="A40" s="1052"/>
      <c r="AN40" s="1113">
        <f t="shared" si="4"/>
        <v>2.921734225476742</v>
      </c>
      <c r="AO40" s="334">
        <f t="shared" si="5"/>
        <v>3.1414787437033603E-2</v>
      </c>
      <c r="AP40" s="660" t="s">
        <v>7</v>
      </c>
    </row>
    <row r="41" spans="1:44" ht="15.75" customHeight="1" x14ac:dyDescent="0.4">
      <c r="A41" s="1052"/>
      <c r="AN41" s="281">
        <f>SUM(AN34:AN40)</f>
        <v>93.005061114385569</v>
      </c>
      <c r="AO41" s="334">
        <f>SUM(AO34:AO40)</f>
        <v>1.0000000000000002</v>
      </c>
      <c r="AP41" s="56" t="s">
        <v>20</v>
      </c>
    </row>
    <row r="42" spans="1:44" ht="15.75" customHeight="1" x14ac:dyDescent="0.4">
      <c r="A42" s="1052"/>
      <c r="AN42" s="1324" t="s">
        <v>1111</v>
      </c>
    </row>
    <row r="43" spans="1:44" ht="15.65" customHeight="1" x14ac:dyDescent="0.4">
      <c r="A43" s="108" t="s">
        <v>1067</v>
      </c>
      <c r="AR43" s="1333"/>
    </row>
    <row r="44" spans="1:44" ht="15.75" customHeight="1" x14ac:dyDescent="0.45">
      <c r="A44" s="1366" t="s">
        <v>1267</v>
      </c>
    </row>
    <row r="45" spans="1:44" ht="15.75" customHeight="1" x14ac:dyDescent="0.45">
      <c r="A45" s="1366" t="s">
        <v>1268</v>
      </c>
    </row>
    <row r="46" spans="1:44" ht="17.149999999999999" customHeight="1" x14ac:dyDescent="0.4">
      <c r="A46" s="1043"/>
    </row>
    <row r="47" spans="1:44" ht="17" x14ac:dyDescent="0.45">
      <c r="A47" s="165" t="s">
        <v>1269</v>
      </c>
      <c r="B47" s="29"/>
      <c r="U47" s="55"/>
      <c r="V47" s="55"/>
      <c r="W47" s="55"/>
      <c r="X47" s="55"/>
      <c r="Y47" s="267"/>
      <c r="Z47" s="267"/>
      <c r="AA47" s="267"/>
      <c r="AB47" s="267"/>
      <c r="AC47" s="267"/>
      <c r="AD47" s="267"/>
      <c r="AE47" s="267"/>
      <c r="AF47" s="267"/>
      <c r="AG47" s="390"/>
      <c r="AH47" s="390"/>
      <c r="AI47" s="390"/>
      <c r="AJ47" s="1017"/>
      <c r="AK47" s="1017"/>
      <c r="AL47" s="267"/>
      <c r="AM47" s="267"/>
      <c r="AN47" s="267"/>
      <c r="AO47" s="267"/>
      <c r="AP47" s="267"/>
      <c r="AQ47" s="267"/>
    </row>
    <row r="48" spans="1:44" s="28" customFormat="1" ht="16.5" thickBot="1" x14ac:dyDescent="0.45">
      <c r="A48" s="93" t="s">
        <v>689</v>
      </c>
      <c r="B48" s="353" t="s">
        <v>391</v>
      </c>
      <c r="C48" s="353" t="s">
        <v>392</v>
      </c>
      <c r="D48" s="353" t="s">
        <v>393</v>
      </c>
      <c r="E48" s="353" t="s">
        <v>394</v>
      </c>
      <c r="F48" s="353" t="s">
        <v>395</v>
      </c>
      <c r="G48" s="353" t="s">
        <v>396</v>
      </c>
      <c r="H48" s="353" t="s">
        <v>397</v>
      </c>
      <c r="I48" s="353" t="s">
        <v>398</v>
      </c>
      <c r="J48" s="353" t="s">
        <v>399</v>
      </c>
      <c r="K48" s="353" t="s">
        <v>400</v>
      </c>
      <c r="L48" s="353" t="s">
        <v>401</v>
      </c>
      <c r="M48" s="353" t="s">
        <v>402</v>
      </c>
      <c r="N48" s="353" t="s">
        <v>403</v>
      </c>
      <c r="O48" s="353" t="s">
        <v>404</v>
      </c>
      <c r="P48" s="353" t="s">
        <v>405</v>
      </c>
      <c r="Q48" s="353" t="s">
        <v>406</v>
      </c>
      <c r="R48" s="353" t="s">
        <v>407</v>
      </c>
      <c r="S48" s="353" t="s">
        <v>408</v>
      </c>
      <c r="T48" s="353" t="s">
        <v>409</v>
      </c>
      <c r="U48" s="353" t="s">
        <v>410</v>
      </c>
      <c r="V48" s="353" t="s">
        <v>411</v>
      </c>
      <c r="W48" s="353" t="s">
        <v>412</v>
      </c>
      <c r="X48" s="353" t="s">
        <v>413</v>
      </c>
      <c r="Y48" s="353" t="s">
        <v>414</v>
      </c>
      <c r="Z48" s="353" t="s">
        <v>415</v>
      </c>
      <c r="AA48" s="353" t="s">
        <v>416</v>
      </c>
      <c r="AB48" s="353" t="s">
        <v>417</v>
      </c>
      <c r="AC48" s="353" t="s">
        <v>418</v>
      </c>
      <c r="AD48" s="353" t="s">
        <v>419</v>
      </c>
      <c r="AE48" s="353" t="s">
        <v>420</v>
      </c>
      <c r="AF48" s="353" t="s">
        <v>421</v>
      </c>
      <c r="AG48" s="353" t="s">
        <v>422</v>
      </c>
      <c r="AH48" s="353" t="s">
        <v>423</v>
      </c>
      <c r="AI48" s="353" t="s">
        <v>424</v>
      </c>
      <c r="AJ48" s="353" t="s">
        <v>425</v>
      </c>
      <c r="AK48" s="353" t="s">
        <v>426</v>
      </c>
      <c r="AL48" s="353" t="s">
        <v>477</v>
      </c>
      <c r="AM48" s="353" t="s">
        <v>478</v>
      </c>
      <c r="AN48" s="353" t="s">
        <v>479</v>
      </c>
      <c r="AO48" s="353" t="s">
        <v>480</v>
      </c>
      <c r="AP48" s="353" t="s">
        <v>481</v>
      </c>
      <c r="AQ48" s="91"/>
    </row>
    <row r="49" spans="1:94" ht="16.5" thickBot="1" x14ac:dyDescent="0.45">
      <c r="A49" s="343" t="s">
        <v>1058</v>
      </c>
      <c r="B49" s="1093">
        <f t="shared" ref="B49:AI49" si="6">SUM(B50:B52)</f>
        <v>87.113209003522158</v>
      </c>
      <c r="C49" s="1094">
        <f t="shared" si="6"/>
        <v>84.743630631290216</v>
      </c>
      <c r="D49" s="1094">
        <f t="shared" si="6"/>
        <v>86.717623000475527</v>
      </c>
      <c r="E49" s="1094">
        <f t="shared" si="6"/>
        <v>84.637096805003253</v>
      </c>
      <c r="F49" s="1094">
        <f t="shared" si="6"/>
        <v>84.800136445079048</v>
      </c>
      <c r="G49" s="1094">
        <f t="shared" si="6"/>
        <v>82.46508367479926</v>
      </c>
      <c r="H49" s="1094">
        <f t="shared" si="6"/>
        <v>82.996532498656833</v>
      </c>
      <c r="I49" s="1094">
        <f t="shared" si="6"/>
        <v>87.721165739086445</v>
      </c>
      <c r="J49" s="1094">
        <f t="shared" si="6"/>
        <v>85.744646452889356</v>
      </c>
      <c r="K49" s="1094">
        <f t="shared" si="6"/>
        <v>84.597215327711851</v>
      </c>
      <c r="L49" s="1094">
        <f t="shared" si="6"/>
        <v>87.105678864678424</v>
      </c>
      <c r="M49" s="1094">
        <f t="shared" si="6"/>
        <v>86.529144081263041</v>
      </c>
      <c r="N49" s="1094">
        <f t="shared" si="6"/>
        <v>88.205493344256155</v>
      </c>
      <c r="O49" s="1094">
        <f t="shared" si="6"/>
        <v>89.755352813851118</v>
      </c>
      <c r="P49" s="1094">
        <f t="shared" si="6"/>
        <v>87.796173689749423</v>
      </c>
      <c r="Q49" s="1094">
        <f t="shared" si="6"/>
        <v>89.424569587890034</v>
      </c>
      <c r="R49" s="1094">
        <f t="shared" si="6"/>
        <v>80.834635444611976</v>
      </c>
      <c r="S49" s="1094">
        <f t="shared" si="6"/>
        <v>83.66540438853491</v>
      </c>
      <c r="T49" s="1094">
        <f t="shared" si="6"/>
        <v>80.74589662184836</v>
      </c>
      <c r="U49" s="1094">
        <f t="shared" si="6"/>
        <v>75.168339943582168</v>
      </c>
      <c r="V49" s="1094">
        <f t="shared" si="6"/>
        <v>77.220666823922983</v>
      </c>
      <c r="W49" s="1094">
        <f t="shared" si="6"/>
        <v>71.991799437025747</v>
      </c>
      <c r="X49" s="1094">
        <f t="shared" si="6"/>
        <v>65.482218995696797</v>
      </c>
      <c r="Y49" s="1094">
        <f t="shared" si="6"/>
        <v>69.56988831293468</v>
      </c>
      <c r="Z49" s="1094">
        <f t="shared" si="6"/>
        <v>67.816779625857009</v>
      </c>
      <c r="AA49" s="1094">
        <f t="shared" si="6"/>
        <v>69.37885785824146</v>
      </c>
      <c r="AB49" s="1095">
        <f t="shared" si="6"/>
        <v>65.731296635332711</v>
      </c>
      <c r="AC49" s="1095">
        <f t="shared" si="6"/>
        <v>65.42434327335765</v>
      </c>
      <c r="AD49" s="1096">
        <f t="shared" si="6"/>
        <v>66.103945532454759</v>
      </c>
      <c r="AE49" s="1095">
        <f t="shared" si="6"/>
        <v>65.038613408439943</v>
      </c>
      <c r="AF49" s="1095">
        <f t="shared" si="6"/>
        <v>58.427227440642696</v>
      </c>
      <c r="AG49" s="1095">
        <f t="shared" si="6"/>
        <v>61.518057095547604</v>
      </c>
      <c r="AH49" s="1095">
        <f t="shared" si="6"/>
        <v>63.007620890893946</v>
      </c>
      <c r="AI49" s="1095">
        <f t="shared" si="6"/>
        <v>60.024451367813775</v>
      </c>
      <c r="AJ49" s="1488" t="s">
        <v>32</v>
      </c>
      <c r="AK49" s="1488" t="s">
        <v>32</v>
      </c>
      <c r="AL49" s="1488" t="s">
        <v>32</v>
      </c>
      <c r="AM49" s="1488" t="s">
        <v>32</v>
      </c>
      <c r="AN49" s="1488" t="s">
        <v>32</v>
      </c>
      <c r="AO49" s="1488" t="s">
        <v>32</v>
      </c>
      <c r="AP49" s="1488" t="s">
        <v>32</v>
      </c>
      <c r="AQ49" s="356"/>
    </row>
    <row r="50" spans="1:94" ht="16.5" thickBot="1" x14ac:dyDescent="0.45">
      <c r="A50" s="1044" t="s">
        <v>1</v>
      </c>
      <c r="B50" s="333">
        <f>Process!B9+Process!B12+Process!B15+Process!B16</f>
        <v>29.369032172200857</v>
      </c>
      <c r="C50" s="333">
        <f>Process!C9+Process!C12+Process!C15+Process!C16</f>
        <v>28.471609958926148</v>
      </c>
      <c r="D50" s="333">
        <f>Process!D9+Process!D12+Process!D15+Process!D16</f>
        <v>32.070916960337868</v>
      </c>
      <c r="E50" s="333">
        <f>Process!E9+Process!E12+Process!E15+Process!E16</f>
        <v>31.41275429086463</v>
      </c>
      <c r="F50" s="333">
        <f>Process!F9+Process!F12+Process!F15+Process!F16</f>
        <v>31.215242480987147</v>
      </c>
      <c r="G50" s="333">
        <f>Process!G9+Process!G12+Process!G15+Process!G16</f>
        <v>29.029728123283366</v>
      </c>
      <c r="H50" s="333">
        <f>Process!H9+Process!H12+Process!H15+Process!H16</f>
        <v>28.914908434278374</v>
      </c>
      <c r="I50" s="333">
        <f>Process!I9+Process!I12+Process!I15+Process!I16</f>
        <v>29.18571737798019</v>
      </c>
      <c r="J50" s="333">
        <f>Process!J9+Process!J12+Process!J15+Process!J16</f>
        <v>26.288757521316391</v>
      </c>
      <c r="K50" s="333">
        <f>Process!K9+Process!K12+Process!K15+Process!K16</f>
        <v>25.933531845598893</v>
      </c>
      <c r="L50" s="333">
        <f>Process!L9+Process!L12+Process!L15+Process!L16</f>
        <v>28.09689781583819</v>
      </c>
      <c r="M50" s="333">
        <f>Process!M9+Process!M12+Process!M15+Process!M16</f>
        <v>28.539883481074732</v>
      </c>
      <c r="N50" s="333">
        <f>Process!N9+Process!N12+Process!N15+Process!N16</f>
        <v>28.483552275336102</v>
      </c>
      <c r="O50" s="333">
        <f>Process!O9+Process!O12+Process!O15+Process!O16</f>
        <v>28.143194986544053</v>
      </c>
      <c r="P50" s="333">
        <f>Process!P9+Process!P12+Process!P15+Process!P16</f>
        <v>26.053941638811715</v>
      </c>
      <c r="Q50" s="333">
        <f>Process!Q9+Process!Q12+Process!Q15+Process!Q16</f>
        <v>26.275373192945363</v>
      </c>
      <c r="R50" s="333">
        <f>Process!R9+Process!R12+Process!R15+Process!R16</f>
        <v>22.364319616398252</v>
      </c>
      <c r="S50" s="333">
        <f>Process!S9+Process!S12+Process!S15+Process!S16</f>
        <v>23.290049540282773</v>
      </c>
      <c r="T50" s="333">
        <f>Process!T9+Process!T12+Process!T15+Process!T16</f>
        <v>24.084370165807631</v>
      </c>
      <c r="U50" s="333">
        <f>Process!U9+Process!U12+Process!U15+Process!U16</f>
        <v>23.086816770230506</v>
      </c>
      <c r="V50" s="333">
        <f>Process!V9+Process!V12+Process!V15+Process!V16</f>
        <v>24.232129724270479</v>
      </c>
      <c r="W50" s="333">
        <f>Process!W9+Process!W12+Process!W15+Process!W16</f>
        <v>24.013051913195142</v>
      </c>
      <c r="X50" s="333">
        <f>Process!X9+Process!X12+Process!X15+Process!X16</f>
        <v>20.51146327457932</v>
      </c>
      <c r="Y50" s="333">
        <f>Process!Y9+Process!Y12+Process!Y15+Process!Y16</f>
        <v>22.759746229111911</v>
      </c>
      <c r="Z50" s="333">
        <f>Process!Z9+Process!Z12+Process!Z15+Process!Z16</f>
        <v>24.397264599633143</v>
      </c>
      <c r="AA50" s="333">
        <f>Process!AA9+Process!AA12+Process!AA15+Process!AA16</f>
        <v>24.738674282955948</v>
      </c>
      <c r="AB50" s="333">
        <f>Process!AB9+Process!AB12+Process!AB15+Process!AB16</f>
        <v>21.702606077055158</v>
      </c>
      <c r="AC50" s="333">
        <f>Process!AC9+Process!AC12+Process!AC15+Process!AC16</f>
        <v>23.072421642750857</v>
      </c>
      <c r="AD50" s="333">
        <f>Process!AD9+Process!AD12+Process!AD15+Process!AD16</f>
        <v>24.640581073415028</v>
      </c>
      <c r="AE50" s="333">
        <f>Process!AE9+Process!AE12+Process!AE15+Process!AE16</f>
        <v>25.239210739673982</v>
      </c>
      <c r="AF50" s="333">
        <f>Process!AF9+Process!AF12+Process!AF15+Process!AF16</f>
        <v>22.677703060265735</v>
      </c>
      <c r="AG50" s="333">
        <f>Process!AG9+Process!AG12+Process!AG15+Process!AG16</f>
        <v>23.355572713404261</v>
      </c>
      <c r="AH50" s="333">
        <f>Process!AH9+Process!AH12+Process!AH15+Process!AH16</f>
        <v>24.53368395731049</v>
      </c>
      <c r="AI50" s="333">
        <f>Process!AI9+Process!AI12+Process!AI15+Process!AI16</f>
        <v>22.473216971138029</v>
      </c>
      <c r="AJ50" s="1488" t="s">
        <v>32</v>
      </c>
      <c r="AK50" s="1488" t="s">
        <v>32</v>
      </c>
      <c r="AL50" s="1488" t="s">
        <v>32</v>
      </c>
      <c r="AM50" s="1488" t="s">
        <v>32</v>
      </c>
      <c r="AN50" s="1488" t="s">
        <v>32</v>
      </c>
      <c r="AO50" s="1488" t="s">
        <v>32</v>
      </c>
      <c r="AP50" s="1488" t="s">
        <v>32</v>
      </c>
      <c r="AQ50" s="356"/>
    </row>
    <row r="51" spans="1:94" ht="16.5" thickBot="1" x14ac:dyDescent="0.45">
      <c r="A51" s="1044" t="s">
        <v>2</v>
      </c>
      <c r="B51" s="333">
        <f>Process!B24</f>
        <v>28.162431330116149</v>
      </c>
      <c r="C51" s="333">
        <f>Process!C24</f>
        <v>28.264086112233116</v>
      </c>
      <c r="D51" s="333">
        <f>Process!D24</f>
        <v>27.083465220071602</v>
      </c>
      <c r="E51" s="333">
        <f>Process!E24</f>
        <v>25.451998051107321</v>
      </c>
      <c r="F51" s="333">
        <f>Process!F24</f>
        <v>25.542371654754771</v>
      </c>
      <c r="G51" s="333">
        <f>Process!G24</f>
        <v>24.730600597448042</v>
      </c>
      <c r="H51" s="333">
        <f>Process!H24</f>
        <v>24.51855665029958</v>
      </c>
      <c r="I51" s="333">
        <f>Process!I24</f>
        <v>28.637910886582169</v>
      </c>
      <c r="J51" s="333">
        <f>Process!J24</f>
        <v>29.274838523518994</v>
      </c>
      <c r="K51" s="333">
        <f>Process!K24</f>
        <v>27.873815963592197</v>
      </c>
      <c r="L51" s="333">
        <f>Process!L24</f>
        <v>27.07555759560249</v>
      </c>
      <c r="M51" s="333">
        <f>Process!M24</f>
        <v>26.559330901711363</v>
      </c>
      <c r="N51" s="333">
        <f>Process!N24</f>
        <v>28.147865813381259</v>
      </c>
      <c r="O51" s="333">
        <f>Process!O24</f>
        <v>29.637443235091379</v>
      </c>
      <c r="P51" s="333">
        <f>Process!P24</f>
        <v>28.52854665158296</v>
      </c>
      <c r="Q51" s="333">
        <f>Process!Q24</f>
        <v>29.976865531050549</v>
      </c>
      <c r="R51" s="333">
        <f>Process!R24</f>
        <v>26.19038965355578</v>
      </c>
      <c r="S51" s="333">
        <f>Process!S24</f>
        <v>27.844045975987939</v>
      </c>
      <c r="T51" s="333">
        <f>Process!T24</f>
        <v>25.13013800459893</v>
      </c>
      <c r="U51" s="333">
        <f>Process!U24</f>
        <v>22.503797660883695</v>
      </c>
      <c r="V51" s="333">
        <f>Process!V24</f>
        <v>23.211386378367123</v>
      </c>
      <c r="W51" s="333">
        <f>Process!W24</f>
        <v>18.281940644785681</v>
      </c>
      <c r="X51" s="333">
        <f>Process!X24</f>
        <v>15.861730730057928</v>
      </c>
      <c r="Y51" s="333">
        <f>Process!Y24</f>
        <v>16.4512569723315</v>
      </c>
      <c r="Z51" s="333">
        <f>Process!Z24</f>
        <v>14.88463344566345</v>
      </c>
      <c r="AA51" s="333">
        <f>Process!AA24</f>
        <v>15.686193768215984</v>
      </c>
      <c r="AB51" s="333">
        <f>Process!AB24</f>
        <v>14.734081239424333</v>
      </c>
      <c r="AC51" s="333">
        <f>Process!AC24</f>
        <v>13.614370068180438</v>
      </c>
      <c r="AD51" s="335">
        <f>Process!AD24</f>
        <v>12.134257842909928</v>
      </c>
      <c r="AE51" s="333">
        <f>Process!AE24</f>
        <v>10.722427778971639</v>
      </c>
      <c r="AF51" s="333">
        <f>Process!AF24</f>
        <v>12.806025714474893</v>
      </c>
      <c r="AG51" s="333">
        <f>Process!AG24</f>
        <v>12.487184309944796</v>
      </c>
      <c r="AH51" s="333">
        <f>Process!AH24</f>
        <v>12.230393622083517</v>
      </c>
      <c r="AI51" s="333">
        <f>Process!AI24</f>
        <v>11.260706072606789</v>
      </c>
      <c r="AJ51" s="1488" t="s">
        <v>32</v>
      </c>
      <c r="AK51" s="1488" t="s">
        <v>32</v>
      </c>
      <c r="AL51" s="1488" t="s">
        <v>32</v>
      </c>
      <c r="AM51" s="1488" t="s">
        <v>32</v>
      </c>
      <c r="AN51" s="1488" t="s">
        <v>32</v>
      </c>
      <c r="AO51" s="1488" t="s">
        <v>32</v>
      </c>
      <c r="AP51" s="1488" t="s">
        <v>32</v>
      </c>
      <c r="AQ51" s="356"/>
    </row>
    <row r="52" spans="1:94" ht="16.5" thickBot="1" x14ac:dyDescent="0.45">
      <c r="A52" s="1045" t="s">
        <v>3</v>
      </c>
      <c r="B52" s="336">
        <f>Process!B21</f>
        <v>29.581745501205152</v>
      </c>
      <c r="C52" s="337">
        <f>Process!C21</f>
        <v>28.007934560130941</v>
      </c>
      <c r="D52" s="337">
        <f>Process!D21</f>
        <v>27.563240820066049</v>
      </c>
      <c r="E52" s="337">
        <f>Process!E21</f>
        <v>27.772344463031306</v>
      </c>
      <c r="F52" s="337">
        <f>Process!F21</f>
        <v>28.042522309337134</v>
      </c>
      <c r="G52" s="337">
        <f>Process!G21</f>
        <v>28.704754954067852</v>
      </c>
      <c r="H52" s="337">
        <f>Process!H21</f>
        <v>29.563067414078876</v>
      </c>
      <c r="I52" s="337">
        <f>Process!I21</f>
        <v>29.897537474524093</v>
      </c>
      <c r="J52" s="337">
        <f>Process!J21</f>
        <v>30.181050408053974</v>
      </c>
      <c r="K52" s="337">
        <f>Process!K21</f>
        <v>30.789867518520762</v>
      </c>
      <c r="L52" s="337">
        <f>Process!L21</f>
        <v>31.933223453237744</v>
      </c>
      <c r="M52" s="337">
        <f>Process!M21</f>
        <v>31.42992969847694</v>
      </c>
      <c r="N52" s="337">
        <f>Process!N21</f>
        <v>31.574075255538787</v>
      </c>
      <c r="O52" s="337">
        <f>Process!O21</f>
        <v>31.97471459221569</v>
      </c>
      <c r="P52" s="337">
        <f>Process!P21</f>
        <v>33.213685399354738</v>
      </c>
      <c r="Q52" s="337">
        <f>Process!Q21</f>
        <v>33.172330863894125</v>
      </c>
      <c r="R52" s="337">
        <f>Process!R21</f>
        <v>32.279926174657945</v>
      </c>
      <c r="S52" s="337">
        <f>Process!S21</f>
        <v>32.531308872264191</v>
      </c>
      <c r="T52" s="337">
        <f>Process!T21</f>
        <v>31.531388451441796</v>
      </c>
      <c r="U52" s="337">
        <f>Process!U21</f>
        <v>29.577725512467968</v>
      </c>
      <c r="V52" s="337">
        <f>Process!V21</f>
        <v>29.777150721285388</v>
      </c>
      <c r="W52" s="337">
        <f>Process!W21</f>
        <v>29.696806879044935</v>
      </c>
      <c r="X52" s="337">
        <f>Process!X21</f>
        <v>29.109024991059549</v>
      </c>
      <c r="Y52" s="337">
        <f>Process!Y21</f>
        <v>30.358885111491265</v>
      </c>
      <c r="Z52" s="337">
        <f>Process!Z21</f>
        <v>28.534881580560413</v>
      </c>
      <c r="AA52" s="337">
        <f>Process!AA21</f>
        <v>28.953989807069522</v>
      </c>
      <c r="AB52" s="338">
        <f>Process!AB21</f>
        <v>29.294609318853226</v>
      </c>
      <c r="AC52" s="338">
        <f>Process!AC21</f>
        <v>28.737551562426354</v>
      </c>
      <c r="AD52" s="338">
        <f>Process!AD21</f>
        <v>29.329106616129806</v>
      </c>
      <c r="AE52" s="338">
        <f>Process!AE21</f>
        <v>29.076974889794318</v>
      </c>
      <c r="AF52" s="338">
        <f>Process!AF21</f>
        <v>22.943498665902066</v>
      </c>
      <c r="AG52" s="338">
        <f>Process!AG21</f>
        <v>25.675300072198549</v>
      </c>
      <c r="AH52" s="338">
        <f>Process!AH21</f>
        <v>26.243543311499938</v>
      </c>
      <c r="AI52" s="338">
        <f>Process!AI21</f>
        <v>26.290528324068958</v>
      </c>
      <c r="AJ52" s="1488" t="s">
        <v>32</v>
      </c>
      <c r="AK52" s="1488" t="s">
        <v>32</v>
      </c>
      <c r="AL52" s="1488" t="s">
        <v>32</v>
      </c>
      <c r="AM52" s="1488" t="s">
        <v>32</v>
      </c>
      <c r="AN52" s="1488" t="s">
        <v>32</v>
      </c>
      <c r="AO52" s="1488" t="s">
        <v>32</v>
      </c>
      <c r="AP52" s="1488" t="s">
        <v>32</v>
      </c>
      <c r="AQ52" s="356"/>
    </row>
    <row r="53" spans="1:94" ht="16.5" thickBot="1" x14ac:dyDescent="0.45">
      <c r="A53" s="339" t="s">
        <v>4</v>
      </c>
      <c r="B53" s="340">
        <f>Process!B29</f>
        <v>1.8677651258656023</v>
      </c>
      <c r="C53" s="340">
        <f>Process!C29</f>
        <v>1.852887425897749</v>
      </c>
      <c r="D53" s="340">
        <f>Process!D29</f>
        <v>1.8397743556365584</v>
      </c>
      <c r="E53" s="340">
        <f>Process!E29</f>
        <v>1.7613444610359528</v>
      </c>
      <c r="F53" s="340">
        <f>Process!F29</f>
        <v>1.7049153610944481</v>
      </c>
      <c r="G53" s="340">
        <f>Process!G29</f>
        <v>1.6709702656070302</v>
      </c>
      <c r="H53" s="340">
        <f>Process!H29</f>
        <v>1.5924548496297186</v>
      </c>
      <c r="I53" s="340">
        <f>Process!I29</f>
        <v>1.5411686000890501</v>
      </c>
      <c r="J53" s="340">
        <f>Process!J29</f>
        <v>1.4818949902988792</v>
      </c>
      <c r="K53" s="340">
        <f>Process!K29</f>
        <v>1.4228973383008028</v>
      </c>
      <c r="L53" s="340">
        <f>Process!L29</f>
        <v>1.3849041465119019</v>
      </c>
      <c r="M53" s="340">
        <f>Process!M29</f>
        <v>1.3148628860365357</v>
      </c>
      <c r="N53" s="340">
        <f>Process!N29</f>
        <v>1.2775637306450169</v>
      </c>
      <c r="O53" s="340">
        <f>Process!O29</f>
        <v>1.2248834953868954</v>
      </c>
      <c r="P53" s="340">
        <f>Process!P29</f>
        <v>1.2096454508131458</v>
      </c>
      <c r="Q53" s="340">
        <f>Process!Q29</f>
        <v>1.116769011294539</v>
      </c>
      <c r="R53" s="340">
        <f>Process!R29</f>
        <v>1.0773854569526293</v>
      </c>
      <c r="S53" s="340">
        <f>Process!S29</f>
        <v>1.0341021055848829</v>
      </c>
      <c r="T53" s="340">
        <f>Process!T29</f>
        <v>1.0261355902109481</v>
      </c>
      <c r="U53" s="340">
        <f>Process!U29</f>
        <v>0.97574211006229161</v>
      </c>
      <c r="V53" s="340">
        <f>Process!V29</f>
        <v>0.98651781200941091</v>
      </c>
      <c r="W53" s="340">
        <f>Process!W29</f>
        <v>0.79998790658513375</v>
      </c>
      <c r="X53" s="340">
        <f>Process!X29</f>
        <v>0.79980448829054251</v>
      </c>
      <c r="Y53" s="340">
        <f>Process!Y29</f>
        <v>0.78487067159526314</v>
      </c>
      <c r="Z53" s="340">
        <f>Process!Z29</f>
        <v>0.75976893464181838</v>
      </c>
      <c r="AA53" s="340">
        <f>Process!AA29</f>
        <v>0.79756121017191395</v>
      </c>
      <c r="AB53" s="341">
        <f>Process!AB29</f>
        <v>0.77716355555855188</v>
      </c>
      <c r="AC53" s="341">
        <f>Process!AC29</f>
        <v>0.73524508776400288</v>
      </c>
      <c r="AD53" s="341">
        <f>Process!AD29</f>
        <v>0.72053532011706112</v>
      </c>
      <c r="AE53" s="341">
        <f>Process!AE29</f>
        <v>0.71879595083025949</v>
      </c>
      <c r="AF53" s="341">
        <f>Process!AF29</f>
        <v>0.74193958504154822</v>
      </c>
      <c r="AG53" s="341">
        <f>Process!AG29</f>
        <v>0.71349693568858774</v>
      </c>
      <c r="AH53" s="341">
        <f>Process!AH29</f>
        <v>0.73924386892764427</v>
      </c>
      <c r="AI53" s="341">
        <f>Process!AI29</f>
        <v>0.70636312077249752</v>
      </c>
      <c r="AJ53" s="1488" t="s">
        <v>32</v>
      </c>
      <c r="AK53" s="1488" t="s">
        <v>32</v>
      </c>
      <c r="AL53" s="1488" t="s">
        <v>32</v>
      </c>
      <c r="AM53" s="1488" t="s">
        <v>32</v>
      </c>
      <c r="AN53" s="1488" t="s">
        <v>32</v>
      </c>
      <c r="AO53" s="1488" t="s">
        <v>32</v>
      </c>
      <c r="AP53" s="1488" t="s">
        <v>32</v>
      </c>
      <c r="AQ53" s="356"/>
    </row>
    <row r="54" spans="1:94" ht="16.5" thickBot="1" x14ac:dyDescent="0.45">
      <c r="A54" s="339" t="s">
        <v>5</v>
      </c>
      <c r="B54" s="340">
        <f>Process!B32</f>
        <v>0.65625199051509786</v>
      </c>
      <c r="C54" s="340">
        <f>Process!C32</f>
        <v>0.71515416896556006</v>
      </c>
      <c r="D54" s="340">
        <f>Process!D32</f>
        <v>0.73849101987423305</v>
      </c>
      <c r="E54" s="340">
        <f>Process!E32</f>
        <v>0.84634390373530799</v>
      </c>
      <c r="F54" s="340">
        <f>Process!F32</f>
        <v>0.99268777160783084</v>
      </c>
      <c r="G54" s="340">
        <f>Process!G32</f>
        <v>1.2942356697070025</v>
      </c>
      <c r="H54" s="340">
        <f>Process!H32</f>
        <v>1.5173940091650766</v>
      </c>
      <c r="I54" s="340">
        <f>Process!I32</f>
        <v>1.7296705098776286</v>
      </c>
      <c r="J54" s="340">
        <f>Process!J32</f>
        <v>2.0517836695231537</v>
      </c>
      <c r="K54" s="340">
        <f>Process!K32</f>
        <v>2.1722864635428154</v>
      </c>
      <c r="L54" s="340">
        <f>Process!L32</f>
        <v>2.2344480754691962</v>
      </c>
      <c r="M54" s="340">
        <f>Process!M32</f>
        <v>2.2873664104114422</v>
      </c>
      <c r="N54" s="340">
        <f>Process!N32</f>
        <v>2.3543108214792743</v>
      </c>
      <c r="O54" s="340">
        <f>Process!O32</f>
        <v>2.4553345934789768</v>
      </c>
      <c r="P54" s="340">
        <f>Process!P32</f>
        <v>2.3943985038673308</v>
      </c>
      <c r="Q54" s="340">
        <f>Process!Q32</f>
        <v>2.491187372700066</v>
      </c>
      <c r="R54" s="340">
        <f>Process!R32</f>
        <v>2.6398819487247986</v>
      </c>
      <c r="S54" s="340">
        <f>Process!S32</f>
        <v>2.7783370634740137</v>
      </c>
      <c r="T54" s="340">
        <f>Process!T32</f>
        <v>2.927455558375383</v>
      </c>
      <c r="U54" s="340">
        <f>Process!U32</f>
        <v>3.375736296088339</v>
      </c>
      <c r="V54" s="340">
        <f>Process!V32</f>
        <v>2.8556574039997655</v>
      </c>
      <c r="W54" s="340">
        <f>Process!W32</f>
        <v>2.8359689544329019</v>
      </c>
      <c r="X54" s="340">
        <f>Process!X32</f>
        <v>3.1262089958054671</v>
      </c>
      <c r="Y54" s="340">
        <f>Process!Y32</f>
        <v>3.8058037367623898</v>
      </c>
      <c r="Z54" s="340">
        <f>Process!Z32</f>
        <v>4.2054910787649353</v>
      </c>
      <c r="AA54" s="340">
        <f>Process!AA32</f>
        <v>3.7540424332673563</v>
      </c>
      <c r="AB54" s="341">
        <f>Process!AB32</f>
        <v>3.8048005415260682</v>
      </c>
      <c r="AC54" s="341">
        <f>Process!AC32</f>
        <v>3.3089432868880282</v>
      </c>
      <c r="AD54" s="341">
        <f>Process!AD32</f>
        <v>3.8135695724326135</v>
      </c>
      <c r="AE54" s="341">
        <f>Process!AE32</f>
        <v>3.6460572396013302</v>
      </c>
      <c r="AF54" s="341">
        <f>Process!AF32</f>
        <v>4.0321955751119818</v>
      </c>
      <c r="AG54" s="341">
        <f>Process!AG32</f>
        <v>3.9978101361882903</v>
      </c>
      <c r="AH54" s="341">
        <f>Process!AH32</f>
        <v>3.4348267758324091</v>
      </c>
      <c r="AI54" s="341">
        <f>Process!AI32</f>
        <v>3.5821232543038848</v>
      </c>
      <c r="AJ54" s="1488" t="s">
        <v>32</v>
      </c>
      <c r="AK54" s="1488" t="s">
        <v>32</v>
      </c>
      <c r="AL54" s="1488" t="s">
        <v>32</v>
      </c>
      <c r="AM54" s="1488" t="s">
        <v>32</v>
      </c>
      <c r="AN54" s="1488" t="s">
        <v>32</v>
      </c>
      <c r="AO54" s="1488" t="s">
        <v>32</v>
      </c>
      <c r="AP54" s="1488" t="s">
        <v>32</v>
      </c>
      <c r="AQ54" s="356"/>
    </row>
    <row r="55" spans="1:94" ht="16.5" thickBot="1" x14ac:dyDescent="0.45">
      <c r="A55" s="342" t="s">
        <v>8</v>
      </c>
      <c r="B55" s="340">
        <f>Process!B36</f>
        <v>0.44610076900597256</v>
      </c>
      <c r="C55" s="340">
        <f>Process!C36</f>
        <v>0.41834925407595686</v>
      </c>
      <c r="D55" s="340">
        <f>Process!D36</f>
        <v>0.42277010500253726</v>
      </c>
      <c r="E55" s="340">
        <f>Process!E36</f>
        <v>0.40732429612640608</v>
      </c>
      <c r="F55" s="340">
        <f>Process!F36</f>
        <v>0.41231470757133476</v>
      </c>
      <c r="G55" s="340">
        <f>Process!G36</f>
        <v>0.40372219462937547</v>
      </c>
      <c r="H55" s="340">
        <f>Process!H36</f>
        <v>0.38410068733773461</v>
      </c>
      <c r="I55" s="340">
        <f>Process!I36</f>
        <v>0.38079571833854936</v>
      </c>
      <c r="J55" s="340">
        <f>Process!J36</f>
        <v>0.38437874218640539</v>
      </c>
      <c r="K55" s="340">
        <f>Process!K36</f>
        <v>0.3899641903290752</v>
      </c>
      <c r="L55" s="340">
        <f>Process!L36</f>
        <v>0.37735447220233193</v>
      </c>
      <c r="M55" s="340">
        <f>Process!M36</f>
        <v>0.35183977292669505</v>
      </c>
      <c r="N55" s="340">
        <f>Process!N36</f>
        <v>0.37328267111605179</v>
      </c>
      <c r="O55" s="340">
        <f>Process!O36</f>
        <v>0.34778308322797141</v>
      </c>
      <c r="P55" s="340">
        <f>Process!P36</f>
        <v>0.33661801945979974</v>
      </c>
      <c r="Q55" s="340">
        <f>Process!Q36</f>
        <v>0.34057483200373267</v>
      </c>
      <c r="R55" s="340">
        <f>Process!R36</f>
        <v>0.33688832372342137</v>
      </c>
      <c r="S55" s="340">
        <f>Process!S36</f>
        <v>0.31719891632985381</v>
      </c>
      <c r="T55" s="340">
        <f>Process!T36</f>
        <v>0.32570403195908576</v>
      </c>
      <c r="U55" s="340">
        <f>Process!U36</f>
        <v>0.31430210711857087</v>
      </c>
      <c r="V55" s="340">
        <f>Process!V36</f>
        <v>0.33202719256989854</v>
      </c>
      <c r="W55" s="340">
        <f>Process!W36</f>
        <v>0.30451135790296568</v>
      </c>
      <c r="X55" s="340">
        <f>Process!X36</f>
        <v>0.29639379430190099</v>
      </c>
      <c r="Y55" s="340">
        <f>Process!Y36</f>
        <v>0.29356274504761209</v>
      </c>
      <c r="Z55" s="340">
        <f>Process!Z36</f>
        <v>0.28090950389183594</v>
      </c>
      <c r="AA55" s="340">
        <f>Process!AA36</f>
        <v>0.29021465216236209</v>
      </c>
      <c r="AB55" s="341">
        <f>Process!AB36</f>
        <v>0.26691641776924918</v>
      </c>
      <c r="AC55" s="341">
        <f>Process!AC36</f>
        <v>0.28552541325288594</v>
      </c>
      <c r="AD55" s="341">
        <f>Process!AD36</f>
        <v>0.27311310707332914</v>
      </c>
      <c r="AE55" s="341">
        <f>Process!AE36</f>
        <v>0.26430146871069754</v>
      </c>
      <c r="AF55" s="341">
        <f>Process!AF36</f>
        <v>0.25337117381936636</v>
      </c>
      <c r="AG55" s="341">
        <f>Process!AG36</f>
        <v>0.2710732936775046</v>
      </c>
      <c r="AH55" s="341">
        <f>Process!AH36</f>
        <v>0.25704231685851231</v>
      </c>
      <c r="AI55" s="341">
        <f>Process!AI36</f>
        <v>0.25654006769458504</v>
      </c>
      <c r="AJ55" s="1488" t="s">
        <v>32</v>
      </c>
      <c r="AK55" s="1488" t="s">
        <v>32</v>
      </c>
      <c r="AL55" s="1488" t="s">
        <v>32</v>
      </c>
      <c r="AM55" s="1488" t="s">
        <v>32</v>
      </c>
      <c r="AN55" s="1488" t="s">
        <v>32</v>
      </c>
      <c r="AO55" s="1488" t="s">
        <v>32</v>
      </c>
      <c r="AP55" s="1488" t="s">
        <v>32</v>
      </c>
      <c r="AQ55" s="356"/>
    </row>
    <row r="56" spans="1:94" ht="16.5" thickBot="1" x14ac:dyDescent="0.45">
      <c r="A56" s="343" t="s">
        <v>7</v>
      </c>
      <c r="B56" s="340">
        <f>Process!B37</f>
        <v>2.921734225476742</v>
      </c>
      <c r="C56" s="340">
        <f>Process!C37</f>
        <v>2.9840678785493369</v>
      </c>
      <c r="D56" s="340">
        <f>Process!D37</f>
        <v>2.8838876328600254</v>
      </c>
      <c r="E56" s="340">
        <f>Process!E37</f>
        <v>2.767988379213437</v>
      </c>
      <c r="F56" s="340">
        <f>Process!F37</f>
        <v>2.7563272831925185</v>
      </c>
      <c r="G56" s="340">
        <f>Process!G37</f>
        <v>2.7698744134030142</v>
      </c>
      <c r="H56" s="340">
        <f>Process!H37</f>
        <v>2.3907342903677469</v>
      </c>
      <c r="I56" s="340">
        <f>Process!I37</f>
        <v>1.9258553661170486</v>
      </c>
      <c r="J56" s="340">
        <f>Process!J37</f>
        <v>1.8470510349176412</v>
      </c>
      <c r="K56" s="340">
        <f>Process!K37</f>
        <v>1.8601259693695325</v>
      </c>
      <c r="L56" s="340">
        <f>Process!L37</f>
        <v>1.2371687987727551</v>
      </c>
      <c r="M56" s="340">
        <f>Process!M37</f>
        <v>0.89743217109974072</v>
      </c>
      <c r="N56" s="340">
        <f>Process!N37</f>
        <v>1.27497069222323</v>
      </c>
      <c r="O56" s="340">
        <f>Process!O37</f>
        <v>1.7601777880702896</v>
      </c>
      <c r="P56" s="340">
        <f>Process!P37</f>
        <v>1.5733288085225232</v>
      </c>
      <c r="Q56" s="340">
        <f>Process!Q37</f>
        <v>1.5961601917909816</v>
      </c>
      <c r="R56" s="340">
        <f>Process!R37</f>
        <v>1.4036673040124485</v>
      </c>
      <c r="S56" s="340">
        <f>Process!S37</f>
        <v>1.3244780695405463</v>
      </c>
      <c r="T56" s="340">
        <f>Process!T37</f>
        <v>1.3333606189633151</v>
      </c>
      <c r="U56" s="340">
        <f>Process!U37</f>
        <v>1.3826638104942759</v>
      </c>
      <c r="V56" s="340">
        <f>Process!V37</f>
        <v>0.86252211000428347</v>
      </c>
      <c r="W56" s="340">
        <f>Process!W37</f>
        <v>0.87728901623181033</v>
      </c>
      <c r="X56" s="340">
        <f>Process!X37</f>
        <v>0.92213671716237322</v>
      </c>
      <c r="Y56" s="340">
        <f>Process!Y37</f>
        <v>0.82486792566190248</v>
      </c>
      <c r="Z56" s="340">
        <f>Process!Z37</f>
        <v>0.76938497611745671</v>
      </c>
      <c r="AA56" s="340">
        <f>Process!AA37</f>
        <v>0.7797634475588433</v>
      </c>
      <c r="AB56" s="341">
        <f>Process!AB37</f>
        <v>0.74800883134183693</v>
      </c>
      <c r="AC56" s="341">
        <f>Process!AC37</f>
        <v>0.72212832663956061</v>
      </c>
      <c r="AD56" s="341">
        <f>Process!AD37</f>
        <v>0.72012362020600407</v>
      </c>
      <c r="AE56" s="341">
        <f>Process!AE37</f>
        <v>0.72176076297428993</v>
      </c>
      <c r="AF56" s="341">
        <f>Process!AF37</f>
        <v>0.69725875876728005</v>
      </c>
      <c r="AG56" s="341">
        <f>Process!AG37</f>
        <v>0.59664069711099754</v>
      </c>
      <c r="AH56" s="341">
        <f>Process!AH37</f>
        <v>0.58359328081403916</v>
      </c>
      <c r="AI56" s="341">
        <f>Process!AI37</f>
        <v>0.57033515022009018</v>
      </c>
      <c r="AJ56" s="1488" t="s">
        <v>32</v>
      </c>
      <c r="AK56" s="1488" t="s">
        <v>32</v>
      </c>
      <c r="AL56" s="1488" t="s">
        <v>32</v>
      </c>
      <c r="AM56" s="1488" t="s">
        <v>32</v>
      </c>
      <c r="AN56" s="1488" t="s">
        <v>32</v>
      </c>
      <c r="AO56" s="1488" t="s">
        <v>32</v>
      </c>
      <c r="AP56" s="1488" t="s">
        <v>32</v>
      </c>
      <c r="AQ56" s="356"/>
    </row>
    <row r="57" spans="1:94" ht="16.5" thickBot="1" x14ac:dyDescent="0.45">
      <c r="A57" s="343" t="s">
        <v>9</v>
      </c>
      <c r="B57" s="1091">
        <f t="shared" ref="B57:AI57" si="7">SUM(B49,B53,B54,B55,B56)</f>
        <v>93.005061114385569</v>
      </c>
      <c r="C57" s="1091">
        <f t="shared" si="7"/>
        <v>90.714089358778821</v>
      </c>
      <c r="D57" s="1091">
        <f t="shared" si="7"/>
        <v>92.602546113848888</v>
      </c>
      <c r="E57" s="1091">
        <f t="shared" si="7"/>
        <v>90.420097845114341</v>
      </c>
      <c r="F57" s="1091">
        <f t="shared" si="7"/>
        <v>90.666381568545191</v>
      </c>
      <c r="G57" s="1091">
        <f t="shared" si="7"/>
        <v>88.603886218145689</v>
      </c>
      <c r="H57" s="1091">
        <f t="shared" si="7"/>
        <v>88.881216335157106</v>
      </c>
      <c r="I57" s="1091">
        <f t="shared" si="7"/>
        <v>93.298655933508726</v>
      </c>
      <c r="J57" s="1091">
        <f t="shared" si="7"/>
        <v>91.50975488981544</v>
      </c>
      <c r="K57" s="1091">
        <f t="shared" si="7"/>
        <v>90.442489289254084</v>
      </c>
      <c r="L57" s="1091">
        <f t="shared" si="7"/>
        <v>92.339554357634611</v>
      </c>
      <c r="M57" s="1091">
        <f t="shared" si="7"/>
        <v>91.380645321737447</v>
      </c>
      <c r="N57" s="1091">
        <f t="shared" si="7"/>
        <v>93.485621259719736</v>
      </c>
      <c r="O57" s="1091">
        <f t="shared" si="7"/>
        <v>95.54353177401525</v>
      </c>
      <c r="P57" s="1091">
        <f t="shared" si="7"/>
        <v>93.310164472412225</v>
      </c>
      <c r="Q57" s="1091">
        <f t="shared" si="7"/>
        <v>94.969260995679363</v>
      </c>
      <c r="R57" s="1091">
        <f t="shared" si="7"/>
        <v>86.292458478025253</v>
      </c>
      <c r="S57" s="1091">
        <f t="shared" si="7"/>
        <v>89.119520543464205</v>
      </c>
      <c r="T57" s="1091">
        <f t="shared" si="7"/>
        <v>86.358552421357089</v>
      </c>
      <c r="U57" s="1091">
        <f t="shared" si="7"/>
        <v>81.216784267345631</v>
      </c>
      <c r="V57" s="1091">
        <f t="shared" si="7"/>
        <v>82.257391342506338</v>
      </c>
      <c r="W57" s="1091">
        <f t="shared" si="7"/>
        <v>76.809556672178559</v>
      </c>
      <c r="X57" s="1091">
        <f t="shared" si="7"/>
        <v>70.626762991257095</v>
      </c>
      <c r="Y57" s="1091">
        <f t="shared" si="7"/>
        <v>75.278993392001837</v>
      </c>
      <c r="Z57" s="1091">
        <f t="shared" si="7"/>
        <v>73.832334119273042</v>
      </c>
      <c r="AA57" s="1091">
        <f t="shared" si="7"/>
        <v>75.000439601401951</v>
      </c>
      <c r="AB57" s="1091">
        <f t="shared" si="7"/>
        <v>71.328185981528421</v>
      </c>
      <c r="AC57" s="1091">
        <f t="shared" si="7"/>
        <v>70.47618538790212</v>
      </c>
      <c r="AD57" s="1091">
        <f t="shared" si="7"/>
        <v>71.631287152283775</v>
      </c>
      <c r="AE57" s="485">
        <f t="shared" si="7"/>
        <v>70.389528830556515</v>
      </c>
      <c r="AF57" s="485">
        <f t="shared" si="7"/>
        <v>64.151992533382881</v>
      </c>
      <c r="AG57" s="485">
        <f t="shared" si="7"/>
        <v>67.09707815821298</v>
      </c>
      <c r="AH57" s="485">
        <f t="shared" si="7"/>
        <v>68.022327133326556</v>
      </c>
      <c r="AI57" s="485">
        <f t="shared" si="7"/>
        <v>65.139812960804832</v>
      </c>
      <c r="AJ57" s="1488" t="s">
        <v>32</v>
      </c>
      <c r="AK57" s="1488" t="s">
        <v>32</v>
      </c>
      <c r="AL57" s="1488" t="s">
        <v>32</v>
      </c>
      <c r="AM57" s="1488" t="s">
        <v>32</v>
      </c>
      <c r="AN57" s="1488" t="s">
        <v>32</v>
      </c>
      <c r="AO57" s="1488" t="s">
        <v>32</v>
      </c>
      <c r="AP57" s="1488" t="s">
        <v>32</v>
      </c>
      <c r="AQ57" s="1092"/>
    </row>
    <row r="58" spans="1:94" s="344" customFormat="1" ht="16.5" thickBot="1" x14ac:dyDescent="0.45">
      <c r="A58" s="345" t="s">
        <v>978</v>
      </c>
      <c r="B58" s="1316" t="s">
        <v>32</v>
      </c>
      <c r="C58" s="346">
        <f t="shared" ref="C58:AI58" si="8">-(100-((C57/B57)*100))</f>
        <v>-2.4632764369555247</v>
      </c>
      <c r="D58" s="346">
        <f t="shared" si="8"/>
        <v>2.0817678581340573</v>
      </c>
      <c r="E58" s="346">
        <f t="shared" si="8"/>
        <v>-2.3567907798683621</v>
      </c>
      <c r="F58" s="346">
        <f t="shared" si="8"/>
        <v>0.27237719190785015</v>
      </c>
      <c r="G58" s="346">
        <f t="shared" si="8"/>
        <v>-2.274818201319988</v>
      </c>
      <c r="H58" s="346">
        <f t="shared" si="8"/>
        <v>0.31299994712266255</v>
      </c>
      <c r="I58" s="346">
        <f t="shared" si="8"/>
        <v>4.9700485439962279</v>
      </c>
      <c r="J58" s="346">
        <f t="shared" si="8"/>
        <v>-1.9173920843706327</v>
      </c>
      <c r="K58" s="346">
        <f t="shared" si="8"/>
        <v>-1.1662861536963192</v>
      </c>
      <c r="L58" s="346">
        <f t="shared" si="8"/>
        <v>2.0975374332226977</v>
      </c>
      <c r="M58" s="346">
        <f t="shared" si="8"/>
        <v>-1.038459674803363</v>
      </c>
      <c r="N58" s="346">
        <f t="shared" si="8"/>
        <v>2.3035249210278579</v>
      </c>
      <c r="O58" s="346">
        <f t="shared" si="8"/>
        <v>2.2013123371970522</v>
      </c>
      <c r="P58" s="346">
        <f t="shared" si="8"/>
        <v>-2.3375389836807585</v>
      </c>
      <c r="Q58" s="346">
        <f t="shared" si="8"/>
        <v>1.7780447957067622</v>
      </c>
      <c r="R58" s="346">
        <f t="shared" si="8"/>
        <v>-9.1364325958573716</v>
      </c>
      <c r="S58" s="346">
        <f t="shared" si="8"/>
        <v>3.2761403664943316</v>
      </c>
      <c r="T58" s="346">
        <f t="shared" si="8"/>
        <v>-3.0980509155236859</v>
      </c>
      <c r="U58" s="346">
        <f t="shared" si="8"/>
        <v>-5.9539767745572618</v>
      </c>
      <c r="V58" s="346">
        <f t="shared" si="8"/>
        <v>1.281270964552462</v>
      </c>
      <c r="W58" s="346">
        <f t="shared" si="8"/>
        <v>-6.6229120343044769</v>
      </c>
      <c r="X58" s="346">
        <f t="shared" si="8"/>
        <v>-8.04951095774382</v>
      </c>
      <c r="Y58" s="346">
        <f t="shared" si="8"/>
        <v>6.5870644550432615</v>
      </c>
      <c r="Z58" s="346">
        <f t="shared" si="8"/>
        <v>-1.9217303626731308</v>
      </c>
      <c r="AA58" s="346">
        <f t="shared" si="8"/>
        <v>1.5821055856663975</v>
      </c>
      <c r="AB58" s="346">
        <f t="shared" si="8"/>
        <v>-4.8963094608379976</v>
      </c>
      <c r="AC58" s="346">
        <f t="shared" si="8"/>
        <v>-1.1944795481647787</v>
      </c>
      <c r="AD58" s="347">
        <f t="shared" si="8"/>
        <v>1.6389958650911041</v>
      </c>
      <c r="AE58" s="347">
        <f t="shared" si="8"/>
        <v>-1.7335418238225344</v>
      </c>
      <c r="AF58" s="347">
        <f t="shared" si="8"/>
        <v>-8.8614548226182706</v>
      </c>
      <c r="AG58" s="346">
        <f t="shared" si="8"/>
        <v>4.590793689373811</v>
      </c>
      <c r="AH58" s="346">
        <f t="shared" si="8"/>
        <v>1.3789705908383354</v>
      </c>
      <c r="AI58" s="346">
        <f t="shared" si="8"/>
        <v>-4.2376000557462277</v>
      </c>
      <c r="AJ58" s="1488" t="s">
        <v>32</v>
      </c>
      <c r="AK58" s="1488" t="s">
        <v>32</v>
      </c>
      <c r="AL58" s="1488" t="s">
        <v>32</v>
      </c>
      <c r="AM58" s="1488" t="s">
        <v>32</v>
      </c>
      <c r="AN58" s="1488" t="s">
        <v>32</v>
      </c>
      <c r="AO58" s="1488" t="s">
        <v>32</v>
      </c>
      <c r="AP58" s="1488" t="s">
        <v>32</v>
      </c>
      <c r="AQ58" s="272"/>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row>
    <row r="59" spans="1:94" s="344" customFormat="1" ht="16.5" thickBot="1" x14ac:dyDescent="0.45">
      <c r="A59" s="345" t="s">
        <v>977</v>
      </c>
      <c r="B59" s="1316" t="s">
        <v>32</v>
      </c>
      <c r="C59" s="346">
        <f t="shared" ref="C59:AI59" si="9">-(100-((C57/$B$57)*100))</f>
        <v>-2.4632764369555247</v>
      </c>
      <c r="D59" s="346">
        <f t="shared" si="9"/>
        <v>-0.43278827594299685</v>
      </c>
      <c r="E59" s="346">
        <f t="shared" si="9"/>
        <v>-2.7793791416275866</v>
      </c>
      <c r="F59" s="346">
        <f t="shared" si="9"/>
        <v>-2.514572344578184</v>
      </c>
      <c r="G59" s="346">
        <f t="shared" si="9"/>
        <v>-4.7321885965183554</v>
      </c>
      <c r="H59" s="346">
        <f t="shared" si="9"/>
        <v>-4.4340003972005491</v>
      </c>
      <c r="I59" s="346">
        <f t="shared" si="9"/>
        <v>0.31567617461382724</v>
      </c>
      <c r="J59" s="346">
        <f t="shared" si="9"/>
        <v>-1.6077686597410832</v>
      </c>
      <c r="K59" s="346">
        <f t="shared" si="9"/>
        <v>-2.7553036301753622</v>
      </c>
      <c r="L59" s="346">
        <f t="shared" si="9"/>
        <v>-0.71555972199455198</v>
      </c>
      <c r="M59" s="346">
        <f t="shared" si="9"/>
        <v>-1.7465885976358493</v>
      </c>
      <c r="N59" s="346">
        <f t="shared" si="9"/>
        <v>0.51670321977761091</v>
      </c>
      <c r="O59" s="346">
        <f t="shared" si="9"/>
        <v>2.729389808698329</v>
      </c>
      <c r="P59" s="346">
        <f t="shared" si="9"/>
        <v>0.32805027422261901</v>
      </c>
      <c r="Q59" s="346">
        <f t="shared" si="9"/>
        <v>2.1119279507574902</v>
      </c>
      <c r="R59" s="346">
        <f t="shared" si="9"/>
        <v>-7.2174595187939161</v>
      </c>
      <c r="S59" s="346">
        <f t="shared" si="9"/>
        <v>-4.177773257030168</v>
      </c>
      <c r="T59" s="346">
        <f t="shared" si="9"/>
        <v>-7.1463946299159318</v>
      </c>
      <c r="U59" s="346">
        <f t="shared" si="9"/>
        <v>-12.674876727989798</v>
      </c>
      <c r="V59" s="346">
        <f t="shared" si="9"/>
        <v>-11.556005278745886</v>
      </c>
      <c r="W59" s="346">
        <f t="shared" si="9"/>
        <v>-17.413573248759434</v>
      </c>
      <c r="X59" s="346">
        <f t="shared" si="9"/>
        <v>-24.061376719709614</v>
      </c>
      <c r="Y59" s="346">
        <f t="shared" si="9"/>
        <v>-19.059250657964412</v>
      </c>
      <c r="Z59" s="346">
        <f t="shared" si="9"/>
        <v>-20.614713613845453</v>
      </c>
      <c r="AA59" s="346">
        <f t="shared" si="9"/>
        <v>-19.35875456373283</v>
      </c>
      <c r="AB59" s="346">
        <f t="shared" si="9"/>
        <v>-23.307199493366355</v>
      </c>
      <c r="AC59" s="346">
        <f t="shared" si="9"/>
        <v>-24.223279310332927</v>
      </c>
      <c r="AD59" s="347">
        <f t="shared" si="9"/>
        <v>-22.981301991527644</v>
      </c>
      <c r="AE59" s="347">
        <f t="shared" si="9"/>
        <v>-24.316453333668093</v>
      </c>
      <c r="AF59" s="347">
        <f t="shared" si="9"/>
        <v>-31.023116629660322</v>
      </c>
      <c r="AG59" s="347">
        <f t="shared" si="9"/>
        <v>-27.856530220768022</v>
      </c>
      <c r="AH59" s="346">
        <f t="shared" si="9"/>
        <v>-26.861692989302071</v>
      </c>
      <c r="AI59" s="346">
        <f t="shared" si="9"/>
        <v>-29.961001927959245</v>
      </c>
      <c r="AJ59" s="1488" t="s">
        <v>32</v>
      </c>
      <c r="AK59" s="1488" t="s">
        <v>32</v>
      </c>
      <c r="AL59" s="1488" t="s">
        <v>32</v>
      </c>
      <c r="AM59" s="1488" t="s">
        <v>32</v>
      </c>
      <c r="AN59" s="1488" t="s">
        <v>32</v>
      </c>
      <c r="AO59" s="1488" t="s">
        <v>32</v>
      </c>
      <c r="AP59" s="1488" t="s">
        <v>32</v>
      </c>
      <c r="AQ59" s="272"/>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row>
    <row r="60" spans="1:94" s="350" customFormat="1" ht="16.5" thickBot="1" x14ac:dyDescent="0.45">
      <c r="A60" s="345" t="s">
        <v>10</v>
      </c>
      <c r="B60" s="348">
        <f>$B$57*(1-0.25)</f>
        <v>69.753795835789177</v>
      </c>
      <c r="C60" s="1317" t="s">
        <v>32</v>
      </c>
      <c r="D60" s="1317" t="s">
        <v>32</v>
      </c>
      <c r="E60" s="1317" t="s">
        <v>32</v>
      </c>
      <c r="F60" s="1317" t="s">
        <v>32</v>
      </c>
      <c r="G60" s="1317" t="s">
        <v>32</v>
      </c>
      <c r="H60" s="1317" t="s">
        <v>32</v>
      </c>
      <c r="I60" s="1317" t="s">
        <v>32</v>
      </c>
      <c r="J60" s="1317" t="s">
        <v>32</v>
      </c>
      <c r="K60" s="1317" t="s">
        <v>32</v>
      </c>
      <c r="L60" s="1317" t="s">
        <v>32</v>
      </c>
      <c r="M60" s="1317" t="s">
        <v>32</v>
      </c>
      <c r="N60" s="1317" t="s">
        <v>32</v>
      </c>
      <c r="O60" s="1317" t="s">
        <v>32</v>
      </c>
      <c r="P60" s="1317" t="s">
        <v>32</v>
      </c>
      <c r="Q60" s="1317" t="s">
        <v>32</v>
      </c>
      <c r="R60" s="1317" t="s">
        <v>32</v>
      </c>
      <c r="S60" s="1317" t="s">
        <v>32</v>
      </c>
      <c r="T60" s="1317" t="s">
        <v>32</v>
      </c>
      <c r="U60" s="1317" t="s">
        <v>32</v>
      </c>
      <c r="V60" s="1317" t="s">
        <v>32</v>
      </c>
      <c r="W60" s="1317" t="s">
        <v>32</v>
      </c>
      <c r="X60" s="1317" t="s">
        <v>32</v>
      </c>
      <c r="Y60" s="1317" t="s">
        <v>32</v>
      </c>
      <c r="Z60" s="1317" t="s">
        <v>32</v>
      </c>
      <c r="AA60" s="1317" t="s">
        <v>32</v>
      </c>
      <c r="AB60" s="1317" t="s">
        <v>32</v>
      </c>
      <c r="AC60" s="1317" t="s">
        <v>32</v>
      </c>
      <c r="AD60" s="1317" t="s">
        <v>32</v>
      </c>
      <c r="AE60" s="1317" t="s">
        <v>32</v>
      </c>
      <c r="AF60" s="348">
        <f>$B$57*(1-0.25)</f>
        <v>69.753795835789177</v>
      </c>
      <c r="AG60" s="1317" t="s">
        <v>32</v>
      </c>
      <c r="AH60" s="1317" t="s">
        <v>32</v>
      </c>
      <c r="AI60" s="1317" t="s">
        <v>32</v>
      </c>
      <c r="AJ60" s="1317" t="s">
        <v>32</v>
      </c>
      <c r="AK60" s="1317" t="s">
        <v>32</v>
      </c>
      <c r="AL60" s="1317" t="s">
        <v>32</v>
      </c>
      <c r="AM60" s="1317" t="s">
        <v>32</v>
      </c>
      <c r="AN60" s="1317" t="s">
        <v>32</v>
      </c>
      <c r="AO60" s="1317" t="s">
        <v>32</v>
      </c>
      <c r="AP60" s="1317" t="s">
        <v>32</v>
      </c>
      <c r="AQ60" s="280"/>
      <c r="AR60" s="28"/>
      <c r="AS60" s="28"/>
      <c r="AT60" s="28"/>
      <c r="AU60" s="28"/>
      <c r="AV60" s="28"/>
      <c r="AW60" s="28"/>
      <c r="AX60" s="3"/>
      <c r="AY60" s="3"/>
      <c r="AZ60" s="3"/>
      <c r="BA60" s="3"/>
      <c r="BB60" s="3"/>
      <c r="BC60" s="3"/>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row>
    <row r="61" spans="1:94" s="350" customFormat="1" ht="16.5" thickBot="1" x14ac:dyDescent="0.45">
      <c r="A61" s="351" t="s">
        <v>11</v>
      </c>
      <c r="B61" s="352">
        <v>63.2</v>
      </c>
      <c r="C61" s="1317" t="s">
        <v>32</v>
      </c>
      <c r="D61" s="1317" t="s">
        <v>32</v>
      </c>
      <c r="E61" s="1317" t="s">
        <v>32</v>
      </c>
      <c r="F61" s="1317" t="s">
        <v>32</v>
      </c>
      <c r="G61" s="1317" t="s">
        <v>32</v>
      </c>
      <c r="H61" s="1317" t="s">
        <v>32</v>
      </c>
      <c r="I61" s="1317" t="s">
        <v>32</v>
      </c>
      <c r="J61" s="1317" t="s">
        <v>32</v>
      </c>
      <c r="K61" s="1317" t="s">
        <v>32</v>
      </c>
      <c r="L61" s="1317" t="s">
        <v>32</v>
      </c>
      <c r="M61" s="1317" t="s">
        <v>32</v>
      </c>
      <c r="N61" s="1317" t="s">
        <v>32</v>
      </c>
      <c r="O61" s="1317" t="s">
        <v>32</v>
      </c>
      <c r="P61" s="1317" t="s">
        <v>32</v>
      </c>
      <c r="Q61" s="1317" t="s">
        <v>32</v>
      </c>
      <c r="R61" s="1317" t="s">
        <v>32</v>
      </c>
      <c r="S61" s="1317" t="s">
        <v>32</v>
      </c>
      <c r="T61" s="1317" t="s">
        <v>32</v>
      </c>
      <c r="U61" s="1317" t="s">
        <v>32</v>
      </c>
      <c r="V61" s="1317" t="s">
        <v>32</v>
      </c>
      <c r="W61" s="1317" t="s">
        <v>32</v>
      </c>
      <c r="X61" s="1317" t="s">
        <v>32</v>
      </c>
      <c r="Y61" s="1317" t="s">
        <v>32</v>
      </c>
      <c r="Z61" s="1317" t="s">
        <v>32</v>
      </c>
      <c r="AA61" s="1317" t="s">
        <v>32</v>
      </c>
      <c r="AB61" s="1317" t="s">
        <v>32</v>
      </c>
      <c r="AC61" s="1317" t="s">
        <v>32</v>
      </c>
      <c r="AD61" s="1317" t="s">
        <v>32</v>
      </c>
      <c r="AE61" s="1317" t="s">
        <v>32</v>
      </c>
      <c r="AF61" s="1317" t="s">
        <v>32</v>
      </c>
      <c r="AG61" s="1317" t="s">
        <v>32</v>
      </c>
      <c r="AH61" s="1317" t="s">
        <v>32</v>
      </c>
      <c r="AI61" s="1317" t="s">
        <v>32</v>
      </c>
      <c r="AJ61" s="1317" t="s">
        <v>32</v>
      </c>
      <c r="AK61" s="352">
        <v>63.2</v>
      </c>
      <c r="AL61" s="1317" t="s">
        <v>32</v>
      </c>
      <c r="AM61" s="1317" t="s">
        <v>32</v>
      </c>
      <c r="AN61" s="1317" t="s">
        <v>32</v>
      </c>
      <c r="AO61" s="1317" t="s">
        <v>32</v>
      </c>
      <c r="AP61" s="1317" t="s">
        <v>32</v>
      </c>
      <c r="AQ61" s="280"/>
      <c r="AR61" s="28"/>
      <c r="AS61" s="28"/>
      <c r="AT61" s="28"/>
      <c r="AU61" s="28"/>
      <c r="AV61" s="28"/>
      <c r="AW61" s="28"/>
      <c r="AX61" s="3"/>
      <c r="AY61" s="3"/>
      <c r="AZ61" s="3"/>
      <c r="BA61" s="3"/>
      <c r="BB61" s="3"/>
      <c r="BC61" s="3"/>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row>
    <row r="62" spans="1:94" s="350" customFormat="1" ht="16.5" thickBot="1" x14ac:dyDescent="0.45">
      <c r="A62" s="353" t="s">
        <v>12</v>
      </c>
      <c r="B62" s="348">
        <v>47</v>
      </c>
      <c r="C62" s="1317" t="s">
        <v>32</v>
      </c>
      <c r="D62" s="1317" t="s">
        <v>32</v>
      </c>
      <c r="E62" s="1317" t="s">
        <v>32</v>
      </c>
      <c r="F62" s="1317" t="s">
        <v>32</v>
      </c>
      <c r="G62" s="1317" t="s">
        <v>32</v>
      </c>
      <c r="H62" s="1317" t="s">
        <v>32</v>
      </c>
      <c r="I62" s="1317" t="s">
        <v>32</v>
      </c>
      <c r="J62" s="1317" t="s">
        <v>32</v>
      </c>
      <c r="K62" s="1317" t="s">
        <v>32</v>
      </c>
      <c r="L62" s="1317" t="s">
        <v>32</v>
      </c>
      <c r="M62" s="1317" t="s">
        <v>32</v>
      </c>
      <c r="N62" s="1317" t="s">
        <v>32</v>
      </c>
      <c r="O62" s="1317" t="s">
        <v>32</v>
      </c>
      <c r="P62" s="1317" t="s">
        <v>32</v>
      </c>
      <c r="Q62" s="1317" t="s">
        <v>32</v>
      </c>
      <c r="R62" s="1317" t="s">
        <v>32</v>
      </c>
      <c r="S62" s="1317" t="s">
        <v>32</v>
      </c>
      <c r="T62" s="1317" t="s">
        <v>32</v>
      </c>
      <c r="U62" s="1317" t="s">
        <v>32</v>
      </c>
      <c r="V62" s="1317" t="s">
        <v>32</v>
      </c>
      <c r="W62" s="1317" t="s">
        <v>32</v>
      </c>
      <c r="X62" s="1317" t="s">
        <v>32</v>
      </c>
      <c r="Y62" s="1317" t="s">
        <v>32</v>
      </c>
      <c r="Z62" s="1317" t="s">
        <v>32</v>
      </c>
      <c r="AA62" s="1317" t="s">
        <v>32</v>
      </c>
      <c r="AB62" s="1317" t="s">
        <v>32</v>
      </c>
      <c r="AC62" s="1317" t="s">
        <v>32</v>
      </c>
      <c r="AD62" s="1317" t="s">
        <v>32</v>
      </c>
      <c r="AE62" s="1317" t="s">
        <v>32</v>
      </c>
      <c r="AF62" s="1317" t="s">
        <v>32</v>
      </c>
      <c r="AG62" s="1317" t="s">
        <v>32</v>
      </c>
      <c r="AH62" s="1317" t="s">
        <v>32</v>
      </c>
      <c r="AI62" s="1317" t="s">
        <v>32</v>
      </c>
      <c r="AJ62" s="1317" t="s">
        <v>32</v>
      </c>
      <c r="AK62" s="1317" t="s">
        <v>32</v>
      </c>
      <c r="AL62" s="1317" t="s">
        <v>32</v>
      </c>
      <c r="AM62" s="1317" t="s">
        <v>32</v>
      </c>
      <c r="AN62" s="1317" t="s">
        <v>32</v>
      </c>
      <c r="AO62" s="1317" t="s">
        <v>32</v>
      </c>
      <c r="AP62" s="348">
        <v>47</v>
      </c>
      <c r="AQ62" s="280"/>
      <c r="AR62" s="28"/>
      <c r="AS62" s="28"/>
      <c r="AT62" s="28"/>
      <c r="AU62" s="28"/>
      <c r="AV62" s="28"/>
      <c r="AW62" s="28"/>
      <c r="AX62" s="3"/>
      <c r="AY62" s="3"/>
      <c r="AZ62" s="3"/>
      <c r="BA62" s="3"/>
      <c r="BB62" s="3"/>
      <c r="BC62" s="3"/>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row>
    <row r="63" spans="1:94" s="350" customFormat="1" ht="16.5" thickBot="1" x14ac:dyDescent="0.45">
      <c r="A63" s="351" t="s">
        <v>13</v>
      </c>
      <c r="B63" s="352">
        <f>B57*(1-0.85)</f>
        <v>13.950759167157837</v>
      </c>
      <c r="C63" s="1317" t="s">
        <v>32</v>
      </c>
      <c r="D63" s="1317" t="s">
        <v>32</v>
      </c>
      <c r="E63" s="1317" t="s">
        <v>32</v>
      </c>
      <c r="F63" s="1317" t="s">
        <v>32</v>
      </c>
      <c r="G63" s="1317" t="s">
        <v>32</v>
      </c>
      <c r="H63" s="1317" t="s">
        <v>32</v>
      </c>
      <c r="I63" s="1317" t="s">
        <v>32</v>
      </c>
      <c r="J63" s="1317" t="s">
        <v>32</v>
      </c>
      <c r="K63" s="1317" t="s">
        <v>32</v>
      </c>
      <c r="L63" s="1317" t="s">
        <v>32</v>
      </c>
      <c r="M63" s="1317" t="s">
        <v>32</v>
      </c>
      <c r="N63" s="1317" t="s">
        <v>32</v>
      </c>
      <c r="O63" s="1317" t="s">
        <v>32</v>
      </c>
      <c r="P63" s="1317" t="s">
        <v>32</v>
      </c>
      <c r="Q63" s="1317" t="s">
        <v>32</v>
      </c>
      <c r="R63" s="1317" t="s">
        <v>32</v>
      </c>
      <c r="S63" s="1317" t="s">
        <v>32</v>
      </c>
      <c r="T63" s="1317" t="s">
        <v>32</v>
      </c>
      <c r="U63" s="1317" t="s">
        <v>32</v>
      </c>
      <c r="V63" s="1317" t="s">
        <v>32</v>
      </c>
      <c r="W63" s="1317" t="s">
        <v>32</v>
      </c>
      <c r="X63" s="1317" t="s">
        <v>32</v>
      </c>
      <c r="Y63" s="1317" t="s">
        <v>32</v>
      </c>
      <c r="Z63" s="1317" t="s">
        <v>32</v>
      </c>
      <c r="AA63" s="1317" t="s">
        <v>32</v>
      </c>
      <c r="AB63" s="1317" t="s">
        <v>32</v>
      </c>
      <c r="AC63" s="1317" t="s">
        <v>32</v>
      </c>
      <c r="AD63" s="1317" t="s">
        <v>32</v>
      </c>
      <c r="AE63" s="1317" t="s">
        <v>32</v>
      </c>
      <c r="AF63" s="1317" t="s">
        <v>32</v>
      </c>
      <c r="AG63" s="1317" t="s">
        <v>32</v>
      </c>
      <c r="AH63" s="1317" t="s">
        <v>32</v>
      </c>
      <c r="AI63" s="1317" t="s">
        <v>32</v>
      </c>
      <c r="AJ63" s="1317" t="s">
        <v>32</v>
      </c>
      <c r="AK63" s="1317" t="s">
        <v>32</v>
      </c>
      <c r="AL63" s="1317" t="s">
        <v>32</v>
      </c>
      <c r="AM63" s="1317" t="s">
        <v>32</v>
      </c>
      <c r="AN63" s="1317" t="s">
        <v>32</v>
      </c>
      <c r="AO63" s="1317" t="s">
        <v>32</v>
      </c>
      <c r="AP63" s="1317" t="s">
        <v>32</v>
      </c>
      <c r="AQ63" s="280"/>
      <c r="AR63" s="28"/>
      <c r="AS63" s="28"/>
      <c r="AT63" s="28"/>
      <c r="AU63" s="28"/>
      <c r="AV63" s="28"/>
      <c r="AW63" s="28"/>
      <c r="AX63" s="3"/>
      <c r="AY63" s="3"/>
      <c r="AZ63" s="3"/>
      <c r="BA63" s="3"/>
      <c r="BB63" s="3"/>
      <c r="BC63" s="3"/>
      <c r="BD63" s="28"/>
      <c r="BE63" s="28"/>
      <c r="BF63" s="28"/>
      <c r="BG63" s="28"/>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row>
    <row r="64" spans="1:94" x14ac:dyDescent="0.4">
      <c r="A64" s="196" t="s">
        <v>1063</v>
      </c>
      <c r="B64" s="391"/>
      <c r="C64" s="391"/>
      <c r="D64" s="280"/>
      <c r="E64" s="280"/>
      <c r="F64" s="280"/>
      <c r="G64" s="280"/>
      <c r="H64" s="280"/>
      <c r="I64" s="280"/>
      <c r="J64" s="280"/>
      <c r="K64" s="280"/>
      <c r="L64" s="280"/>
      <c r="M64" s="280"/>
      <c r="N64" s="280"/>
      <c r="O64" s="280"/>
      <c r="P64" s="280"/>
      <c r="Q64" s="280"/>
      <c r="R64" s="280"/>
      <c r="S64" s="280"/>
      <c r="T64" s="280"/>
      <c r="U64" s="280"/>
      <c r="V64" s="280"/>
      <c r="W64" s="280"/>
      <c r="X64" s="280"/>
      <c r="Y64" s="280"/>
      <c r="Z64" s="280"/>
      <c r="AA64" s="280"/>
      <c r="AB64" s="280"/>
      <c r="AC64" s="280"/>
      <c r="AD64" s="280"/>
      <c r="AE64" s="280"/>
      <c r="AG64" s="280"/>
      <c r="AH64" s="280"/>
      <c r="AI64" s="280"/>
      <c r="AJ64" s="280"/>
      <c r="AL64" s="280"/>
      <c r="AM64" s="280"/>
      <c r="AN64" s="280"/>
      <c r="AO64" s="280"/>
    </row>
    <row r="66" spans="1:52" ht="17" x14ac:dyDescent="0.45">
      <c r="A66" s="165" t="s">
        <v>1270</v>
      </c>
      <c r="B66" s="29"/>
      <c r="U66" s="55"/>
      <c r="V66" s="55"/>
      <c r="W66" s="55"/>
      <c r="X66" s="55"/>
      <c r="Y66" s="267"/>
      <c r="Z66" s="267"/>
      <c r="AA66" s="267"/>
      <c r="AB66" s="267"/>
      <c r="AC66" s="267"/>
      <c r="AD66" s="267"/>
      <c r="AE66" s="267"/>
      <c r="AF66" s="267"/>
      <c r="AG66" s="390"/>
      <c r="AH66" s="390"/>
      <c r="AI66" s="390"/>
      <c r="AJ66" s="390"/>
      <c r="AK66" s="390"/>
      <c r="AL66" s="390"/>
      <c r="AM66" s="390"/>
      <c r="AN66" s="267"/>
      <c r="AO66" s="267"/>
      <c r="AP66" s="267"/>
    </row>
    <row r="67" spans="1:52" s="28" customFormat="1" ht="16.5" thickBot="1" x14ac:dyDescent="0.45">
      <c r="A67" s="976" t="s">
        <v>670</v>
      </c>
      <c r="B67" s="353" t="s">
        <v>391</v>
      </c>
      <c r="C67" s="353" t="s">
        <v>392</v>
      </c>
      <c r="D67" s="353" t="s">
        <v>393</v>
      </c>
      <c r="E67" s="353" t="s">
        <v>394</v>
      </c>
      <c r="F67" s="353" t="s">
        <v>395</v>
      </c>
      <c r="G67" s="353" t="s">
        <v>396</v>
      </c>
      <c r="H67" s="353" t="s">
        <v>397</v>
      </c>
      <c r="I67" s="353" t="s">
        <v>398</v>
      </c>
      <c r="J67" s="353" t="s">
        <v>399</v>
      </c>
      <c r="K67" s="353" t="s">
        <v>400</v>
      </c>
      <c r="L67" s="353" t="s">
        <v>401</v>
      </c>
      <c r="M67" s="353" t="s">
        <v>402</v>
      </c>
      <c r="N67" s="353" t="s">
        <v>403</v>
      </c>
      <c r="O67" s="353" t="s">
        <v>404</v>
      </c>
      <c r="P67" s="353" t="s">
        <v>405</v>
      </c>
      <c r="Q67" s="353" t="s">
        <v>406</v>
      </c>
      <c r="R67" s="353" t="s">
        <v>407</v>
      </c>
      <c r="S67" s="353" t="s">
        <v>408</v>
      </c>
      <c r="T67" s="353" t="s">
        <v>409</v>
      </c>
      <c r="U67" s="353" t="s">
        <v>410</v>
      </c>
      <c r="V67" s="353" t="s">
        <v>411</v>
      </c>
      <c r="W67" s="353" t="s">
        <v>412</v>
      </c>
      <c r="X67" s="353" t="s">
        <v>413</v>
      </c>
      <c r="Y67" s="353" t="s">
        <v>414</v>
      </c>
      <c r="Z67" s="353" t="s">
        <v>415</v>
      </c>
      <c r="AA67" s="353" t="s">
        <v>416</v>
      </c>
      <c r="AB67" s="353" t="s">
        <v>417</v>
      </c>
      <c r="AC67" s="353" t="s">
        <v>418</v>
      </c>
      <c r="AD67" s="353" t="s">
        <v>419</v>
      </c>
      <c r="AE67" s="353" t="s">
        <v>420</v>
      </c>
      <c r="AF67" s="353" t="s">
        <v>421</v>
      </c>
      <c r="AG67" s="353" t="s">
        <v>422</v>
      </c>
      <c r="AH67" s="353" t="s">
        <v>423</v>
      </c>
      <c r="AI67" s="353" t="s">
        <v>424</v>
      </c>
      <c r="AJ67" s="353" t="s">
        <v>425</v>
      </c>
      <c r="AK67" s="353" t="s">
        <v>426</v>
      </c>
      <c r="AL67" s="353" t="s">
        <v>477</v>
      </c>
      <c r="AM67" s="353" t="s">
        <v>478</v>
      </c>
      <c r="AN67" s="353" t="s">
        <v>479</v>
      </c>
      <c r="AO67" s="353" t="s">
        <v>480</v>
      </c>
      <c r="AP67" s="353" t="s">
        <v>481</v>
      </c>
    </row>
    <row r="68" spans="1:52" ht="16.5" thickBot="1" x14ac:dyDescent="0.45">
      <c r="A68" s="355" t="s">
        <v>14</v>
      </c>
      <c r="B68" s="333">
        <f>Process!B24</f>
        <v>28.162431330116149</v>
      </c>
      <c r="C68" s="333">
        <f>Process!C24</f>
        <v>28.264086112233116</v>
      </c>
      <c r="D68" s="333">
        <f>Process!D24</f>
        <v>27.083465220071602</v>
      </c>
      <c r="E68" s="333">
        <f>Process!E24</f>
        <v>25.451998051107321</v>
      </c>
      <c r="F68" s="333">
        <f>Process!F24</f>
        <v>25.542371654754771</v>
      </c>
      <c r="G68" s="333">
        <f>Process!G24</f>
        <v>24.730600597448042</v>
      </c>
      <c r="H68" s="333">
        <f>Process!H24</f>
        <v>24.51855665029958</v>
      </c>
      <c r="I68" s="333">
        <f>Process!I24</f>
        <v>28.637910886582169</v>
      </c>
      <c r="J68" s="333">
        <f>Process!J24</f>
        <v>29.274838523518994</v>
      </c>
      <c r="K68" s="333">
        <f>Process!K24</f>
        <v>27.873815963592197</v>
      </c>
      <c r="L68" s="333">
        <f>Process!L24</f>
        <v>27.07555759560249</v>
      </c>
      <c r="M68" s="333">
        <f>Process!M24</f>
        <v>26.559330901711363</v>
      </c>
      <c r="N68" s="333">
        <f>Process!N24</f>
        <v>28.147865813381259</v>
      </c>
      <c r="O68" s="333">
        <f>Process!O24</f>
        <v>29.637443235091379</v>
      </c>
      <c r="P68" s="333">
        <f>Process!P24</f>
        <v>28.52854665158296</v>
      </c>
      <c r="Q68" s="333">
        <f>Process!Q24</f>
        <v>29.976865531050549</v>
      </c>
      <c r="R68" s="333">
        <f>Process!R24</f>
        <v>26.19038965355578</v>
      </c>
      <c r="S68" s="333">
        <f>Process!S24</f>
        <v>27.844045975987939</v>
      </c>
      <c r="T68" s="333">
        <f>Process!T24</f>
        <v>25.13013800459893</v>
      </c>
      <c r="U68" s="333">
        <f>Process!U24</f>
        <v>22.503797660883695</v>
      </c>
      <c r="V68" s="333">
        <f>Process!V24</f>
        <v>23.211386378367123</v>
      </c>
      <c r="W68" s="333">
        <f>Process!W24</f>
        <v>18.281940644785681</v>
      </c>
      <c r="X68" s="333">
        <f>Process!X24</f>
        <v>15.861730730057928</v>
      </c>
      <c r="Y68" s="333">
        <f>Process!Y24</f>
        <v>16.4512569723315</v>
      </c>
      <c r="Z68" s="333">
        <f>Process!Z24</f>
        <v>14.88463344566345</v>
      </c>
      <c r="AA68" s="333">
        <f>Process!AA24</f>
        <v>15.686193768215984</v>
      </c>
      <c r="AB68" s="333">
        <f>Process!AB24</f>
        <v>14.734081239424333</v>
      </c>
      <c r="AC68" s="333">
        <f>Process!AC24</f>
        <v>13.614370068180438</v>
      </c>
      <c r="AD68" s="335">
        <f>Process!AD24</f>
        <v>12.134257842909928</v>
      </c>
      <c r="AE68" s="333">
        <f>Process!AE24</f>
        <v>10.722427778971639</v>
      </c>
      <c r="AF68" s="333">
        <f>Process!AF24</f>
        <v>12.806025714474893</v>
      </c>
      <c r="AG68" s="333">
        <f>Process!AG24</f>
        <v>12.487184309944796</v>
      </c>
      <c r="AH68" s="333">
        <f>Process!AH24</f>
        <v>12.230393622083517</v>
      </c>
      <c r="AI68" s="333">
        <f>Process!AI24</f>
        <v>11.260706072606789</v>
      </c>
      <c r="AJ68" s="1489" t="s">
        <v>32</v>
      </c>
      <c r="AK68" s="1489" t="s">
        <v>32</v>
      </c>
      <c r="AL68" s="1489" t="s">
        <v>32</v>
      </c>
      <c r="AM68" s="1489" t="s">
        <v>32</v>
      </c>
      <c r="AN68" s="1489" t="s">
        <v>32</v>
      </c>
      <c r="AO68" s="1489" t="s">
        <v>32</v>
      </c>
      <c r="AP68" s="1489" t="s">
        <v>32</v>
      </c>
    </row>
    <row r="69" spans="1:52" ht="16.5" thickBot="1" x14ac:dyDescent="0.45">
      <c r="A69" s="355" t="s">
        <v>15</v>
      </c>
      <c r="B69" s="357">
        <f>Process!B21</f>
        <v>29.581745501205152</v>
      </c>
      <c r="C69" s="358">
        <f>Process!C21</f>
        <v>28.007934560130941</v>
      </c>
      <c r="D69" s="358">
        <f>Process!D21</f>
        <v>27.563240820066049</v>
      </c>
      <c r="E69" s="358">
        <f>Process!E21</f>
        <v>27.772344463031306</v>
      </c>
      <c r="F69" s="358">
        <f>Process!F21</f>
        <v>28.042522309337134</v>
      </c>
      <c r="G69" s="358">
        <f>Process!G21</f>
        <v>28.704754954067852</v>
      </c>
      <c r="H69" s="358">
        <f>Process!H21</f>
        <v>29.563067414078876</v>
      </c>
      <c r="I69" s="358">
        <f>Process!I21</f>
        <v>29.897537474524093</v>
      </c>
      <c r="J69" s="358">
        <f>Process!J21</f>
        <v>30.181050408053974</v>
      </c>
      <c r="K69" s="358">
        <f>Process!K21</f>
        <v>30.789867518520762</v>
      </c>
      <c r="L69" s="358">
        <f>Process!L21</f>
        <v>31.933223453237744</v>
      </c>
      <c r="M69" s="358">
        <f>Process!M21</f>
        <v>31.42992969847694</v>
      </c>
      <c r="N69" s="358">
        <f>Process!N21</f>
        <v>31.574075255538787</v>
      </c>
      <c r="O69" s="358">
        <f>Process!O21</f>
        <v>31.97471459221569</v>
      </c>
      <c r="P69" s="358">
        <f>Process!P21</f>
        <v>33.213685399354738</v>
      </c>
      <c r="Q69" s="358">
        <f>Process!Q21</f>
        <v>33.172330863894125</v>
      </c>
      <c r="R69" s="358">
        <f>Process!R21</f>
        <v>32.279926174657945</v>
      </c>
      <c r="S69" s="358">
        <f>Process!S21</f>
        <v>32.531308872264191</v>
      </c>
      <c r="T69" s="358">
        <f>Process!T21</f>
        <v>31.531388451441796</v>
      </c>
      <c r="U69" s="358">
        <f>Process!U21</f>
        <v>29.577725512467968</v>
      </c>
      <c r="V69" s="358">
        <f>Process!V21</f>
        <v>29.777150721285388</v>
      </c>
      <c r="W69" s="358">
        <f>Process!W21</f>
        <v>29.696806879044935</v>
      </c>
      <c r="X69" s="358">
        <f>Process!X21</f>
        <v>29.109024991059549</v>
      </c>
      <c r="Y69" s="358">
        <f>Process!Y21</f>
        <v>30.358885111491265</v>
      </c>
      <c r="Z69" s="358">
        <f>Process!Z21</f>
        <v>28.534881580560413</v>
      </c>
      <c r="AA69" s="358">
        <f>Process!AA21</f>
        <v>28.953989807069522</v>
      </c>
      <c r="AB69" s="359">
        <f>Process!AB21</f>
        <v>29.294609318853226</v>
      </c>
      <c r="AC69" s="359">
        <f>Process!AC21</f>
        <v>28.737551562426354</v>
      </c>
      <c r="AD69" s="359">
        <f>Process!AD21</f>
        <v>29.329106616129806</v>
      </c>
      <c r="AE69" s="359">
        <f>Process!AE21</f>
        <v>29.076974889794318</v>
      </c>
      <c r="AF69" s="359">
        <f>Process!AF21</f>
        <v>22.943498665902066</v>
      </c>
      <c r="AG69" s="359">
        <f>Process!AG21</f>
        <v>25.675300072198549</v>
      </c>
      <c r="AH69" s="359">
        <f>Process!AH21</f>
        <v>26.243543311499938</v>
      </c>
      <c r="AI69" s="359">
        <f>Process!AI21</f>
        <v>26.290528324068958</v>
      </c>
      <c r="AJ69" s="1489" t="s">
        <v>32</v>
      </c>
      <c r="AK69" s="1489" t="s">
        <v>32</v>
      </c>
      <c r="AL69" s="1489" t="s">
        <v>32</v>
      </c>
      <c r="AM69" s="1489" t="s">
        <v>32</v>
      </c>
      <c r="AN69" s="1489" t="s">
        <v>32</v>
      </c>
      <c r="AO69" s="1489" t="s">
        <v>32</v>
      </c>
      <c r="AP69" s="1489" t="s">
        <v>32</v>
      </c>
    </row>
    <row r="70" spans="1:52" ht="16.5" thickBot="1" x14ac:dyDescent="0.45">
      <c r="A70" s="355" t="s">
        <v>16</v>
      </c>
      <c r="B70" s="333">
        <f>Process!B12+Process!B15+Process!B16</f>
        <v>14.055381766855493</v>
      </c>
      <c r="C70" s="333">
        <f>Process!C12+Process!C15+Process!C16</f>
        <v>13.953048057855117</v>
      </c>
      <c r="D70" s="333">
        <f>Process!D12+Process!D15+Process!D16</f>
        <v>15.433560214670768</v>
      </c>
      <c r="E70" s="333">
        <f>Process!E12+Process!E15+Process!E16</f>
        <v>14.647752664418203</v>
      </c>
      <c r="F70" s="333">
        <f>Process!F12+Process!F15+Process!F16</f>
        <v>14.635356614247844</v>
      </c>
      <c r="G70" s="333">
        <f>Process!G12+Process!G15+Process!G16</f>
        <v>14.048345624201456</v>
      </c>
      <c r="H70" s="333">
        <f>Process!H12+Process!H15+Process!H16</f>
        <v>14.132050068365091</v>
      </c>
      <c r="I70" s="333">
        <f>Process!I12+Process!I15+Process!I16</f>
        <v>14.621125035883955</v>
      </c>
      <c r="J70" s="333">
        <f>Process!J12+Process!J15+Process!J16</f>
        <v>12.933997003679934</v>
      </c>
      <c r="K70" s="333">
        <f>Process!K12+Process!K15+Process!K16</f>
        <v>11.749006288795753</v>
      </c>
      <c r="L70" s="333">
        <f>Process!L12+Process!L15+Process!L16</f>
        <v>12.223712292674097</v>
      </c>
      <c r="M70" s="333">
        <f>Process!M12+Process!M15+Process!M16</f>
        <v>12.341172482583001</v>
      </c>
      <c r="N70" s="333">
        <f>Process!N12+Process!N15+Process!N16</f>
        <v>12.364197374393115</v>
      </c>
      <c r="O70" s="333">
        <f>Process!O12+Process!O15+Process!O16</f>
        <v>11.542358617010182</v>
      </c>
      <c r="P70" s="333">
        <f>Process!P12+Process!P15+Process!P16</f>
        <v>10.857538607132028</v>
      </c>
      <c r="Q70" s="333">
        <f>Process!Q12+Process!Q15+Process!Q16</f>
        <v>11.250677634946136</v>
      </c>
      <c r="R70" s="333">
        <f>Process!R12+Process!R15+Process!R16</f>
        <v>9.4411403187322094</v>
      </c>
      <c r="S70" s="333">
        <f>Process!S12+Process!S15+Process!S16</f>
        <v>9.6858188262385401</v>
      </c>
      <c r="T70" s="333">
        <f>Process!T12+Process!T15+Process!T16</f>
        <v>9.6012111935067654</v>
      </c>
      <c r="U70" s="333">
        <f>Process!U12+Process!U15+Process!U16</f>
        <v>9.100028734362926</v>
      </c>
      <c r="V70" s="333">
        <f>Process!V12+Process!V15+Process!V16</f>
        <v>10.50164894169237</v>
      </c>
      <c r="W70" s="333">
        <f>Process!W12+Process!W15+Process!W16</f>
        <v>10.267211125350823</v>
      </c>
      <c r="X70" s="333">
        <f>Process!X12+Process!X15+Process!X16</f>
        <v>8.6176986075613335</v>
      </c>
      <c r="Y70" s="333">
        <f>Process!Y12+Process!Y15+Process!Y16</f>
        <v>10.336143498694931</v>
      </c>
      <c r="Z70" s="333">
        <f>Process!Z12+Process!Z15+Process!Z16</f>
        <v>10.644904747593806</v>
      </c>
      <c r="AA70" s="333">
        <f>Process!AA12+Process!AA15+Process!AA16</f>
        <v>11.074524296201009</v>
      </c>
      <c r="AB70" s="333">
        <f>Process!AB12+Process!AB15+Process!AB16</f>
        <v>10.275692509442694</v>
      </c>
      <c r="AC70" s="333">
        <f>Process!AC12+Process!AC15+Process!AC16</f>
        <v>10.654675409769292</v>
      </c>
      <c r="AD70" s="333">
        <f>Process!AD12+Process!AD15+Process!AD16</f>
        <v>11.22819901365458</v>
      </c>
      <c r="AE70" s="333">
        <f>Process!AE12+Process!AE15+Process!AE16</f>
        <v>11.490144059845839</v>
      </c>
      <c r="AF70" s="333">
        <f>Process!AF12+Process!AF15+Process!AF16</f>
        <v>10.443414169425543</v>
      </c>
      <c r="AG70" s="333">
        <f>Process!AG12+Process!AG15+Process!AG16</f>
        <v>10.740682733632577</v>
      </c>
      <c r="AH70" s="333">
        <f>Process!AH12+Process!AH15+Process!AH16</f>
        <v>11.498512203645815</v>
      </c>
      <c r="AI70" s="333">
        <f>Process!AI12+Process!AI15+Process!AI16</f>
        <v>10.62414294075</v>
      </c>
      <c r="AJ70" s="1489" t="s">
        <v>32</v>
      </c>
      <c r="AK70" s="1489" t="s">
        <v>32</v>
      </c>
      <c r="AL70" s="1489" t="s">
        <v>32</v>
      </c>
      <c r="AM70" s="1489" t="s">
        <v>32</v>
      </c>
      <c r="AN70" s="1489" t="s">
        <v>32</v>
      </c>
      <c r="AO70" s="1489" t="s">
        <v>32</v>
      </c>
      <c r="AP70" s="1489" t="s">
        <v>32</v>
      </c>
    </row>
    <row r="71" spans="1:52" ht="16.5" thickBot="1" x14ac:dyDescent="0.45">
      <c r="A71" s="355" t="s">
        <v>17</v>
      </c>
      <c r="B71" s="333">
        <f>Process!B9</f>
        <v>15.31365040534536</v>
      </c>
      <c r="C71" s="333">
        <f>Process!C9</f>
        <v>14.518561901071031</v>
      </c>
      <c r="D71" s="333">
        <f>Process!D9</f>
        <v>16.637356745667098</v>
      </c>
      <c r="E71" s="333">
        <f>Process!E9</f>
        <v>16.765001626446427</v>
      </c>
      <c r="F71" s="333">
        <f>Process!F9</f>
        <v>16.5798858667393</v>
      </c>
      <c r="G71" s="333">
        <f>Process!G9</f>
        <v>14.981382499081906</v>
      </c>
      <c r="H71" s="333">
        <f>Process!H9</f>
        <v>14.782858365913283</v>
      </c>
      <c r="I71" s="333">
        <f>Process!I9</f>
        <v>14.564592342096235</v>
      </c>
      <c r="J71" s="333">
        <f>Process!J9</f>
        <v>13.354760517636455</v>
      </c>
      <c r="K71" s="333">
        <f>Process!K9</f>
        <v>14.184525556803141</v>
      </c>
      <c r="L71" s="333">
        <f>Process!L9</f>
        <v>15.873185523164093</v>
      </c>
      <c r="M71" s="333">
        <f>Process!M9</f>
        <v>16.198710998491727</v>
      </c>
      <c r="N71" s="333">
        <f>Process!N9</f>
        <v>16.119354900942991</v>
      </c>
      <c r="O71" s="333">
        <f>Process!O9</f>
        <v>16.600836369533869</v>
      </c>
      <c r="P71" s="333">
        <f>Process!P9</f>
        <v>15.196403031679685</v>
      </c>
      <c r="Q71" s="333">
        <f>Process!Q9</f>
        <v>15.024695557999227</v>
      </c>
      <c r="R71" s="333">
        <f>Process!R9</f>
        <v>12.923179297666044</v>
      </c>
      <c r="S71" s="333">
        <f>Process!S9</f>
        <v>13.604230714044231</v>
      </c>
      <c r="T71" s="333">
        <f>Process!T9</f>
        <v>14.483158972300863</v>
      </c>
      <c r="U71" s="333">
        <f>Process!U9</f>
        <v>13.98678803586758</v>
      </c>
      <c r="V71" s="333">
        <f>Process!V9</f>
        <v>13.730480782578111</v>
      </c>
      <c r="W71" s="333">
        <f>Process!W9</f>
        <v>13.745840787844321</v>
      </c>
      <c r="X71" s="333">
        <f>Process!X9</f>
        <v>11.893764667017985</v>
      </c>
      <c r="Y71" s="333">
        <f>Process!Y9</f>
        <v>12.423602730416979</v>
      </c>
      <c r="Z71" s="333">
        <f>Process!Z9</f>
        <v>13.752359852039337</v>
      </c>
      <c r="AA71" s="333">
        <f>Process!AA9</f>
        <v>13.664149986754941</v>
      </c>
      <c r="AB71" s="333">
        <f>Process!AB9</f>
        <v>11.426913567612464</v>
      </c>
      <c r="AC71" s="333">
        <f>Process!AC9</f>
        <v>12.417746232981566</v>
      </c>
      <c r="AD71" s="333">
        <f>Process!AD9</f>
        <v>13.412382059760446</v>
      </c>
      <c r="AE71" s="333">
        <f>Process!AE9</f>
        <v>13.749066679828145</v>
      </c>
      <c r="AF71" s="333">
        <f>Process!AF9</f>
        <v>12.234288890840196</v>
      </c>
      <c r="AG71" s="333">
        <f>Process!AG9</f>
        <v>12.614889979771682</v>
      </c>
      <c r="AH71" s="333">
        <f>Process!AH9</f>
        <v>13.035171753664676</v>
      </c>
      <c r="AI71" s="333">
        <f>Process!AI9</f>
        <v>11.849074030388028</v>
      </c>
      <c r="AJ71" s="1489" t="s">
        <v>32</v>
      </c>
      <c r="AK71" s="1489" t="s">
        <v>32</v>
      </c>
      <c r="AL71" s="1489" t="s">
        <v>32</v>
      </c>
      <c r="AM71" s="1489" t="s">
        <v>32</v>
      </c>
      <c r="AN71" s="1489" t="s">
        <v>32</v>
      </c>
      <c r="AO71" s="1489" t="s">
        <v>32</v>
      </c>
      <c r="AP71" s="1489" t="s">
        <v>32</v>
      </c>
    </row>
    <row r="72" spans="1:52" ht="16.5" thickBot="1" x14ac:dyDescent="0.45">
      <c r="A72" s="355" t="s">
        <v>5</v>
      </c>
      <c r="B72" s="357">
        <f>Process!B32</f>
        <v>0.65625199051509786</v>
      </c>
      <c r="C72" s="360">
        <f>Process!C32</f>
        <v>0.71515416896556006</v>
      </c>
      <c r="D72" s="358">
        <f>Process!D32</f>
        <v>0.73849101987423305</v>
      </c>
      <c r="E72" s="358">
        <f>Process!E32</f>
        <v>0.84634390373530799</v>
      </c>
      <c r="F72" s="358">
        <f>Process!F32</f>
        <v>0.99268777160783084</v>
      </c>
      <c r="G72" s="358">
        <f>Process!G32</f>
        <v>1.2942356697070025</v>
      </c>
      <c r="H72" s="358">
        <f>Process!H32</f>
        <v>1.5173940091650766</v>
      </c>
      <c r="I72" s="358">
        <f>Process!I32</f>
        <v>1.7296705098776286</v>
      </c>
      <c r="J72" s="358">
        <f>Process!J32</f>
        <v>2.0517836695231537</v>
      </c>
      <c r="K72" s="358">
        <f>Process!K32</f>
        <v>2.1722864635428154</v>
      </c>
      <c r="L72" s="358">
        <f>Process!L32</f>
        <v>2.2344480754691962</v>
      </c>
      <c r="M72" s="358">
        <f>Process!M32</f>
        <v>2.2873664104114422</v>
      </c>
      <c r="N72" s="358">
        <f>Process!N32</f>
        <v>2.3543108214792743</v>
      </c>
      <c r="O72" s="358">
        <f>Process!O32</f>
        <v>2.4553345934789768</v>
      </c>
      <c r="P72" s="358">
        <f>Process!P32</f>
        <v>2.3943985038673308</v>
      </c>
      <c r="Q72" s="358">
        <f>Process!Q32</f>
        <v>2.491187372700066</v>
      </c>
      <c r="R72" s="358">
        <f>Process!R32</f>
        <v>2.6398819487247986</v>
      </c>
      <c r="S72" s="358">
        <f>Process!S32</f>
        <v>2.7783370634740137</v>
      </c>
      <c r="T72" s="358">
        <f>Process!T32</f>
        <v>2.927455558375383</v>
      </c>
      <c r="U72" s="358">
        <f>Process!U32</f>
        <v>3.375736296088339</v>
      </c>
      <c r="V72" s="358">
        <f>Process!V32</f>
        <v>2.8556574039997655</v>
      </c>
      <c r="W72" s="358">
        <f>Process!W32</f>
        <v>2.8359689544329019</v>
      </c>
      <c r="X72" s="358">
        <f>Process!X32</f>
        <v>3.1262089958054671</v>
      </c>
      <c r="Y72" s="358">
        <f>Process!Y32</f>
        <v>3.8058037367623898</v>
      </c>
      <c r="Z72" s="358">
        <f>Process!Z32</f>
        <v>4.2054910787649353</v>
      </c>
      <c r="AA72" s="358">
        <f>Process!AA32</f>
        <v>3.7540424332673563</v>
      </c>
      <c r="AB72" s="359">
        <f>Process!AB32</f>
        <v>3.8048005415260682</v>
      </c>
      <c r="AC72" s="359">
        <f>Process!AC32</f>
        <v>3.3089432868880282</v>
      </c>
      <c r="AD72" s="359">
        <f>Process!AD32</f>
        <v>3.8135695724326135</v>
      </c>
      <c r="AE72" s="359">
        <f>Process!AE32</f>
        <v>3.6460572396013302</v>
      </c>
      <c r="AF72" s="359">
        <f>Process!AF32</f>
        <v>4.0321955751119818</v>
      </c>
      <c r="AG72" s="359">
        <f>Process!AG32</f>
        <v>3.9978101361882903</v>
      </c>
      <c r="AH72" s="359">
        <f>Process!AH32</f>
        <v>3.4348267758324091</v>
      </c>
      <c r="AI72" s="359">
        <f>Process!AI32</f>
        <v>3.5821232543038848</v>
      </c>
      <c r="AJ72" s="1489" t="s">
        <v>32</v>
      </c>
      <c r="AK72" s="1489" t="s">
        <v>32</v>
      </c>
      <c r="AL72" s="1489" t="s">
        <v>32</v>
      </c>
      <c r="AM72" s="1489" t="s">
        <v>32</v>
      </c>
      <c r="AN72" s="1489" t="s">
        <v>32</v>
      </c>
      <c r="AO72" s="1489" t="s">
        <v>32</v>
      </c>
      <c r="AP72" s="1489" t="s">
        <v>32</v>
      </c>
    </row>
    <row r="73" spans="1:52" ht="16.5" thickBot="1" x14ac:dyDescent="0.45">
      <c r="A73" s="355" t="s">
        <v>18</v>
      </c>
      <c r="B73" s="357">
        <f>Process!B30</f>
        <v>1.6981171446349697</v>
      </c>
      <c r="C73" s="358">
        <f>Process!C30</f>
        <v>1.6781368503696887</v>
      </c>
      <c r="D73" s="358">
        <f>Process!D30</f>
        <v>1.6650160146858353</v>
      </c>
      <c r="E73" s="358">
        <f>Process!E30</f>
        <v>1.5886060588676603</v>
      </c>
      <c r="F73" s="358">
        <f>Process!F30</f>
        <v>1.5341390258270902</v>
      </c>
      <c r="G73" s="358">
        <f>Process!G30</f>
        <v>1.5022669886244333</v>
      </c>
      <c r="H73" s="358">
        <f>Process!H30</f>
        <v>1.425467376127973</v>
      </c>
      <c r="I73" s="358">
        <f>Process!I30</f>
        <v>1.3761942204657138</v>
      </c>
      <c r="J73" s="358">
        <f>Process!J30</f>
        <v>1.3188501590234014</v>
      </c>
      <c r="K73" s="358">
        <f>Process!K30</f>
        <v>1.261641548877162</v>
      </c>
      <c r="L73" s="358">
        <f>Process!L30</f>
        <v>1.2234268228376644</v>
      </c>
      <c r="M73" s="358">
        <f>Process!M30</f>
        <v>1.1548456256403652</v>
      </c>
      <c r="N73" s="358">
        <f>Process!N30</f>
        <v>1.1192932542656782</v>
      </c>
      <c r="O73" s="358">
        <f>Process!O30</f>
        <v>1.0689397263294127</v>
      </c>
      <c r="P73" s="358">
        <f>Process!P30</f>
        <v>1.0549659757958125</v>
      </c>
      <c r="Q73" s="358">
        <f>Process!Q30</f>
        <v>0.96388581295203757</v>
      </c>
      <c r="R73" s="358">
        <f>Process!R30</f>
        <v>0.92709111626173912</v>
      </c>
      <c r="S73" s="358">
        <f>Process!S30</f>
        <v>0.88512738029058702</v>
      </c>
      <c r="T73" s="358">
        <f>Process!T30</f>
        <v>0.83374515920712233</v>
      </c>
      <c r="U73" s="358">
        <f>Process!U30</f>
        <v>0.78517646934640628</v>
      </c>
      <c r="V73" s="358">
        <f>Process!V30</f>
        <v>0.75292583432142168</v>
      </c>
      <c r="W73" s="358">
        <f>Process!W30</f>
        <v>0.69892539643020735</v>
      </c>
      <c r="X73" s="358">
        <f>Process!X30</f>
        <v>0.69397194514018645</v>
      </c>
      <c r="Y73" s="358">
        <f>Process!Y30</f>
        <v>0.67896910883578931</v>
      </c>
      <c r="Z73" s="358">
        <f>Process!Z30</f>
        <v>0.65553191641877318</v>
      </c>
      <c r="AA73" s="358">
        <f>Process!AA30</f>
        <v>0.65849530228214248</v>
      </c>
      <c r="AB73" s="358">
        <f>Process!AB30</f>
        <v>0.65450594465976542</v>
      </c>
      <c r="AC73" s="358">
        <f>Process!AC30</f>
        <v>0.66705800983925934</v>
      </c>
      <c r="AD73" s="358">
        <f>Process!AD30</f>
        <v>0.65440896196676102</v>
      </c>
      <c r="AE73" s="359">
        <f>Process!AE30</f>
        <v>0.64095108202000439</v>
      </c>
      <c r="AF73" s="359">
        <f>Process!AF30</f>
        <v>0.66932288513178717</v>
      </c>
      <c r="AG73" s="359">
        <f>Process!AG30</f>
        <v>0.62669498750766606</v>
      </c>
      <c r="AH73" s="359">
        <f>Process!AH30</f>
        <v>0.64121538579268966</v>
      </c>
      <c r="AI73" s="359">
        <f>Process!AI30</f>
        <v>0.60731598850412949</v>
      </c>
      <c r="AJ73" s="1489" t="s">
        <v>32</v>
      </c>
      <c r="AK73" s="1489" t="s">
        <v>32</v>
      </c>
      <c r="AL73" s="1489" t="s">
        <v>32</v>
      </c>
      <c r="AM73" s="1489" t="s">
        <v>32</v>
      </c>
      <c r="AN73" s="1489" t="s">
        <v>32</v>
      </c>
      <c r="AO73" s="1489" t="s">
        <v>32</v>
      </c>
      <c r="AP73" s="1489" t="s">
        <v>32</v>
      </c>
    </row>
    <row r="74" spans="1:52" ht="16.5" thickBot="1" x14ac:dyDescent="0.45">
      <c r="A74" s="339" t="s">
        <v>19</v>
      </c>
      <c r="B74" s="357">
        <f>Process!B31</f>
        <v>0.16964798123063266</v>
      </c>
      <c r="C74" s="361">
        <f>Process!C31</f>
        <v>0.17475057552806023</v>
      </c>
      <c r="D74" s="361">
        <f>Process!D31</f>
        <v>0.17475834095072315</v>
      </c>
      <c r="E74" s="361">
        <f>Process!E31</f>
        <v>0.17273840216829248</v>
      </c>
      <c r="F74" s="361">
        <f>Process!F31</f>
        <v>0.17077633526735789</v>
      </c>
      <c r="G74" s="361">
        <f>Process!G31</f>
        <v>0.16870327698259682</v>
      </c>
      <c r="H74" s="361">
        <f>Process!H31</f>
        <v>0.16698747350174553</v>
      </c>
      <c r="I74" s="361">
        <f>Process!I31</f>
        <v>0.16497437962333633</v>
      </c>
      <c r="J74" s="361">
        <f>Process!J31</f>
        <v>0.16304483127547775</v>
      </c>
      <c r="K74" s="361">
        <f>Process!K31</f>
        <v>0.16125578942364072</v>
      </c>
      <c r="L74" s="361">
        <f>Process!L31</f>
        <v>0.16147732367423742</v>
      </c>
      <c r="M74" s="361">
        <f>Process!M31</f>
        <v>0.1600172603961704</v>
      </c>
      <c r="N74" s="361">
        <f>Process!N31</f>
        <v>0.15827047637933872</v>
      </c>
      <c r="O74" s="361">
        <f>Process!O31</f>
        <v>0.15594376905748275</v>
      </c>
      <c r="P74" s="361">
        <f>Process!P31</f>
        <v>0.15467947501733323</v>
      </c>
      <c r="Q74" s="361">
        <f>Process!Q31</f>
        <v>0.15288319834250139</v>
      </c>
      <c r="R74" s="361">
        <f>Process!R31</f>
        <v>0.15029434069089012</v>
      </c>
      <c r="S74" s="361">
        <f>Process!S31</f>
        <v>0.14897472529429581</v>
      </c>
      <c r="T74" s="361">
        <f>Process!T31</f>
        <v>0.1923904310038258</v>
      </c>
      <c r="U74" s="361">
        <f>Process!U31</f>
        <v>0.19056564071588536</v>
      </c>
      <c r="V74" s="361">
        <f>Process!V31</f>
        <v>0.23359197768798926</v>
      </c>
      <c r="W74" s="361">
        <f>Process!W31</f>
        <v>0.10106251015492639</v>
      </c>
      <c r="X74" s="361">
        <f>Process!X31</f>
        <v>0.10583254315035609</v>
      </c>
      <c r="Y74" s="361">
        <f>Process!Y31</f>
        <v>0.10590156275947388</v>
      </c>
      <c r="Z74" s="361">
        <f>Process!Z31</f>
        <v>0.10423701822304517</v>
      </c>
      <c r="AA74" s="361">
        <f>Process!AA31</f>
        <v>0.13906590788977144</v>
      </c>
      <c r="AB74" s="361">
        <f>Process!AB31</f>
        <v>0.12265761089878646</v>
      </c>
      <c r="AC74" s="361">
        <f>Process!AC31</f>
        <v>6.8187077924743517E-2</v>
      </c>
      <c r="AD74" s="361">
        <f>Process!AD31</f>
        <v>6.612635815030013E-2</v>
      </c>
      <c r="AE74" s="333">
        <f>Process!AE31</f>
        <v>7.7844868810255041E-2</v>
      </c>
      <c r="AF74" s="333">
        <f>Process!AF31</f>
        <v>7.2616699909761065E-2</v>
      </c>
      <c r="AG74" s="333">
        <f>Process!AG31</f>
        <v>8.6801948180921656E-2</v>
      </c>
      <c r="AH74" s="333">
        <f>Process!AH31</f>
        <v>9.802848313495463E-2</v>
      </c>
      <c r="AI74" s="333">
        <f>Process!AI31</f>
        <v>9.9047132268368018E-2</v>
      </c>
      <c r="AJ74" s="1489" t="s">
        <v>32</v>
      </c>
      <c r="AK74" s="1489" t="s">
        <v>32</v>
      </c>
      <c r="AL74" s="1489" t="s">
        <v>32</v>
      </c>
      <c r="AM74" s="1489" t="s">
        <v>32</v>
      </c>
      <c r="AN74" s="1489" t="s">
        <v>32</v>
      </c>
      <c r="AO74" s="1489" t="s">
        <v>32</v>
      </c>
      <c r="AP74" s="1489" t="s">
        <v>32</v>
      </c>
    </row>
    <row r="75" spans="1:52" ht="16.5" thickBot="1" x14ac:dyDescent="0.45">
      <c r="A75" s="342" t="s">
        <v>8</v>
      </c>
      <c r="B75" s="362">
        <f>Process!B36</f>
        <v>0.44610076900597256</v>
      </c>
      <c r="C75" s="361">
        <f>Process!C36</f>
        <v>0.41834925407595686</v>
      </c>
      <c r="D75" s="361">
        <f>Process!D36</f>
        <v>0.42277010500253726</v>
      </c>
      <c r="E75" s="361">
        <f>Process!E36</f>
        <v>0.40732429612640608</v>
      </c>
      <c r="F75" s="361">
        <f>Process!F36</f>
        <v>0.41231470757133476</v>
      </c>
      <c r="G75" s="361">
        <f>Process!G36</f>
        <v>0.40372219462937547</v>
      </c>
      <c r="H75" s="361">
        <f>Process!H36</f>
        <v>0.38410068733773461</v>
      </c>
      <c r="I75" s="361">
        <f>Process!I36</f>
        <v>0.38079571833854936</v>
      </c>
      <c r="J75" s="361">
        <f>Process!J36</f>
        <v>0.38437874218640539</v>
      </c>
      <c r="K75" s="361">
        <f>Process!K36</f>
        <v>0.3899641903290752</v>
      </c>
      <c r="L75" s="361">
        <f>Process!L36</f>
        <v>0.37735447220233193</v>
      </c>
      <c r="M75" s="361">
        <f>Process!M36</f>
        <v>0.35183977292669505</v>
      </c>
      <c r="N75" s="361">
        <f>Process!N36</f>
        <v>0.37328267111605179</v>
      </c>
      <c r="O75" s="361">
        <f>Process!O36</f>
        <v>0.34778308322797141</v>
      </c>
      <c r="P75" s="361">
        <f>Process!P36</f>
        <v>0.33661801945979974</v>
      </c>
      <c r="Q75" s="361">
        <f>Process!Q36</f>
        <v>0.34057483200373267</v>
      </c>
      <c r="R75" s="361">
        <f>Process!R36</f>
        <v>0.33688832372342137</v>
      </c>
      <c r="S75" s="361">
        <f>Process!S36</f>
        <v>0.31719891632985381</v>
      </c>
      <c r="T75" s="361">
        <f>Process!T36</f>
        <v>0.32570403195908576</v>
      </c>
      <c r="U75" s="361">
        <f>Process!U36</f>
        <v>0.31430210711857087</v>
      </c>
      <c r="V75" s="361">
        <f>Process!V36</f>
        <v>0.33202719256989854</v>
      </c>
      <c r="W75" s="361">
        <f>Process!W36</f>
        <v>0.30451135790296568</v>
      </c>
      <c r="X75" s="361">
        <f>Process!X36</f>
        <v>0.29639379430190099</v>
      </c>
      <c r="Y75" s="361">
        <f>Process!Y36</f>
        <v>0.29356274504761209</v>
      </c>
      <c r="Z75" s="361">
        <f>Process!Z36</f>
        <v>0.28090950389183594</v>
      </c>
      <c r="AA75" s="361">
        <f>Process!AA36</f>
        <v>0.29021465216236209</v>
      </c>
      <c r="AB75" s="361">
        <f>Process!AB36</f>
        <v>0.26691641776924918</v>
      </c>
      <c r="AC75" s="361">
        <f>Process!AC36</f>
        <v>0.28552541325288594</v>
      </c>
      <c r="AD75" s="361">
        <f>Process!AD36</f>
        <v>0.27311310707332914</v>
      </c>
      <c r="AE75" s="333">
        <f>Process!AE36</f>
        <v>0.26430146871069754</v>
      </c>
      <c r="AF75" s="333">
        <f>Process!AF36</f>
        <v>0.25337117381936636</v>
      </c>
      <c r="AG75" s="333">
        <f>Process!AG36</f>
        <v>0.2710732936775046</v>
      </c>
      <c r="AH75" s="333">
        <f>Process!AH36</f>
        <v>0.25704231685851231</v>
      </c>
      <c r="AI75" s="333">
        <f>Process!AI36</f>
        <v>0.25654006769458504</v>
      </c>
      <c r="AJ75" s="1489" t="s">
        <v>32</v>
      </c>
      <c r="AK75" s="1489" t="s">
        <v>32</v>
      </c>
      <c r="AL75" s="1489" t="s">
        <v>32</v>
      </c>
      <c r="AM75" s="1489" t="s">
        <v>32</v>
      </c>
      <c r="AN75" s="1489" t="s">
        <v>32</v>
      </c>
      <c r="AO75" s="1489" t="s">
        <v>32</v>
      </c>
      <c r="AP75" s="1489" t="s">
        <v>32</v>
      </c>
    </row>
    <row r="76" spans="1:52" ht="16.5" thickBot="1" x14ac:dyDescent="0.45">
      <c r="A76" s="343" t="s">
        <v>7</v>
      </c>
      <c r="B76" s="340">
        <f>Process!B37</f>
        <v>2.921734225476742</v>
      </c>
      <c r="C76" s="340">
        <f>Process!C37</f>
        <v>2.9840678785493369</v>
      </c>
      <c r="D76" s="340">
        <f>Process!D37</f>
        <v>2.8838876328600254</v>
      </c>
      <c r="E76" s="340">
        <f>Process!E37</f>
        <v>2.767988379213437</v>
      </c>
      <c r="F76" s="340">
        <f>Process!F37</f>
        <v>2.7563272831925185</v>
      </c>
      <c r="G76" s="340">
        <f>Process!G37</f>
        <v>2.7698744134030142</v>
      </c>
      <c r="H76" s="340">
        <f>Process!H37</f>
        <v>2.3907342903677469</v>
      </c>
      <c r="I76" s="340">
        <f>Process!I37</f>
        <v>1.9258553661170486</v>
      </c>
      <c r="J76" s="340">
        <f>Process!J37</f>
        <v>1.8470510349176412</v>
      </c>
      <c r="K76" s="340">
        <f>Process!K37</f>
        <v>1.8601259693695325</v>
      </c>
      <c r="L76" s="340">
        <f>Process!L37</f>
        <v>1.2371687987727551</v>
      </c>
      <c r="M76" s="340">
        <f>Process!M37</f>
        <v>0.89743217109974072</v>
      </c>
      <c r="N76" s="340">
        <f>Process!N37</f>
        <v>1.27497069222323</v>
      </c>
      <c r="O76" s="340">
        <f>Process!O37</f>
        <v>1.7601777880702896</v>
      </c>
      <c r="P76" s="340">
        <f>Process!P37</f>
        <v>1.5733288085225232</v>
      </c>
      <c r="Q76" s="340">
        <f>Process!Q37</f>
        <v>1.5961601917909816</v>
      </c>
      <c r="R76" s="340">
        <f>Process!R37</f>
        <v>1.4036673040124485</v>
      </c>
      <c r="S76" s="340">
        <f>Process!S37</f>
        <v>1.3244780695405463</v>
      </c>
      <c r="T76" s="340">
        <f>Process!T37</f>
        <v>1.3333606189633151</v>
      </c>
      <c r="U76" s="340">
        <f>Process!U37</f>
        <v>1.3826638104942759</v>
      </c>
      <c r="V76" s="340">
        <f>Process!V37</f>
        <v>0.86252211000428347</v>
      </c>
      <c r="W76" s="340">
        <f>Process!W37</f>
        <v>0.87728901623181033</v>
      </c>
      <c r="X76" s="340">
        <f>Process!X37</f>
        <v>0.92213671716237322</v>
      </c>
      <c r="Y76" s="340">
        <f>Process!Y37</f>
        <v>0.82486792566190248</v>
      </c>
      <c r="Z76" s="340">
        <f>Process!Z37</f>
        <v>0.76938497611745671</v>
      </c>
      <c r="AA76" s="340">
        <f>Process!AA37</f>
        <v>0.7797634475588433</v>
      </c>
      <c r="AB76" s="341">
        <f>Process!AB37</f>
        <v>0.74800883134183693</v>
      </c>
      <c r="AC76" s="341">
        <f>Process!AC37</f>
        <v>0.72212832663956061</v>
      </c>
      <c r="AD76" s="341">
        <f>Process!AD37</f>
        <v>0.72012362020600407</v>
      </c>
      <c r="AE76" s="341">
        <f>Process!AE37</f>
        <v>0.72176076297428993</v>
      </c>
      <c r="AF76" s="341">
        <f>Process!AF37</f>
        <v>0.69725875876728005</v>
      </c>
      <c r="AG76" s="341">
        <f>Process!AG37</f>
        <v>0.59664069711099754</v>
      </c>
      <c r="AH76" s="341">
        <f>Process!AH37</f>
        <v>0.58359328081403916</v>
      </c>
      <c r="AI76" s="341">
        <f>Process!AI37</f>
        <v>0.57033515022009018</v>
      </c>
      <c r="AJ76" s="1489" t="s">
        <v>32</v>
      </c>
      <c r="AK76" s="1489" t="s">
        <v>32</v>
      </c>
      <c r="AL76" s="1489" t="s">
        <v>32</v>
      </c>
      <c r="AM76" s="1489" t="s">
        <v>32</v>
      </c>
      <c r="AN76" s="1489" t="s">
        <v>32</v>
      </c>
      <c r="AO76" s="1489" t="s">
        <v>32</v>
      </c>
      <c r="AP76" s="1489" t="s">
        <v>32</v>
      </c>
      <c r="AZ76" s="28"/>
    </row>
    <row r="77" spans="1:52" ht="16.5" thickBot="1" x14ac:dyDescent="0.45">
      <c r="A77" s="343" t="s">
        <v>9</v>
      </c>
      <c r="B77" s="1091">
        <f t="shared" ref="B77:AI77" si="10">SUM(B68:B76)</f>
        <v>93.005061114385555</v>
      </c>
      <c r="C77" s="1091">
        <f t="shared" si="10"/>
        <v>90.714089358778821</v>
      </c>
      <c r="D77" s="1091">
        <f t="shared" si="10"/>
        <v>92.602546113848874</v>
      </c>
      <c r="E77" s="1091">
        <f t="shared" si="10"/>
        <v>90.420097845114356</v>
      </c>
      <c r="F77" s="1091">
        <f t="shared" si="10"/>
        <v>90.666381568545191</v>
      </c>
      <c r="G77" s="1091">
        <f t="shared" si="10"/>
        <v>88.603886218145689</v>
      </c>
      <c r="H77" s="1091">
        <f t="shared" si="10"/>
        <v>88.881216335157106</v>
      </c>
      <c r="I77" s="1091">
        <f t="shared" si="10"/>
        <v>93.298655933508712</v>
      </c>
      <c r="J77" s="1091">
        <f t="shared" si="10"/>
        <v>91.509754889815426</v>
      </c>
      <c r="K77" s="1091">
        <f t="shared" si="10"/>
        <v>90.442489289254084</v>
      </c>
      <c r="L77" s="1091">
        <f t="shared" si="10"/>
        <v>92.339554357634611</v>
      </c>
      <c r="M77" s="1091">
        <f t="shared" si="10"/>
        <v>91.380645321737447</v>
      </c>
      <c r="N77" s="1091">
        <f t="shared" si="10"/>
        <v>93.48562125971975</v>
      </c>
      <c r="O77" s="1091">
        <f t="shared" si="10"/>
        <v>95.543531774015264</v>
      </c>
      <c r="P77" s="1091">
        <f t="shared" si="10"/>
        <v>93.310164472412211</v>
      </c>
      <c r="Q77" s="1091">
        <f t="shared" si="10"/>
        <v>94.969260995679377</v>
      </c>
      <c r="R77" s="1091">
        <f t="shared" si="10"/>
        <v>86.292458478025253</v>
      </c>
      <c r="S77" s="1091">
        <f t="shared" si="10"/>
        <v>89.119520543464205</v>
      </c>
      <c r="T77" s="1091">
        <f t="shared" si="10"/>
        <v>86.358552421357089</v>
      </c>
      <c r="U77" s="1091">
        <f t="shared" si="10"/>
        <v>81.216784267345645</v>
      </c>
      <c r="V77" s="1091">
        <f t="shared" si="10"/>
        <v>82.257391342506352</v>
      </c>
      <c r="W77" s="1091">
        <f t="shared" si="10"/>
        <v>76.809556672178587</v>
      </c>
      <c r="X77" s="1091">
        <f t="shared" si="10"/>
        <v>70.626762991257095</v>
      </c>
      <c r="Y77" s="1091">
        <f t="shared" si="10"/>
        <v>75.278993392001837</v>
      </c>
      <c r="Z77" s="1091">
        <f t="shared" si="10"/>
        <v>73.832334119273042</v>
      </c>
      <c r="AA77" s="1091">
        <f t="shared" si="10"/>
        <v>75.000439601401936</v>
      </c>
      <c r="AB77" s="1091">
        <f t="shared" si="10"/>
        <v>71.328185981528407</v>
      </c>
      <c r="AC77" s="1091">
        <f t="shared" si="10"/>
        <v>70.476185387902134</v>
      </c>
      <c r="AD77" s="1091">
        <f t="shared" si="10"/>
        <v>71.631287152283775</v>
      </c>
      <c r="AE77" s="485">
        <f t="shared" si="10"/>
        <v>70.389528830556529</v>
      </c>
      <c r="AF77" s="485">
        <f t="shared" si="10"/>
        <v>64.151992533382881</v>
      </c>
      <c r="AG77" s="485">
        <f t="shared" si="10"/>
        <v>67.09707815821298</v>
      </c>
      <c r="AH77" s="485">
        <f t="shared" si="10"/>
        <v>68.022327133326556</v>
      </c>
      <c r="AI77" s="485">
        <f t="shared" si="10"/>
        <v>65.139812960804832</v>
      </c>
      <c r="AJ77" s="1489" t="s">
        <v>32</v>
      </c>
      <c r="AK77" s="1489" t="s">
        <v>32</v>
      </c>
      <c r="AL77" s="1489" t="s">
        <v>32</v>
      </c>
      <c r="AM77" s="1489" t="s">
        <v>32</v>
      </c>
      <c r="AN77" s="1489" t="s">
        <v>32</v>
      </c>
      <c r="AO77" s="1489" t="s">
        <v>32</v>
      </c>
      <c r="AP77" s="1489" t="s">
        <v>32</v>
      </c>
      <c r="AZ77" s="28"/>
    </row>
    <row r="78" spans="1:52" ht="16.5" thickBot="1" x14ac:dyDescent="0.45">
      <c r="A78" s="345" t="s">
        <v>978</v>
      </c>
      <c r="B78" s="1316" t="s">
        <v>32</v>
      </c>
      <c r="C78" s="346">
        <f t="shared" ref="C78:AI78" si="11">-(100-((C77/B77)*100))</f>
        <v>-2.4632764369555105</v>
      </c>
      <c r="D78" s="346">
        <f t="shared" si="11"/>
        <v>2.0817678581340573</v>
      </c>
      <c r="E78" s="346">
        <f t="shared" si="11"/>
        <v>-2.3567907798683478</v>
      </c>
      <c r="F78" s="346">
        <f t="shared" si="11"/>
        <v>0.27237719190782173</v>
      </c>
      <c r="G78" s="346">
        <f t="shared" si="11"/>
        <v>-2.274818201319988</v>
      </c>
      <c r="H78" s="346">
        <f t="shared" si="11"/>
        <v>0.31299994712266255</v>
      </c>
      <c r="I78" s="346">
        <f t="shared" si="11"/>
        <v>4.9700485439962279</v>
      </c>
      <c r="J78" s="346">
        <f t="shared" si="11"/>
        <v>-1.9173920843706327</v>
      </c>
      <c r="K78" s="346">
        <f t="shared" si="11"/>
        <v>-1.166286153696305</v>
      </c>
      <c r="L78" s="346">
        <f t="shared" si="11"/>
        <v>2.0975374332226977</v>
      </c>
      <c r="M78" s="346">
        <f t="shared" si="11"/>
        <v>-1.038459674803363</v>
      </c>
      <c r="N78" s="346">
        <f t="shared" si="11"/>
        <v>2.3035249210278579</v>
      </c>
      <c r="O78" s="346">
        <f t="shared" si="11"/>
        <v>2.2013123371970522</v>
      </c>
      <c r="P78" s="346">
        <f t="shared" si="11"/>
        <v>-2.3375389836808012</v>
      </c>
      <c r="Q78" s="346">
        <f t="shared" si="11"/>
        <v>1.7780447957067764</v>
      </c>
      <c r="R78" s="346">
        <f t="shared" si="11"/>
        <v>-9.1364325958573858</v>
      </c>
      <c r="S78" s="346">
        <f t="shared" si="11"/>
        <v>3.2761403664943316</v>
      </c>
      <c r="T78" s="346">
        <f t="shared" si="11"/>
        <v>-3.0980509155236859</v>
      </c>
      <c r="U78" s="346">
        <f t="shared" si="11"/>
        <v>-5.9539767745572476</v>
      </c>
      <c r="V78" s="346">
        <f t="shared" si="11"/>
        <v>1.281270964552462</v>
      </c>
      <c r="W78" s="346">
        <f t="shared" si="11"/>
        <v>-6.6229120343044485</v>
      </c>
      <c r="X78" s="346">
        <f t="shared" si="11"/>
        <v>-8.0495109577438484</v>
      </c>
      <c r="Y78" s="346">
        <f t="shared" si="11"/>
        <v>6.5870644550432615</v>
      </c>
      <c r="Z78" s="346">
        <f t="shared" si="11"/>
        <v>-1.9217303626731308</v>
      </c>
      <c r="AA78" s="346">
        <f t="shared" si="11"/>
        <v>1.5821055856663975</v>
      </c>
      <c r="AB78" s="346">
        <f t="shared" si="11"/>
        <v>-4.8963094608379976</v>
      </c>
      <c r="AC78" s="346">
        <f t="shared" si="11"/>
        <v>-1.1944795481647503</v>
      </c>
      <c r="AD78" s="347">
        <f t="shared" si="11"/>
        <v>1.6389958650910899</v>
      </c>
      <c r="AE78" s="347">
        <f t="shared" si="11"/>
        <v>-1.7335418238225202</v>
      </c>
      <c r="AF78" s="347">
        <f t="shared" si="11"/>
        <v>-8.861454822618299</v>
      </c>
      <c r="AG78" s="346">
        <f t="shared" si="11"/>
        <v>4.590793689373811</v>
      </c>
      <c r="AH78" s="346">
        <f t="shared" si="11"/>
        <v>1.3789705908383354</v>
      </c>
      <c r="AI78" s="346">
        <f t="shared" si="11"/>
        <v>-4.2376000557462277</v>
      </c>
      <c r="AJ78" s="1489" t="s">
        <v>32</v>
      </c>
      <c r="AK78" s="1489" t="s">
        <v>32</v>
      </c>
      <c r="AL78" s="1489" t="s">
        <v>32</v>
      </c>
      <c r="AM78" s="1489" t="s">
        <v>32</v>
      </c>
      <c r="AN78" s="1489" t="s">
        <v>32</v>
      </c>
      <c r="AO78" s="1489" t="s">
        <v>32</v>
      </c>
      <c r="AP78" s="1489" t="s">
        <v>32</v>
      </c>
      <c r="AZ78" s="28"/>
    </row>
    <row r="79" spans="1:52" ht="16.5" thickBot="1" x14ac:dyDescent="0.45">
      <c r="A79" s="345" t="s">
        <v>977</v>
      </c>
      <c r="B79" s="1316" t="s">
        <v>32</v>
      </c>
      <c r="C79" s="346">
        <f t="shared" ref="C79:AI79" si="12">-(100-((C77/$B$77)*100))</f>
        <v>-2.4632764369555105</v>
      </c>
      <c r="D79" s="346">
        <f t="shared" si="12"/>
        <v>-0.43278827594299685</v>
      </c>
      <c r="E79" s="346">
        <f t="shared" si="12"/>
        <v>-2.7793791416275582</v>
      </c>
      <c r="F79" s="346">
        <f t="shared" si="12"/>
        <v>-2.5145723445781698</v>
      </c>
      <c r="G79" s="346">
        <f t="shared" si="12"/>
        <v>-4.7321885965183412</v>
      </c>
      <c r="H79" s="346">
        <f t="shared" si="12"/>
        <v>-4.4340003972005348</v>
      </c>
      <c r="I79" s="346">
        <f t="shared" si="12"/>
        <v>0.31567617461382724</v>
      </c>
      <c r="J79" s="346">
        <f t="shared" si="12"/>
        <v>-1.6077686597410832</v>
      </c>
      <c r="K79" s="346">
        <f t="shared" si="12"/>
        <v>-2.755303630175348</v>
      </c>
      <c r="L79" s="346">
        <f t="shared" si="12"/>
        <v>-0.71555972199452356</v>
      </c>
      <c r="M79" s="346">
        <f t="shared" si="12"/>
        <v>-1.7465885976358493</v>
      </c>
      <c r="N79" s="346">
        <f t="shared" si="12"/>
        <v>0.51670321977763933</v>
      </c>
      <c r="O79" s="346">
        <f t="shared" si="12"/>
        <v>2.7293898086983432</v>
      </c>
      <c r="P79" s="346">
        <f t="shared" si="12"/>
        <v>0.32805027422261901</v>
      </c>
      <c r="Q79" s="346">
        <f t="shared" si="12"/>
        <v>2.1119279507575186</v>
      </c>
      <c r="R79" s="346">
        <f t="shared" si="12"/>
        <v>-7.2174595187939019</v>
      </c>
      <c r="S79" s="346">
        <f t="shared" si="12"/>
        <v>-4.1777732570301538</v>
      </c>
      <c r="T79" s="346">
        <f t="shared" si="12"/>
        <v>-7.1463946299159176</v>
      </c>
      <c r="U79" s="346">
        <f t="shared" si="12"/>
        <v>-12.674876727989755</v>
      </c>
      <c r="V79" s="346">
        <f t="shared" si="12"/>
        <v>-11.556005278745857</v>
      </c>
      <c r="W79" s="346">
        <f t="shared" si="12"/>
        <v>-17.413573248759391</v>
      </c>
      <c r="X79" s="346">
        <f t="shared" si="12"/>
        <v>-24.0613767197096</v>
      </c>
      <c r="Y79" s="346">
        <f t="shared" si="12"/>
        <v>-19.059250657964398</v>
      </c>
      <c r="Z79" s="346">
        <f t="shared" si="12"/>
        <v>-20.614713613845439</v>
      </c>
      <c r="AA79" s="346">
        <f t="shared" si="12"/>
        <v>-19.35875456373283</v>
      </c>
      <c r="AB79" s="346">
        <f t="shared" si="12"/>
        <v>-23.307199493366369</v>
      </c>
      <c r="AC79" s="346">
        <f t="shared" si="12"/>
        <v>-24.223279310332885</v>
      </c>
      <c r="AD79" s="347">
        <f t="shared" si="12"/>
        <v>-22.98130199152763</v>
      </c>
      <c r="AE79" s="347">
        <f t="shared" si="12"/>
        <v>-24.316453333668065</v>
      </c>
      <c r="AF79" s="347">
        <f t="shared" si="12"/>
        <v>-31.023116629660308</v>
      </c>
      <c r="AG79" s="347">
        <f t="shared" si="12"/>
        <v>-27.856530220768022</v>
      </c>
      <c r="AH79" s="346">
        <f t="shared" si="12"/>
        <v>-26.861692989302057</v>
      </c>
      <c r="AI79" s="346">
        <f t="shared" si="12"/>
        <v>-29.961001927959245</v>
      </c>
      <c r="AJ79" s="1489" t="s">
        <v>32</v>
      </c>
      <c r="AK79" s="1489" t="s">
        <v>32</v>
      </c>
      <c r="AL79" s="1489" t="s">
        <v>32</v>
      </c>
      <c r="AM79" s="1489" t="s">
        <v>32</v>
      </c>
      <c r="AN79" s="1489" t="s">
        <v>32</v>
      </c>
      <c r="AO79" s="1489" t="s">
        <v>32</v>
      </c>
      <c r="AP79" s="1489" t="s">
        <v>32</v>
      </c>
      <c r="AZ79" s="28"/>
    </row>
    <row r="80" spans="1:52" s="28" customFormat="1" ht="16.5" thickBot="1" x14ac:dyDescent="0.45">
      <c r="A80" s="345" t="s">
        <v>10</v>
      </c>
      <c r="B80" s="348">
        <f>B60</f>
        <v>69.753795835789177</v>
      </c>
      <c r="C80" s="1317" t="s">
        <v>32</v>
      </c>
      <c r="D80" s="1317" t="s">
        <v>32</v>
      </c>
      <c r="E80" s="1317" t="s">
        <v>32</v>
      </c>
      <c r="F80" s="1317" t="s">
        <v>32</v>
      </c>
      <c r="G80" s="1317" t="s">
        <v>32</v>
      </c>
      <c r="H80" s="1317" t="s">
        <v>32</v>
      </c>
      <c r="I80" s="1317" t="s">
        <v>32</v>
      </c>
      <c r="J80" s="1317" t="s">
        <v>32</v>
      </c>
      <c r="K80" s="1317" t="s">
        <v>32</v>
      </c>
      <c r="L80" s="1317" t="s">
        <v>32</v>
      </c>
      <c r="M80" s="1317" t="s">
        <v>32</v>
      </c>
      <c r="N80" s="1317" t="s">
        <v>32</v>
      </c>
      <c r="O80" s="1317" t="s">
        <v>32</v>
      </c>
      <c r="P80" s="1317" t="s">
        <v>32</v>
      </c>
      <c r="Q80" s="1317" t="s">
        <v>32</v>
      </c>
      <c r="R80" s="1317" t="s">
        <v>32</v>
      </c>
      <c r="S80" s="1317" t="s">
        <v>32</v>
      </c>
      <c r="T80" s="1317" t="s">
        <v>32</v>
      </c>
      <c r="U80" s="1317" t="s">
        <v>32</v>
      </c>
      <c r="V80" s="1317" t="s">
        <v>32</v>
      </c>
      <c r="W80" s="1317" t="s">
        <v>32</v>
      </c>
      <c r="X80" s="1317" t="s">
        <v>32</v>
      </c>
      <c r="Y80" s="1317" t="s">
        <v>32</v>
      </c>
      <c r="Z80" s="1317" t="s">
        <v>32</v>
      </c>
      <c r="AA80" s="1317" t="s">
        <v>32</v>
      </c>
      <c r="AB80" s="1317" t="s">
        <v>32</v>
      </c>
      <c r="AC80" s="1317" t="s">
        <v>32</v>
      </c>
      <c r="AD80" s="1317" t="s">
        <v>32</v>
      </c>
      <c r="AE80" s="1317" t="s">
        <v>32</v>
      </c>
      <c r="AF80" s="348">
        <f>B80</f>
        <v>69.753795835789177</v>
      </c>
      <c r="AG80" s="1317" t="s">
        <v>32</v>
      </c>
      <c r="AH80" s="1317" t="s">
        <v>32</v>
      </c>
      <c r="AI80" s="1317" t="s">
        <v>32</v>
      </c>
      <c r="AJ80" s="1317" t="s">
        <v>32</v>
      </c>
      <c r="AK80" s="1317" t="s">
        <v>32</v>
      </c>
      <c r="AL80" s="1317" t="s">
        <v>32</v>
      </c>
      <c r="AM80" s="1317" t="s">
        <v>32</v>
      </c>
      <c r="AN80" s="1317" t="s">
        <v>32</v>
      </c>
      <c r="AO80" s="1317" t="s">
        <v>32</v>
      </c>
      <c r="AP80" s="1317" t="s">
        <v>32</v>
      </c>
    </row>
    <row r="81" spans="1:42" s="28" customFormat="1" ht="16.5" thickBot="1" x14ac:dyDescent="0.45">
      <c r="A81" s="351" t="s">
        <v>11</v>
      </c>
      <c r="B81" s="348">
        <f>B61</f>
        <v>63.2</v>
      </c>
      <c r="C81" s="1317" t="s">
        <v>32</v>
      </c>
      <c r="D81" s="1317" t="s">
        <v>32</v>
      </c>
      <c r="E81" s="1317" t="s">
        <v>32</v>
      </c>
      <c r="F81" s="1317" t="s">
        <v>32</v>
      </c>
      <c r="G81" s="1317" t="s">
        <v>32</v>
      </c>
      <c r="H81" s="1317" t="s">
        <v>32</v>
      </c>
      <c r="I81" s="1317" t="s">
        <v>32</v>
      </c>
      <c r="J81" s="1317" t="s">
        <v>32</v>
      </c>
      <c r="K81" s="1317" t="s">
        <v>32</v>
      </c>
      <c r="L81" s="1317" t="s">
        <v>32</v>
      </c>
      <c r="M81" s="1317" t="s">
        <v>32</v>
      </c>
      <c r="N81" s="1317" t="s">
        <v>32</v>
      </c>
      <c r="O81" s="1317" t="s">
        <v>32</v>
      </c>
      <c r="P81" s="1317" t="s">
        <v>32</v>
      </c>
      <c r="Q81" s="1317" t="s">
        <v>32</v>
      </c>
      <c r="R81" s="1317" t="s">
        <v>32</v>
      </c>
      <c r="S81" s="1317" t="s">
        <v>32</v>
      </c>
      <c r="T81" s="1317" t="s">
        <v>32</v>
      </c>
      <c r="U81" s="1317" t="s">
        <v>32</v>
      </c>
      <c r="V81" s="1317" t="s">
        <v>32</v>
      </c>
      <c r="W81" s="1317" t="s">
        <v>32</v>
      </c>
      <c r="X81" s="1317" t="s">
        <v>32</v>
      </c>
      <c r="Y81" s="1317" t="s">
        <v>32</v>
      </c>
      <c r="Z81" s="1317" t="s">
        <v>32</v>
      </c>
      <c r="AA81" s="1317" t="s">
        <v>32</v>
      </c>
      <c r="AB81" s="1317" t="s">
        <v>32</v>
      </c>
      <c r="AC81" s="1317" t="s">
        <v>32</v>
      </c>
      <c r="AD81" s="1317" t="s">
        <v>32</v>
      </c>
      <c r="AE81" s="1317" t="s">
        <v>32</v>
      </c>
      <c r="AF81" s="1317" t="s">
        <v>32</v>
      </c>
      <c r="AG81" s="1317" t="s">
        <v>32</v>
      </c>
      <c r="AH81" s="1317" t="s">
        <v>32</v>
      </c>
      <c r="AI81" s="1317" t="s">
        <v>32</v>
      </c>
      <c r="AJ81" s="1317" t="s">
        <v>32</v>
      </c>
      <c r="AK81" s="352">
        <f>B81</f>
        <v>63.2</v>
      </c>
      <c r="AL81" s="1317" t="s">
        <v>32</v>
      </c>
      <c r="AM81" s="1317" t="s">
        <v>32</v>
      </c>
      <c r="AN81" s="1317" t="s">
        <v>32</v>
      </c>
      <c r="AO81" s="1317" t="s">
        <v>32</v>
      </c>
      <c r="AP81" s="1317" t="s">
        <v>32</v>
      </c>
    </row>
    <row r="82" spans="1:42" s="28" customFormat="1" ht="16.5" thickBot="1" x14ac:dyDescent="0.45">
      <c r="A82" s="353" t="s">
        <v>12</v>
      </c>
      <c r="B82" s="348">
        <f>B62</f>
        <v>47</v>
      </c>
      <c r="C82" s="1317" t="s">
        <v>32</v>
      </c>
      <c r="D82" s="1317" t="s">
        <v>32</v>
      </c>
      <c r="E82" s="1317" t="s">
        <v>32</v>
      </c>
      <c r="F82" s="1317" t="s">
        <v>32</v>
      </c>
      <c r="G82" s="1317" t="s">
        <v>32</v>
      </c>
      <c r="H82" s="1317" t="s">
        <v>32</v>
      </c>
      <c r="I82" s="1317" t="s">
        <v>32</v>
      </c>
      <c r="J82" s="1317" t="s">
        <v>32</v>
      </c>
      <c r="K82" s="1317" t="s">
        <v>32</v>
      </c>
      <c r="L82" s="1317" t="s">
        <v>32</v>
      </c>
      <c r="M82" s="1317" t="s">
        <v>32</v>
      </c>
      <c r="N82" s="1317" t="s">
        <v>32</v>
      </c>
      <c r="O82" s="1317" t="s">
        <v>32</v>
      </c>
      <c r="P82" s="1317" t="s">
        <v>32</v>
      </c>
      <c r="Q82" s="1317" t="s">
        <v>32</v>
      </c>
      <c r="R82" s="1317" t="s">
        <v>32</v>
      </c>
      <c r="S82" s="1317" t="s">
        <v>32</v>
      </c>
      <c r="T82" s="1317" t="s">
        <v>32</v>
      </c>
      <c r="U82" s="1317" t="s">
        <v>32</v>
      </c>
      <c r="V82" s="1317" t="s">
        <v>32</v>
      </c>
      <c r="W82" s="1317" t="s">
        <v>32</v>
      </c>
      <c r="X82" s="1317" t="s">
        <v>32</v>
      </c>
      <c r="Y82" s="1317" t="s">
        <v>32</v>
      </c>
      <c r="Z82" s="1317" t="s">
        <v>32</v>
      </c>
      <c r="AA82" s="1317" t="s">
        <v>32</v>
      </c>
      <c r="AB82" s="1317" t="s">
        <v>32</v>
      </c>
      <c r="AC82" s="1317" t="s">
        <v>32</v>
      </c>
      <c r="AD82" s="1317" t="s">
        <v>32</v>
      </c>
      <c r="AE82" s="1317" t="s">
        <v>32</v>
      </c>
      <c r="AF82" s="1317" t="s">
        <v>32</v>
      </c>
      <c r="AG82" s="1317" t="s">
        <v>32</v>
      </c>
      <c r="AH82" s="1317" t="s">
        <v>32</v>
      </c>
      <c r="AI82" s="1317" t="s">
        <v>32</v>
      </c>
      <c r="AJ82" s="1317" t="s">
        <v>32</v>
      </c>
      <c r="AK82" s="1317" t="s">
        <v>32</v>
      </c>
      <c r="AL82" s="1317" t="s">
        <v>32</v>
      </c>
      <c r="AM82" s="1317" t="s">
        <v>32</v>
      </c>
      <c r="AN82" s="1317" t="s">
        <v>32</v>
      </c>
      <c r="AO82" s="1317" t="s">
        <v>32</v>
      </c>
      <c r="AP82" s="352">
        <f>B82</f>
        <v>47</v>
      </c>
    </row>
    <row r="83" spans="1:42" s="28" customFormat="1" ht="16.5" thickBot="1" x14ac:dyDescent="0.45">
      <c r="A83" s="351" t="s">
        <v>13</v>
      </c>
      <c r="B83" s="352">
        <f>B63</f>
        <v>13.950759167157837</v>
      </c>
      <c r="C83" s="1317" t="s">
        <v>32</v>
      </c>
      <c r="D83" s="1317" t="s">
        <v>32</v>
      </c>
      <c r="E83" s="1317" t="s">
        <v>32</v>
      </c>
      <c r="F83" s="1317" t="s">
        <v>32</v>
      </c>
      <c r="G83" s="1317" t="s">
        <v>32</v>
      </c>
      <c r="H83" s="1317" t="s">
        <v>32</v>
      </c>
      <c r="I83" s="1317" t="s">
        <v>32</v>
      </c>
      <c r="J83" s="1317" t="s">
        <v>32</v>
      </c>
      <c r="K83" s="1317" t="s">
        <v>32</v>
      </c>
      <c r="L83" s="1317" t="s">
        <v>32</v>
      </c>
      <c r="M83" s="1317" t="s">
        <v>32</v>
      </c>
      <c r="N83" s="1317" t="s">
        <v>32</v>
      </c>
      <c r="O83" s="1317" t="s">
        <v>32</v>
      </c>
      <c r="P83" s="1317" t="s">
        <v>32</v>
      </c>
      <c r="Q83" s="1317" t="s">
        <v>32</v>
      </c>
      <c r="R83" s="1317" t="s">
        <v>32</v>
      </c>
      <c r="S83" s="1317" t="s">
        <v>32</v>
      </c>
      <c r="T83" s="1317" t="s">
        <v>32</v>
      </c>
      <c r="U83" s="1317" t="s">
        <v>32</v>
      </c>
      <c r="V83" s="1317" t="s">
        <v>32</v>
      </c>
      <c r="W83" s="1317" t="s">
        <v>32</v>
      </c>
      <c r="X83" s="1317" t="s">
        <v>32</v>
      </c>
      <c r="Y83" s="1317" t="s">
        <v>32</v>
      </c>
      <c r="Z83" s="1317" t="s">
        <v>32</v>
      </c>
      <c r="AA83" s="1317" t="s">
        <v>32</v>
      </c>
      <c r="AB83" s="1317" t="s">
        <v>32</v>
      </c>
      <c r="AC83" s="1317" t="s">
        <v>32</v>
      </c>
      <c r="AD83" s="1317" t="s">
        <v>32</v>
      </c>
      <c r="AE83" s="1317" t="s">
        <v>32</v>
      </c>
      <c r="AF83" s="1317" t="s">
        <v>32</v>
      </c>
      <c r="AG83" s="1317" t="s">
        <v>32</v>
      </c>
      <c r="AH83" s="1317" t="s">
        <v>32</v>
      </c>
      <c r="AI83" s="1317" t="s">
        <v>32</v>
      </c>
      <c r="AJ83" s="1317" t="s">
        <v>32</v>
      </c>
      <c r="AK83" s="1317" t="s">
        <v>32</v>
      </c>
      <c r="AL83" s="1317" t="s">
        <v>32</v>
      </c>
      <c r="AM83" s="1317" t="s">
        <v>32</v>
      </c>
      <c r="AN83" s="1317" t="s">
        <v>32</v>
      </c>
      <c r="AO83" s="1317" t="s">
        <v>32</v>
      </c>
      <c r="AP83" s="1317" t="s">
        <v>32</v>
      </c>
    </row>
    <row r="84" spans="1:42" x14ac:dyDescent="0.4">
      <c r="A84" s="196" t="s">
        <v>1063</v>
      </c>
      <c r="B84" s="486"/>
      <c r="AJ84" s="28"/>
      <c r="AK84" s="28"/>
      <c r="AL84" s="28"/>
      <c r="AM84" s="28"/>
      <c r="AN84" s="28"/>
      <c r="AO84" s="28"/>
      <c r="AP84" s="28"/>
    </row>
    <row r="85" spans="1:42" x14ac:dyDescent="0.4">
      <c r="A85" s="393"/>
      <c r="B85" s="394"/>
    </row>
    <row r="86" spans="1:42" x14ac:dyDescent="0.4">
      <c r="A86" s="395" t="s">
        <v>1064</v>
      </c>
    </row>
  </sheetData>
  <phoneticPr fontId="38" type="noConversion"/>
  <hyperlinks>
    <hyperlink ref="A2" location="Contents!A1" display="Return to Contents tab" xr:uid="{9E23DA60-5C27-4FAD-9F4A-3AB375EFC485}"/>
    <hyperlink ref="A3" location="Summary!A43" display="Go to Tables on Summary Worksheet" xr:uid="{70B7F7F5-4962-4F42-9078-4895A06639A8}"/>
  </hyperlinks>
  <pageMargins left="0.7" right="0.7" top="0.75" bottom="0.75" header="0.3" footer="0.3"/>
  <pageSetup scale="23" orientation="landscape" r:id="rId1"/>
  <headerFooter>
    <oddFooter>&amp;L&amp;F&amp;A&amp;RPage &amp;P of &amp;N</oddFooter>
  </headerFooter>
  <drawing r:id="rId2"/>
  <tableParts count="6">
    <tablePart r:id="rId3"/>
    <tablePart r:id="rId4"/>
    <tablePart r:id="rId5"/>
    <tablePart r:id="rId6"/>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3A354-7D10-49A1-9AF9-DA1CA53EF012}">
  <sheetPr>
    <pageSetUpPr fitToPage="1"/>
  </sheetPr>
  <dimension ref="A1:LR73"/>
  <sheetViews>
    <sheetView workbookViewId="0">
      <pane xSplit="1" topLeftCell="B1" activePane="topRight" state="frozen"/>
      <selection pane="topRight"/>
    </sheetView>
  </sheetViews>
  <sheetFormatPr defaultRowHeight="14.5" x14ac:dyDescent="0.35"/>
  <cols>
    <col min="1" max="1" width="65.81640625" customWidth="1"/>
    <col min="2" max="2" width="18.453125" customWidth="1"/>
    <col min="3" max="3" width="13.81640625" customWidth="1"/>
    <col min="4" max="4" width="13.1796875" customWidth="1"/>
    <col min="5" max="17" width="11.26953125" customWidth="1"/>
    <col min="18" max="18" width="13.1796875" customWidth="1"/>
    <col min="19" max="19" width="11.26953125" customWidth="1"/>
    <col min="20" max="20" width="15.81640625" customWidth="1"/>
    <col min="21" max="21" width="12.54296875" customWidth="1"/>
    <col min="22" max="22" width="11.26953125" customWidth="1"/>
    <col min="23" max="23" width="14" customWidth="1"/>
    <col min="24" max="26" width="11.26953125" customWidth="1"/>
    <col min="35" max="35" width="18.54296875" customWidth="1"/>
  </cols>
  <sheetData>
    <row r="1" spans="1:330" ht="21" x14ac:dyDescent="0.5">
      <c r="A1" s="332" t="s">
        <v>749</v>
      </c>
      <c r="B1" s="108"/>
      <c r="C1" s="108"/>
      <c r="D1" s="108"/>
      <c r="E1" s="108"/>
      <c r="F1" s="108"/>
      <c r="G1" s="108"/>
      <c r="H1" s="108"/>
      <c r="I1" s="108"/>
      <c r="J1" s="108"/>
      <c r="K1" s="3"/>
      <c r="M1" s="3"/>
      <c r="N1" s="3"/>
      <c r="O1" s="3"/>
      <c r="P1" s="3"/>
      <c r="Q1" s="3"/>
      <c r="R1" s="3"/>
      <c r="S1" s="3"/>
      <c r="T1" s="3"/>
      <c r="U1" s="3"/>
      <c r="W1" s="3"/>
      <c r="X1" s="3"/>
      <c r="Y1" s="3"/>
      <c r="Z1" s="3"/>
      <c r="AA1" s="3"/>
      <c r="AB1" s="3"/>
      <c r="AC1" s="3"/>
      <c r="AE1" s="3"/>
      <c r="AF1" s="3"/>
      <c r="AG1" s="3"/>
      <c r="AH1" s="3"/>
      <c r="AI1" s="3"/>
      <c r="AJ1" s="3"/>
      <c r="AK1" s="3"/>
      <c r="AL1" s="3"/>
      <c r="AM1" s="3"/>
      <c r="AN1" s="3"/>
      <c r="AO1" s="3"/>
      <c r="AT1" s="3"/>
      <c r="AU1" s="3"/>
      <c r="AV1" s="3"/>
      <c r="AW1" s="3"/>
      <c r="AX1" s="3"/>
      <c r="AY1" s="3"/>
      <c r="AZ1" s="3"/>
      <c r="BA1" s="3"/>
    </row>
    <row r="2" spans="1:330" ht="16" x14ac:dyDescent="0.4">
      <c r="A2" s="1011" t="s">
        <v>730</v>
      </c>
      <c r="B2" s="230"/>
      <c r="C2" s="230"/>
      <c r="D2" s="230"/>
      <c r="E2" s="230"/>
      <c r="F2" s="230"/>
      <c r="G2" s="230"/>
      <c r="H2" s="230"/>
      <c r="I2" s="230"/>
      <c r="J2" s="230"/>
      <c r="K2" s="3"/>
      <c r="L2" s="3"/>
      <c r="M2" s="3"/>
      <c r="N2" s="3"/>
      <c r="O2" s="28"/>
      <c r="P2" s="3"/>
      <c r="Q2" s="3"/>
      <c r="R2" s="3"/>
      <c r="S2" s="3"/>
      <c r="T2" s="3"/>
      <c r="U2" s="3"/>
      <c r="V2" s="3"/>
      <c r="W2" s="3"/>
      <c r="X2" s="3"/>
      <c r="Y2" s="3"/>
      <c r="Z2" s="3"/>
      <c r="AA2" s="3"/>
      <c r="AB2" s="3"/>
      <c r="AC2" s="3"/>
      <c r="AD2" s="3"/>
      <c r="AE2" s="3"/>
      <c r="AF2" s="3"/>
      <c r="AG2" s="3"/>
      <c r="AH2" s="3"/>
      <c r="AI2" s="3"/>
      <c r="AJ2" s="3"/>
      <c r="AK2" s="3"/>
      <c r="AL2" s="3"/>
      <c r="AM2" s="3"/>
      <c r="AN2" s="3"/>
      <c r="AO2" s="3"/>
      <c r="AT2" s="3"/>
      <c r="AU2" s="3"/>
      <c r="AV2" s="3"/>
      <c r="AW2" s="3"/>
      <c r="AX2" s="3"/>
      <c r="AY2" s="3"/>
      <c r="AZ2" s="3"/>
      <c r="BA2" s="3"/>
    </row>
    <row r="3" spans="1:330" ht="16" x14ac:dyDescent="0.4">
      <c r="A3" s="1011" t="s">
        <v>898</v>
      </c>
      <c r="B3" s="230"/>
      <c r="C3" s="230"/>
      <c r="D3" s="230"/>
      <c r="E3" s="230"/>
      <c r="F3" s="230"/>
      <c r="G3" s="230"/>
      <c r="H3" s="230"/>
      <c r="I3" s="230"/>
      <c r="J3" s="230"/>
      <c r="K3" s="3"/>
      <c r="L3" s="3"/>
      <c r="M3" s="3"/>
      <c r="N3" s="3"/>
      <c r="O3" s="28"/>
      <c r="P3" s="3"/>
      <c r="Q3" s="3"/>
      <c r="R3" s="3"/>
      <c r="S3" s="3"/>
      <c r="T3" s="3"/>
      <c r="U3" s="3"/>
      <c r="V3" s="3"/>
      <c r="W3" s="3"/>
      <c r="X3" s="3"/>
      <c r="Y3" s="3"/>
      <c r="Z3" s="3"/>
      <c r="AA3" s="3"/>
      <c r="AB3" s="3"/>
      <c r="AC3" s="3"/>
      <c r="AD3" s="3"/>
      <c r="AE3" s="3"/>
      <c r="AF3" s="3"/>
      <c r="AG3" s="3"/>
      <c r="AH3" s="3"/>
      <c r="AI3" s="3"/>
      <c r="AJ3" s="3"/>
      <c r="AK3" s="3"/>
      <c r="AL3" s="3"/>
      <c r="AM3" s="3"/>
      <c r="AN3" s="3"/>
      <c r="AO3" s="3"/>
      <c r="AT3" s="3"/>
      <c r="AU3" s="3"/>
      <c r="AV3" s="3"/>
      <c r="AW3" s="3"/>
      <c r="AX3" s="3"/>
      <c r="AY3" s="3"/>
      <c r="AZ3" s="3"/>
      <c r="BA3" s="3"/>
    </row>
    <row r="4" spans="1:330" ht="16" x14ac:dyDescent="0.4">
      <c r="A4" s="1052"/>
      <c r="B4" s="230"/>
      <c r="C4" s="230"/>
      <c r="D4" s="230"/>
      <c r="E4" s="230"/>
      <c r="F4" s="230"/>
      <c r="G4" s="230"/>
      <c r="H4" s="230"/>
      <c r="I4" s="230"/>
      <c r="J4" s="230"/>
      <c r="K4" s="3"/>
      <c r="L4" s="3"/>
      <c r="M4" s="3"/>
      <c r="N4" s="3"/>
      <c r="O4" s="28"/>
      <c r="P4" s="3"/>
      <c r="Q4" s="3"/>
      <c r="R4" s="3"/>
      <c r="S4" s="3"/>
      <c r="T4" s="3"/>
      <c r="U4" s="3"/>
      <c r="V4" s="3"/>
      <c r="W4" s="3"/>
      <c r="X4" s="3"/>
      <c r="Y4" s="3"/>
      <c r="Z4" s="3"/>
      <c r="AA4" s="3"/>
      <c r="AB4" s="3"/>
      <c r="AC4" s="3"/>
      <c r="AD4" s="3"/>
      <c r="AE4" s="3"/>
      <c r="AF4" s="3"/>
      <c r="AG4" s="3"/>
      <c r="AH4" s="3"/>
      <c r="AI4" s="3"/>
      <c r="AJ4" s="3"/>
      <c r="AK4" s="3"/>
      <c r="AL4" s="3"/>
      <c r="AM4" s="3"/>
      <c r="AN4" s="3"/>
      <c r="AO4" s="3"/>
      <c r="AT4" s="3"/>
      <c r="AU4" s="3"/>
      <c r="AV4" s="3"/>
      <c r="AW4" s="3"/>
      <c r="AX4" s="3"/>
      <c r="AY4" s="3"/>
      <c r="AZ4" s="3"/>
      <c r="BA4" s="3"/>
    </row>
    <row r="5" spans="1:330" ht="16" x14ac:dyDescent="0.4">
      <c r="A5" s="1389" t="s">
        <v>1274</v>
      </c>
      <c r="B5" s="3"/>
      <c r="C5" s="3"/>
      <c r="D5" s="230"/>
      <c r="E5" s="230"/>
      <c r="F5" s="230"/>
      <c r="G5" s="230"/>
      <c r="H5" s="230"/>
      <c r="I5" s="230"/>
      <c r="J5" s="230"/>
      <c r="K5" s="3"/>
      <c r="L5" s="3"/>
      <c r="M5" s="3"/>
      <c r="N5" s="3"/>
      <c r="O5" s="28"/>
      <c r="P5" s="3"/>
      <c r="Q5" s="3"/>
      <c r="R5" s="3"/>
      <c r="S5" s="3"/>
      <c r="T5" s="3"/>
      <c r="U5" s="3"/>
      <c r="V5" s="3"/>
      <c r="W5" s="3"/>
      <c r="X5" s="3"/>
      <c r="Y5" s="3"/>
      <c r="Z5" s="3"/>
      <c r="AA5" s="3"/>
      <c r="AB5" s="3"/>
      <c r="AC5" s="3"/>
      <c r="AD5" s="3"/>
      <c r="AE5" s="3"/>
      <c r="AF5" s="3"/>
      <c r="AG5" s="3"/>
      <c r="AH5" s="3"/>
      <c r="AI5" s="3"/>
      <c r="AJ5" s="3"/>
      <c r="AK5" s="3"/>
      <c r="AL5" s="3"/>
      <c r="AM5" s="3"/>
      <c r="AN5" s="3"/>
      <c r="AO5" s="3"/>
      <c r="AT5" s="3"/>
      <c r="AU5" s="3"/>
      <c r="AV5" s="3"/>
      <c r="AW5" s="3"/>
      <c r="AX5" s="3"/>
      <c r="AY5" s="3"/>
      <c r="AZ5" s="3"/>
      <c r="BA5" s="3"/>
    </row>
    <row r="6" spans="1:330" ht="16" x14ac:dyDescent="0.4">
      <c r="A6" s="108" t="s">
        <v>747</v>
      </c>
      <c r="B6" s="230"/>
      <c r="C6" s="230"/>
      <c r="D6" s="230"/>
      <c r="E6" s="230"/>
      <c r="F6" s="230"/>
      <c r="G6" s="230"/>
      <c r="H6" s="230"/>
      <c r="I6" s="230"/>
      <c r="J6" s="230"/>
      <c r="K6" s="3"/>
      <c r="L6" s="3"/>
      <c r="M6" s="3"/>
      <c r="N6" s="3"/>
      <c r="O6" s="28"/>
      <c r="P6" s="3"/>
      <c r="Q6" s="3"/>
      <c r="R6" s="3"/>
      <c r="S6" s="3"/>
      <c r="T6" s="3"/>
      <c r="U6" s="3"/>
      <c r="V6" s="3"/>
      <c r="W6" s="3"/>
      <c r="X6" s="3"/>
      <c r="Y6" s="3"/>
      <c r="Z6" s="3"/>
      <c r="AA6" s="3"/>
      <c r="AB6" s="3"/>
      <c r="AC6" s="3"/>
      <c r="AD6" s="3"/>
      <c r="AE6" s="3"/>
      <c r="AF6" s="3"/>
      <c r="AG6" s="3"/>
      <c r="AH6" s="3"/>
      <c r="AI6" s="3"/>
      <c r="AJ6" s="3"/>
      <c r="AK6" s="3"/>
      <c r="AL6" s="3"/>
      <c r="AM6" s="3"/>
      <c r="AN6" s="3"/>
      <c r="AO6" s="3"/>
      <c r="AT6" s="3"/>
      <c r="AU6" s="3"/>
      <c r="AV6" s="3"/>
      <c r="AW6" s="3"/>
      <c r="AX6" s="3"/>
      <c r="AY6" s="3"/>
      <c r="AZ6" s="3"/>
      <c r="BA6" s="3"/>
    </row>
    <row r="7" spans="1:330" ht="17.5" thickBot="1" x14ac:dyDescent="0.5">
      <c r="A7" s="108" t="s">
        <v>748</v>
      </c>
      <c r="B7" s="42" t="s">
        <v>960</v>
      </c>
      <c r="C7" s="42" t="s">
        <v>961</v>
      </c>
      <c r="D7" s="42" t="s">
        <v>962</v>
      </c>
      <c r="E7" s="230"/>
      <c r="F7" s="54"/>
      <c r="G7" s="54"/>
      <c r="H7" s="54"/>
      <c r="I7" s="54"/>
      <c r="J7" s="230"/>
      <c r="K7" s="3"/>
      <c r="L7" s="28"/>
      <c r="M7" s="28"/>
      <c r="N7" s="3"/>
      <c r="O7" s="28"/>
      <c r="P7" s="3"/>
      <c r="Q7" s="3"/>
      <c r="R7" s="3"/>
      <c r="S7" s="3"/>
      <c r="T7" s="3"/>
      <c r="U7" s="3"/>
      <c r="V7" s="3"/>
      <c r="W7" s="3"/>
      <c r="X7" s="3"/>
      <c r="Y7" s="3"/>
      <c r="Z7" s="3"/>
      <c r="AA7" s="3"/>
      <c r="AB7" s="3"/>
      <c r="AC7" s="3"/>
      <c r="AD7" s="3"/>
      <c r="AE7" s="3"/>
      <c r="AF7" s="3"/>
      <c r="AG7" s="3"/>
      <c r="AH7" s="3"/>
      <c r="AI7" s="3"/>
      <c r="AJ7" s="3"/>
      <c r="AK7" s="3"/>
      <c r="AL7" s="3"/>
      <c r="AM7" s="3"/>
      <c r="AN7" s="3"/>
      <c r="AO7" s="3"/>
      <c r="AT7" s="3"/>
      <c r="AU7" s="3"/>
      <c r="AV7" s="3"/>
      <c r="AW7" s="3"/>
      <c r="AX7" s="3"/>
      <c r="AY7" s="3"/>
      <c r="AZ7" s="3"/>
      <c r="BA7" s="3"/>
    </row>
    <row r="8" spans="1:330" ht="16.5" thickBot="1" x14ac:dyDescent="0.45">
      <c r="A8" s="1388" t="s">
        <v>497</v>
      </c>
      <c r="B8" s="1391">
        <f>IF(A8=A9,B9,IF(A8=A10,B10,IF(A8=A11,B11,IF(A8=A12,B12,IF(A8=A13,B13,IF(A8=A14,B14))))))</f>
        <v>25</v>
      </c>
      <c r="C8" s="1392">
        <f>IF(A8=A9,C9,IF(A8=A10,C10,IF(A8=A11,C11,IF(A8=A12,C12,IF(A8=A13,C13,IF(A8=A14,C14))))))</f>
        <v>298</v>
      </c>
      <c r="D8" s="1392">
        <f>IF(A8=A9,D9,IF(A8=A10,D10,IF(A8=A11,D11,IF(A8=A12,D12,IF(A8=A13,D13,IF(A8=A14,D14))))))</f>
        <v>22800</v>
      </c>
      <c r="E8" s="230"/>
      <c r="F8" s="54"/>
      <c r="G8" s="54"/>
      <c r="H8" s="54"/>
      <c r="I8" s="54"/>
      <c r="J8" s="230"/>
      <c r="K8" s="3"/>
      <c r="L8" s="28"/>
      <c r="M8" s="28"/>
      <c r="N8" s="3"/>
      <c r="O8" s="28"/>
      <c r="P8" s="3"/>
      <c r="Q8" s="3"/>
      <c r="R8" s="3"/>
      <c r="S8" s="3"/>
      <c r="T8" s="3"/>
      <c r="U8" s="3"/>
      <c r="V8" s="3"/>
      <c r="W8" s="3"/>
      <c r="X8" s="3"/>
      <c r="Y8" s="3"/>
      <c r="Z8" s="3"/>
      <c r="AA8" s="3"/>
      <c r="AB8" s="3"/>
      <c r="AC8" s="3"/>
      <c r="AD8" s="3"/>
      <c r="AE8" s="3"/>
      <c r="AF8" s="3"/>
      <c r="AG8" s="3"/>
      <c r="AH8" s="3"/>
      <c r="AI8" s="3"/>
      <c r="AJ8" s="3"/>
      <c r="AK8" s="3"/>
      <c r="AL8" s="3"/>
      <c r="AM8" s="3"/>
      <c r="AN8" s="3"/>
      <c r="AO8" s="3"/>
      <c r="AT8" s="3"/>
      <c r="AU8" s="3"/>
      <c r="AV8" s="3"/>
      <c r="AW8" s="3"/>
      <c r="AX8" s="3"/>
      <c r="AY8" s="3"/>
      <c r="AZ8" s="3"/>
      <c r="BA8" s="3"/>
    </row>
    <row r="9" spans="1:330" ht="16" x14ac:dyDescent="0.4">
      <c r="A9" s="448" t="s">
        <v>497</v>
      </c>
      <c r="B9" s="1390">
        <v>25</v>
      </c>
      <c r="C9" s="1390">
        <v>298</v>
      </c>
      <c r="D9" s="1390">
        <v>22800</v>
      </c>
      <c r="E9" s="230"/>
      <c r="F9" s="54"/>
      <c r="G9" s="54"/>
      <c r="H9" s="54"/>
      <c r="I9" s="54"/>
      <c r="J9" s="230"/>
      <c r="K9" s="3"/>
      <c r="L9" s="28"/>
      <c r="M9" s="28"/>
      <c r="N9" s="3"/>
      <c r="O9" s="28"/>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row>
    <row r="10" spans="1:330" ht="16" x14ac:dyDescent="0.4">
      <c r="A10" s="448" t="s">
        <v>499</v>
      </c>
      <c r="B10" s="1390">
        <v>28</v>
      </c>
      <c r="C10" s="1390">
        <v>265</v>
      </c>
      <c r="D10" s="1390">
        <v>23500</v>
      </c>
      <c r="E10" s="230"/>
      <c r="F10" s="54"/>
      <c r="G10" s="54"/>
      <c r="H10" s="54"/>
      <c r="I10" s="54"/>
      <c r="J10" s="230"/>
      <c r="K10" s="3"/>
      <c r="L10" s="28"/>
      <c r="M10" s="28"/>
      <c r="N10" s="3"/>
      <c r="O10" s="28"/>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T10" s="3"/>
      <c r="AU10" s="3"/>
      <c r="AV10" s="3"/>
      <c r="AW10" s="3"/>
      <c r="AX10" s="3"/>
      <c r="AY10" s="3"/>
      <c r="AZ10" s="3"/>
      <c r="BA10" s="3"/>
    </row>
    <row r="11" spans="1:330" ht="16" x14ac:dyDescent="0.4">
      <c r="A11" s="448" t="s">
        <v>501</v>
      </c>
      <c r="B11" s="92">
        <v>29.8</v>
      </c>
      <c r="C11" s="92">
        <v>273</v>
      </c>
      <c r="D11" s="92">
        <v>24300</v>
      </c>
      <c r="E11" s="230"/>
      <c r="F11" s="88"/>
      <c r="G11" s="230"/>
      <c r="H11" s="230"/>
      <c r="I11" s="230"/>
      <c r="J11" s="230"/>
      <c r="K11" s="3"/>
      <c r="L11" s="28"/>
      <c r="M11" s="28"/>
      <c r="N11" s="3"/>
      <c r="O11" s="28"/>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T11" s="3"/>
      <c r="AU11" s="3"/>
      <c r="AV11" s="3"/>
      <c r="AW11" s="3"/>
      <c r="AX11" s="3"/>
      <c r="AY11" s="3"/>
      <c r="AZ11" s="3"/>
      <c r="BA11" s="3"/>
    </row>
    <row r="12" spans="1:330" ht="16" x14ac:dyDescent="0.4">
      <c r="A12" s="448" t="s">
        <v>498</v>
      </c>
      <c r="B12" s="1390">
        <v>72</v>
      </c>
      <c r="C12" s="1390">
        <v>289</v>
      </c>
      <c r="D12" s="1390">
        <v>16300</v>
      </c>
      <c r="E12" s="230"/>
      <c r="F12" s="88"/>
      <c r="G12" s="230"/>
      <c r="H12" s="230"/>
      <c r="I12" s="230"/>
      <c r="J12" s="230"/>
      <c r="K12" s="3"/>
      <c r="L12" s="28"/>
      <c r="M12" s="28"/>
      <c r="N12" s="3"/>
      <c r="O12" s="28"/>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1289"/>
      <c r="AR12" s="1289"/>
      <c r="AS12" s="1289"/>
      <c r="AT12" s="3"/>
      <c r="AU12" s="3"/>
      <c r="AV12" s="3"/>
      <c r="AW12" s="3"/>
      <c r="AX12" s="3"/>
      <c r="AY12" s="3"/>
      <c r="AZ12" s="3"/>
      <c r="BA12" s="3"/>
      <c r="BB12" s="1289"/>
      <c r="BC12" s="1289"/>
      <c r="BD12" s="1289"/>
      <c r="BE12" s="1289"/>
      <c r="BF12" s="1289"/>
      <c r="BG12" s="1289"/>
      <c r="BH12" s="1289"/>
      <c r="BI12" s="1289"/>
      <c r="BJ12" s="1289"/>
      <c r="BK12" s="1289"/>
      <c r="BL12" s="1289"/>
      <c r="BM12" s="1289"/>
      <c r="BN12" s="1289"/>
      <c r="BO12" s="1289"/>
      <c r="BP12" s="1289"/>
      <c r="BQ12" s="1289"/>
      <c r="BR12" s="1289"/>
      <c r="BS12" s="1289"/>
      <c r="BT12" s="1289"/>
      <c r="BU12" s="1289"/>
      <c r="BV12" s="1289"/>
      <c r="BW12" s="1289"/>
      <c r="BX12" s="1289"/>
      <c r="BY12" s="1289"/>
      <c r="BZ12" s="1289"/>
      <c r="CA12" s="1289"/>
      <c r="CB12" s="1289"/>
      <c r="CC12" s="1289"/>
      <c r="CD12" s="1289"/>
      <c r="CE12" s="1289"/>
      <c r="CF12" s="1289"/>
      <c r="CG12" s="1289"/>
      <c r="CH12" s="1289"/>
      <c r="CI12" s="1289"/>
      <c r="CJ12" s="1289"/>
      <c r="CK12" s="1289"/>
      <c r="CL12" s="1289"/>
      <c r="CM12" s="1289"/>
      <c r="CN12" s="1289"/>
      <c r="CO12" s="1289"/>
      <c r="CP12" s="1289"/>
      <c r="CQ12" s="1289"/>
      <c r="CR12" s="1289"/>
      <c r="CS12" s="1289"/>
      <c r="CT12" s="1289"/>
      <c r="CU12" s="1289"/>
      <c r="CV12" s="1289"/>
      <c r="CW12" s="1289"/>
      <c r="CX12" s="1289"/>
      <c r="CY12" s="1289"/>
      <c r="CZ12" s="1289"/>
      <c r="DA12" s="1289"/>
      <c r="DB12" s="1289"/>
      <c r="DC12" s="1289"/>
      <c r="DD12" s="1289"/>
      <c r="DE12" s="1289"/>
      <c r="DF12" s="1289"/>
      <c r="DG12" s="1289"/>
      <c r="DH12" s="1289"/>
      <c r="DI12" s="1289"/>
      <c r="DJ12" s="1289"/>
      <c r="DK12" s="1289"/>
      <c r="DL12" s="1289"/>
      <c r="DM12" s="1289"/>
      <c r="DN12" s="1289"/>
      <c r="DO12" s="1289"/>
      <c r="DP12" s="1289"/>
      <c r="DQ12" s="1289"/>
      <c r="DR12" s="1289"/>
      <c r="DS12" s="1289"/>
      <c r="DT12" s="1289"/>
      <c r="DU12" s="1289"/>
      <c r="DV12" s="1289"/>
      <c r="DW12" s="1289"/>
      <c r="DX12" s="1289"/>
      <c r="DY12" s="1289"/>
      <c r="DZ12" s="1289"/>
      <c r="EA12" s="1289"/>
      <c r="EB12" s="1289"/>
      <c r="EC12" s="1289"/>
      <c r="ED12" s="1289"/>
      <c r="EE12" s="1289"/>
      <c r="EF12" s="1289"/>
      <c r="EG12" s="1289"/>
      <c r="EH12" s="1289"/>
      <c r="EI12" s="1289"/>
      <c r="EJ12" s="1289"/>
      <c r="EK12" s="1289"/>
      <c r="EL12" s="1289"/>
      <c r="EM12" s="1289"/>
      <c r="EN12" s="1289"/>
      <c r="EO12" s="1289"/>
      <c r="EP12" s="1289"/>
      <c r="EQ12" s="1289"/>
      <c r="ER12" s="1289"/>
      <c r="ES12" s="1289"/>
      <c r="ET12" s="1289"/>
      <c r="EU12" s="1289"/>
      <c r="EV12" s="1289"/>
      <c r="EW12" s="1289"/>
      <c r="EX12" s="1289"/>
      <c r="EY12" s="1289"/>
      <c r="EZ12" s="1289"/>
      <c r="FA12" s="1289"/>
      <c r="FB12" s="1289"/>
      <c r="FC12" s="1289"/>
      <c r="FD12" s="1289"/>
      <c r="FE12" s="1289"/>
      <c r="FF12" s="1289"/>
      <c r="FG12" s="1289"/>
      <c r="FH12" s="1289"/>
      <c r="FI12" s="1289"/>
      <c r="FJ12" s="1289"/>
      <c r="FK12" s="1289"/>
      <c r="FL12" s="1289"/>
      <c r="FM12" s="1289"/>
      <c r="FN12" s="1289"/>
      <c r="FO12" s="1289"/>
      <c r="FP12" s="1289"/>
      <c r="FQ12" s="1289"/>
      <c r="FR12" s="1289"/>
      <c r="FS12" s="1289"/>
      <c r="FT12" s="1289"/>
      <c r="FU12" s="1289"/>
      <c r="FV12" s="1289"/>
      <c r="FW12" s="1289"/>
      <c r="FX12" s="1289"/>
      <c r="FY12" s="1289"/>
      <c r="FZ12" s="1289"/>
      <c r="GA12" s="1289"/>
      <c r="GB12" s="1289"/>
      <c r="GC12" s="1289"/>
      <c r="GD12" s="1289"/>
      <c r="GE12" s="1289"/>
      <c r="GF12" s="1289"/>
      <c r="GG12" s="1289"/>
      <c r="GH12" s="1289"/>
      <c r="GI12" s="1289"/>
      <c r="GJ12" s="1289"/>
      <c r="GK12" s="1289"/>
      <c r="GL12" s="1289"/>
      <c r="GM12" s="1289"/>
      <c r="GN12" s="1289"/>
      <c r="GO12" s="1289"/>
      <c r="GP12" s="1289"/>
      <c r="GQ12" s="1289"/>
      <c r="GR12" s="1289"/>
      <c r="GS12" s="1289"/>
      <c r="GT12" s="1289"/>
      <c r="GU12" s="1289"/>
      <c r="GV12" s="1289"/>
      <c r="GW12" s="1289"/>
      <c r="GX12" s="1289"/>
      <c r="GY12" s="1289"/>
      <c r="GZ12" s="1289"/>
      <c r="HA12" s="1289"/>
      <c r="HB12" s="1289"/>
      <c r="HC12" s="1289"/>
      <c r="HD12" s="1289"/>
      <c r="HE12" s="1289"/>
      <c r="HF12" s="1289"/>
      <c r="HG12" s="1289"/>
      <c r="HH12" s="1289"/>
      <c r="HI12" s="1289"/>
      <c r="HJ12" s="1289"/>
      <c r="HK12" s="1289"/>
      <c r="HL12" s="1289"/>
      <c r="HM12" s="1289"/>
      <c r="HN12" s="1289"/>
      <c r="HO12" s="1289"/>
      <c r="HP12" s="1289"/>
      <c r="HQ12" s="1289"/>
      <c r="HR12" s="1289"/>
      <c r="HS12" s="1289"/>
      <c r="HT12" s="1289"/>
      <c r="HU12" s="1289"/>
      <c r="HV12" s="1289"/>
      <c r="HW12" s="1289"/>
      <c r="HX12" s="1289"/>
      <c r="HY12" s="1289"/>
      <c r="HZ12" s="1289"/>
      <c r="IA12" s="1289"/>
      <c r="IB12" s="1289"/>
      <c r="IC12" s="1289"/>
      <c r="ID12" s="1289"/>
      <c r="IE12" s="1289"/>
      <c r="IF12" s="1289"/>
      <c r="IG12" s="1289"/>
      <c r="IH12" s="1289"/>
      <c r="II12" s="1289"/>
      <c r="IJ12" s="1289"/>
      <c r="IK12" s="1289"/>
      <c r="IL12" s="1289"/>
      <c r="IM12" s="1289"/>
      <c r="IN12" s="1289"/>
      <c r="IO12" s="1289"/>
      <c r="IP12" s="1289"/>
      <c r="IQ12" s="1289"/>
      <c r="IR12" s="1289"/>
      <c r="IS12" s="1289"/>
      <c r="IT12" s="1289"/>
      <c r="IU12" s="1289"/>
      <c r="IV12" s="1289"/>
      <c r="IW12" s="1289"/>
      <c r="IX12" s="1289"/>
      <c r="IY12" s="1289"/>
      <c r="IZ12" s="1289"/>
      <c r="JA12" s="1289"/>
      <c r="JB12" s="1289"/>
      <c r="JC12" s="1289"/>
      <c r="JD12" s="1289"/>
      <c r="JE12" s="1289"/>
      <c r="JF12" s="1289"/>
      <c r="JG12" s="1289"/>
      <c r="JH12" s="1289"/>
      <c r="JI12" s="1289"/>
      <c r="JJ12" s="1289"/>
      <c r="JK12" s="1289"/>
      <c r="JL12" s="1289"/>
      <c r="JM12" s="1289"/>
      <c r="JN12" s="1289"/>
      <c r="JO12" s="1289"/>
      <c r="JP12" s="1289"/>
      <c r="JQ12" s="1289"/>
      <c r="JR12" s="1289"/>
      <c r="JS12" s="1289"/>
      <c r="JT12" s="1289"/>
      <c r="JU12" s="1289"/>
      <c r="JV12" s="1289"/>
      <c r="JW12" s="1289"/>
      <c r="JX12" s="1289"/>
      <c r="JY12" s="1289"/>
      <c r="JZ12" s="1289"/>
      <c r="KA12" s="1289"/>
      <c r="KB12" s="1289"/>
      <c r="KC12" s="1289"/>
      <c r="KD12" s="1289"/>
      <c r="KE12" s="1289"/>
      <c r="KF12" s="1289"/>
      <c r="KG12" s="1289"/>
      <c r="KH12" s="1289"/>
      <c r="KI12" s="1289"/>
      <c r="KJ12" s="1289"/>
      <c r="KK12" s="1289"/>
      <c r="KL12" s="1289"/>
      <c r="KM12" s="1289"/>
      <c r="KN12" s="1289"/>
      <c r="KO12" s="1289"/>
      <c r="KP12" s="1289"/>
      <c r="KQ12" s="1289"/>
      <c r="KR12" s="1289"/>
      <c r="KS12" s="1289"/>
      <c r="KT12" s="1289"/>
      <c r="KU12" s="1289"/>
      <c r="KV12" s="1289"/>
      <c r="KW12" s="1289"/>
      <c r="KX12" s="1289"/>
      <c r="KY12" s="1289"/>
      <c r="KZ12" s="1289"/>
      <c r="LA12" s="1289"/>
      <c r="LB12" s="1289"/>
      <c r="LC12" s="1289"/>
      <c r="LD12" s="1289"/>
      <c r="LE12" s="1289"/>
      <c r="LF12" s="1289"/>
      <c r="LG12" s="1289"/>
      <c r="LH12" s="1289"/>
      <c r="LI12" s="1289"/>
      <c r="LJ12" s="1289"/>
      <c r="LK12" s="1289"/>
      <c r="LL12" s="1289"/>
      <c r="LM12" s="1289"/>
      <c r="LN12" s="1289"/>
      <c r="LO12" s="1289"/>
      <c r="LP12" s="1289"/>
      <c r="LQ12" s="1289"/>
      <c r="LR12" s="1289"/>
    </row>
    <row r="13" spans="1:330" ht="16" x14ac:dyDescent="0.4">
      <c r="A13" s="448" t="s">
        <v>500</v>
      </c>
      <c r="B13" s="1390">
        <v>84</v>
      </c>
      <c r="C13" s="1390">
        <v>264</v>
      </c>
      <c r="D13" s="1390">
        <v>17500</v>
      </c>
      <c r="E13" s="230"/>
      <c r="F13" s="88"/>
      <c r="G13" s="230"/>
      <c r="H13" s="230"/>
      <c r="I13" s="230"/>
      <c r="J13" s="230"/>
      <c r="K13" s="3"/>
      <c r="L13" s="28"/>
      <c r="M13" s="28"/>
      <c r="N13" s="3"/>
      <c r="O13" s="28"/>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T13" s="3"/>
      <c r="AU13" s="3"/>
      <c r="AV13" s="3"/>
      <c r="AW13" s="3"/>
      <c r="AX13" s="3"/>
      <c r="AY13" s="3"/>
      <c r="AZ13" s="3"/>
      <c r="BA13" s="3"/>
    </row>
    <row r="14" spans="1:330" ht="16" x14ac:dyDescent="0.4">
      <c r="A14" s="448" t="s">
        <v>502</v>
      </c>
      <c r="B14" s="92">
        <v>81.2</v>
      </c>
      <c r="C14" s="92">
        <v>273</v>
      </c>
      <c r="D14" s="92">
        <v>18200</v>
      </c>
      <c r="E14" s="230"/>
      <c r="F14" s="88"/>
      <c r="G14" s="230"/>
      <c r="H14" s="230"/>
      <c r="I14" s="230"/>
      <c r="J14" s="230"/>
      <c r="K14" s="3"/>
      <c r="L14" s="28"/>
      <c r="M14" s="28"/>
      <c r="N14" s="3"/>
      <c r="O14" s="28"/>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T14" s="3"/>
      <c r="AU14" s="3"/>
      <c r="AV14" s="3"/>
      <c r="AW14" s="3"/>
      <c r="AX14" s="3"/>
      <c r="AY14" s="3"/>
      <c r="AZ14" s="3"/>
      <c r="BA14" s="3"/>
    </row>
    <row r="15" spans="1:330" ht="16" x14ac:dyDescent="0.4">
      <c r="A15" s="1288" t="s">
        <v>1063</v>
      </c>
    </row>
    <row r="16" spans="1:330" ht="16" x14ac:dyDescent="0.4">
      <c r="A16" s="1052"/>
      <c r="B16" s="230"/>
      <c r="C16" s="230"/>
      <c r="D16" s="230"/>
      <c r="E16" s="230"/>
      <c r="F16" s="230"/>
      <c r="G16" s="230"/>
      <c r="H16" s="230"/>
      <c r="I16" s="230"/>
      <c r="J16" s="230"/>
      <c r="K16" s="3"/>
      <c r="L16" s="3"/>
      <c r="M16" s="3"/>
      <c r="N16" s="3"/>
      <c r="O16" s="28"/>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T16" s="3"/>
      <c r="AU16" s="3"/>
      <c r="AV16" s="3"/>
      <c r="AW16" s="3"/>
      <c r="AX16" s="3"/>
      <c r="AY16" s="3"/>
      <c r="AZ16" s="3"/>
      <c r="BA16" s="3"/>
    </row>
    <row r="17" spans="1:53" ht="16" x14ac:dyDescent="0.4">
      <c r="A17" s="42" t="s">
        <v>1124</v>
      </c>
      <c r="B17" s="476" t="str">
        <f>A8</f>
        <v xml:space="preserve"> 2007 Fourth Assessment Report (AR4), 100-year</v>
      </c>
      <c r="C17" s="230"/>
      <c r="D17" s="230"/>
      <c r="E17" s="230"/>
      <c r="F17" s="230"/>
      <c r="G17" s="230"/>
      <c r="H17" s="230"/>
      <c r="I17" s="230"/>
      <c r="J17" s="230"/>
      <c r="K17" s="3"/>
      <c r="L17" s="3"/>
      <c r="M17" s="3"/>
      <c r="N17" s="3"/>
      <c r="O17" s="28"/>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T17" s="3"/>
      <c r="AU17" s="3"/>
      <c r="AV17" s="3"/>
      <c r="AW17" s="3"/>
      <c r="AX17" s="3"/>
      <c r="AY17" s="3"/>
      <c r="AZ17" s="3"/>
      <c r="BA17" s="3"/>
    </row>
    <row r="18" spans="1:53" ht="17" x14ac:dyDescent="0.4">
      <c r="A18" s="330" t="s">
        <v>1549</v>
      </c>
      <c r="B18" s="230"/>
      <c r="C18" s="230"/>
      <c r="D18" s="230"/>
      <c r="E18" s="230"/>
      <c r="F18" s="230"/>
      <c r="G18" s="230"/>
      <c r="H18" s="230"/>
      <c r="I18" s="230"/>
      <c r="J18" s="230"/>
      <c r="K18" s="3"/>
      <c r="L18" s="3"/>
      <c r="M18" s="3"/>
      <c r="N18" s="3"/>
      <c r="O18" s="28"/>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T18" s="3"/>
      <c r="AU18" s="3"/>
      <c r="AV18" s="3"/>
      <c r="AW18" s="3"/>
      <c r="AX18" s="3"/>
      <c r="AY18" s="3"/>
      <c r="AZ18" s="3"/>
      <c r="BA18" s="3"/>
    </row>
    <row r="19" spans="1:53" ht="16" x14ac:dyDescent="0.4">
      <c r="A19" s="56"/>
      <c r="B19" s="230"/>
      <c r="C19" s="230"/>
      <c r="D19" s="230"/>
      <c r="E19" s="230"/>
      <c r="F19" s="230"/>
      <c r="G19" s="230"/>
      <c r="H19" s="230"/>
      <c r="I19" s="230"/>
      <c r="J19" s="230"/>
      <c r="K19" s="3"/>
      <c r="L19" s="3"/>
      <c r="M19" s="3"/>
      <c r="N19" s="3"/>
      <c r="O19" s="28"/>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T19" s="3"/>
      <c r="AU19" s="3"/>
      <c r="AV19" s="3"/>
      <c r="AW19" s="3"/>
      <c r="AX19" s="3"/>
      <c r="AY19" s="3"/>
      <c r="AZ19" s="3"/>
      <c r="BA19" s="3"/>
    </row>
    <row r="20" spans="1:53" ht="16" x14ac:dyDescent="0.4">
      <c r="A20" s="330"/>
      <c r="B20" s="230"/>
      <c r="C20" s="230"/>
      <c r="D20" s="230"/>
      <c r="E20" s="230"/>
      <c r="F20" s="230"/>
      <c r="G20" s="230"/>
      <c r="H20" s="230"/>
      <c r="I20" s="230"/>
      <c r="J20" s="230"/>
      <c r="K20" s="3"/>
      <c r="L20" s="3"/>
      <c r="M20" s="3"/>
      <c r="N20" s="3"/>
      <c r="O20" s="28"/>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T20" s="3"/>
      <c r="AU20" s="3"/>
      <c r="AV20" s="3"/>
      <c r="AW20" s="3"/>
      <c r="AX20" s="3"/>
      <c r="AY20" s="3"/>
      <c r="AZ20" s="3"/>
      <c r="BA20" s="3"/>
    </row>
    <row r="21" spans="1:53" ht="16" x14ac:dyDescent="0.4">
      <c r="A21" s="330"/>
      <c r="B21" s="230"/>
      <c r="C21" s="230"/>
      <c r="D21" s="230"/>
      <c r="E21" s="230"/>
      <c r="F21" s="230"/>
      <c r="G21" s="230"/>
      <c r="H21" s="230"/>
      <c r="I21" s="230"/>
      <c r="J21" s="230"/>
      <c r="K21" s="3"/>
      <c r="L21" s="3"/>
      <c r="M21" s="3"/>
      <c r="N21" s="3"/>
      <c r="O21" s="28"/>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T21" s="3"/>
      <c r="AU21" s="3"/>
      <c r="AV21" s="3"/>
      <c r="AW21" s="3"/>
      <c r="AX21" s="3"/>
      <c r="AY21" s="3"/>
      <c r="AZ21" s="3"/>
      <c r="BA21" s="3"/>
    </row>
    <row r="22" spans="1:53" ht="16" x14ac:dyDescent="0.4">
      <c r="A22" s="330"/>
      <c r="B22" s="230"/>
      <c r="C22" s="230"/>
      <c r="D22" s="230"/>
      <c r="E22" s="230"/>
      <c r="F22" s="230"/>
      <c r="G22" s="230"/>
      <c r="H22" s="230"/>
      <c r="I22" s="230"/>
      <c r="J22" s="230"/>
      <c r="K22" s="3"/>
      <c r="L22" s="3"/>
      <c r="M22" s="3"/>
      <c r="N22" s="3"/>
      <c r="O22" s="28"/>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T22" s="3"/>
      <c r="AU22" s="3"/>
      <c r="AV22" s="3"/>
      <c r="AW22" s="3"/>
      <c r="AX22" s="3"/>
      <c r="AY22" s="3"/>
      <c r="AZ22" s="3"/>
      <c r="BA22" s="3"/>
    </row>
    <row r="23" spans="1:53" ht="16" x14ac:dyDescent="0.4">
      <c r="A23" s="330"/>
      <c r="B23" s="230"/>
      <c r="C23" s="230"/>
      <c r="D23" s="230"/>
      <c r="E23" s="230"/>
      <c r="F23" s="230"/>
      <c r="G23" s="230"/>
      <c r="H23" s="230"/>
      <c r="I23" s="230"/>
      <c r="J23" s="230"/>
      <c r="K23" s="3"/>
      <c r="L23" s="3"/>
      <c r="M23" s="3"/>
      <c r="N23" s="3"/>
      <c r="O23" s="28"/>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T23" s="3"/>
      <c r="AU23" s="3"/>
      <c r="AV23" s="3"/>
      <c r="AW23" s="3"/>
      <c r="AX23" s="3"/>
      <c r="AY23" s="3"/>
      <c r="AZ23" s="3"/>
      <c r="BA23" s="3"/>
    </row>
    <row r="24" spans="1:53" ht="16" x14ac:dyDescent="0.4">
      <c r="A24" s="330"/>
      <c r="B24" s="230"/>
      <c r="C24" s="230"/>
      <c r="D24" s="230"/>
      <c r="E24" s="230"/>
      <c r="F24" s="230"/>
      <c r="G24" s="230"/>
      <c r="H24" s="230"/>
      <c r="I24" s="230"/>
      <c r="J24" s="230"/>
      <c r="K24" s="3"/>
      <c r="L24" s="3"/>
      <c r="M24" s="3"/>
      <c r="N24" s="3"/>
      <c r="O24" s="28"/>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T24" s="3"/>
      <c r="AU24" s="3"/>
      <c r="AV24" s="3"/>
      <c r="AW24" s="3"/>
      <c r="AX24" s="3"/>
      <c r="AY24" s="3"/>
      <c r="AZ24" s="3"/>
      <c r="BA24" s="3"/>
    </row>
    <row r="25" spans="1:53" ht="16" x14ac:dyDescent="0.4">
      <c r="A25" s="330"/>
      <c r="B25" s="230"/>
      <c r="C25" s="230"/>
      <c r="D25" s="230"/>
      <c r="E25" s="230"/>
      <c r="F25" s="230"/>
      <c r="G25" s="230"/>
      <c r="H25" s="230"/>
      <c r="I25" s="230"/>
      <c r="J25" s="230"/>
      <c r="K25" s="3"/>
      <c r="L25" s="3"/>
      <c r="M25" s="3"/>
      <c r="N25" s="3"/>
      <c r="O25" s="28"/>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T25" s="3"/>
      <c r="AU25" s="3"/>
      <c r="AV25" s="3"/>
      <c r="AW25" s="3"/>
      <c r="AX25" s="3"/>
      <c r="AY25" s="3"/>
      <c r="AZ25" s="3"/>
      <c r="BA25" s="3"/>
    </row>
    <row r="26" spans="1:53" ht="16" x14ac:dyDescent="0.4">
      <c r="A26" s="330"/>
      <c r="B26" s="230"/>
      <c r="C26" s="230"/>
      <c r="D26" s="230"/>
      <c r="E26" s="230"/>
      <c r="F26" s="230"/>
      <c r="G26" s="230"/>
      <c r="H26" s="230"/>
      <c r="I26" s="230"/>
      <c r="J26" s="230"/>
      <c r="K26" s="3"/>
      <c r="L26" s="3"/>
      <c r="M26" s="3"/>
      <c r="N26" s="3"/>
      <c r="O26" s="28"/>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T26" s="3"/>
      <c r="AU26" s="3"/>
      <c r="AV26" s="3"/>
      <c r="AW26" s="3"/>
      <c r="AX26" s="3"/>
      <c r="AY26" s="3"/>
      <c r="AZ26" s="3"/>
      <c r="BA26" s="3"/>
    </row>
    <row r="27" spans="1:53" ht="16" x14ac:dyDescent="0.4">
      <c r="B27" s="230"/>
      <c r="C27" s="230"/>
      <c r="D27" s="230"/>
      <c r="E27" s="230"/>
      <c r="F27" s="230"/>
      <c r="G27" s="230"/>
      <c r="H27" s="230"/>
      <c r="I27" s="230"/>
      <c r="J27" s="230"/>
      <c r="K27" s="3"/>
      <c r="L27" s="3"/>
      <c r="M27" s="3"/>
      <c r="N27" s="3"/>
      <c r="O27" s="28"/>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T27" s="3"/>
      <c r="AU27" s="3"/>
      <c r="AV27" s="3"/>
      <c r="AW27" s="3"/>
      <c r="AX27" s="3"/>
      <c r="AY27" s="3"/>
      <c r="AZ27" s="3"/>
      <c r="BA27" s="3"/>
    </row>
    <row r="28" spans="1:53" ht="16" x14ac:dyDescent="0.4">
      <c r="A28" s="330"/>
      <c r="B28" s="230"/>
      <c r="C28" s="230"/>
      <c r="D28" s="230"/>
      <c r="E28" s="230"/>
      <c r="F28" s="230"/>
      <c r="G28" s="230"/>
      <c r="H28" s="230"/>
      <c r="I28" s="230"/>
      <c r="J28" s="230"/>
      <c r="K28" s="3"/>
      <c r="L28" s="3"/>
      <c r="M28" s="3"/>
      <c r="N28" s="3"/>
      <c r="O28" s="28"/>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T28" s="3"/>
      <c r="AU28" s="3"/>
      <c r="AV28" s="3"/>
      <c r="AW28" s="3"/>
      <c r="AX28" s="3"/>
      <c r="AY28" s="3"/>
      <c r="AZ28" s="3"/>
      <c r="BA28" s="3"/>
    </row>
    <row r="29" spans="1:53" ht="16" x14ac:dyDescent="0.4">
      <c r="A29" s="330"/>
      <c r="B29" s="230"/>
      <c r="C29" s="230"/>
      <c r="D29" s="230"/>
      <c r="E29" s="230"/>
      <c r="F29" s="230"/>
      <c r="G29" s="230"/>
      <c r="H29" s="230"/>
      <c r="I29" s="230"/>
      <c r="J29" s="230"/>
      <c r="K29" s="3"/>
      <c r="L29" s="3"/>
      <c r="M29" s="3"/>
      <c r="N29" s="3"/>
      <c r="O29" s="28"/>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T29" s="3"/>
      <c r="AU29" s="3"/>
      <c r="AV29" s="3"/>
      <c r="AW29" s="3"/>
      <c r="AX29" s="3"/>
      <c r="AY29" s="3"/>
      <c r="AZ29" s="3"/>
      <c r="BA29" s="3"/>
    </row>
    <row r="30" spans="1:53" ht="16" x14ac:dyDescent="0.4">
      <c r="A30" s="330"/>
      <c r="B30" s="230"/>
      <c r="C30" s="230"/>
      <c r="D30" s="230"/>
      <c r="E30" s="230"/>
      <c r="F30" s="230"/>
      <c r="G30" s="230"/>
      <c r="H30" s="230"/>
      <c r="I30" s="230"/>
      <c r="J30" s="230"/>
      <c r="K30" s="3"/>
      <c r="L30" s="3"/>
      <c r="M30" s="3"/>
      <c r="N30" s="3"/>
      <c r="O30" s="28"/>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T30" s="3"/>
      <c r="AU30" s="3"/>
      <c r="AV30" s="3"/>
      <c r="AW30" s="3"/>
      <c r="AX30" s="3"/>
      <c r="AY30" s="3"/>
      <c r="AZ30" s="3"/>
      <c r="BA30" s="3"/>
    </row>
    <row r="31" spans="1:53" ht="16" x14ac:dyDescent="0.4">
      <c r="A31" s="330"/>
      <c r="B31" s="230"/>
      <c r="C31" s="230"/>
      <c r="D31" s="230"/>
      <c r="E31" s="230"/>
      <c r="F31" s="230"/>
      <c r="G31" s="230"/>
      <c r="H31" s="230"/>
      <c r="I31" s="230"/>
      <c r="J31" s="230"/>
      <c r="K31" s="3"/>
      <c r="L31" s="3"/>
      <c r="M31" s="3"/>
      <c r="N31" s="3"/>
      <c r="O31" s="28"/>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T31" s="3"/>
      <c r="AU31" s="3"/>
      <c r="AV31" s="3"/>
      <c r="AW31" s="3"/>
      <c r="AX31" s="3"/>
      <c r="AY31" s="3"/>
      <c r="AZ31" s="3"/>
      <c r="BA31" s="3"/>
    </row>
    <row r="32" spans="1:53" ht="16" x14ac:dyDescent="0.4">
      <c r="A32" s="330"/>
      <c r="B32" s="230"/>
      <c r="C32" s="230"/>
      <c r="D32" s="230"/>
      <c r="E32" s="230"/>
      <c r="F32" s="230"/>
      <c r="G32" s="230"/>
      <c r="H32" s="230"/>
      <c r="I32" s="230"/>
      <c r="J32" s="230"/>
      <c r="K32" s="3"/>
      <c r="L32" s="3"/>
      <c r="M32" s="3"/>
      <c r="N32" s="3"/>
      <c r="O32" s="28"/>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T32" s="3"/>
      <c r="AU32" s="3"/>
      <c r="AV32" s="3"/>
      <c r="AW32" s="3"/>
      <c r="AX32" s="3"/>
      <c r="AY32" s="3"/>
      <c r="AZ32" s="3"/>
      <c r="BA32" s="3"/>
    </row>
    <row r="33" spans="1:53" ht="16" x14ac:dyDescent="0.4">
      <c r="A33" s="330"/>
      <c r="B33" s="230"/>
      <c r="C33" s="230"/>
      <c r="D33" s="230"/>
      <c r="E33" s="230"/>
      <c r="F33" s="230"/>
      <c r="G33" s="230"/>
      <c r="H33" s="230"/>
      <c r="I33" s="230"/>
      <c r="J33" s="230"/>
      <c r="K33" s="3"/>
      <c r="L33" s="3"/>
      <c r="M33" s="3"/>
      <c r="N33" s="3"/>
      <c r="O33" s="28"/>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T33" s="3"/>
      <c r="AU33" s="3"/>
      <c r="AV33" s="3"/>
      <c r="AW33" s="3"/>
      <c r="AX33" s="3"/>
      <c r="AY33" s="3"/>
      <c r="AZ33" s="3"/>
      <c r="BA33" s="3"/>
    </row>
    <row r="34" spans="1:53" ht="16" x14ac:dyDescent="0.4">
      <c r="A34" s="42" t="s">
        <v>1125</v>
      </c>
      <c r="B34" s="476" t="str">
        <f>A8</f>
        <v xml:space="preserve"> 2007 Fourth Assessment Report (AR4), 100-year</v>
      </c>
      <c r="C34" s="230"/>
      <c r="D34" s="230"/>
      <c r="E34" s="230"/>
      <c r="F34" s="230"/>
      <c r="G34" s="230"/>
      <c r="H34" s="230"/>
      <c r="I34" s="476" t="str">
        <f>A8</f>
        <v xml:space="preserve"> 2007 Fourth Assessment Report (AR4), 100-year</v>
      </c>
      <c r="J34" s="230"/>
      <c r="K34" s="3"/>
      <c r="L34" s="3"/>
      <c r="M34" s="3"/>
      <c r="N34" s="3"/>
      <c r="O34" s="28"/>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T34" s="3"/>
      <c r="AU34" s="3"/>
      <c r="AV34" s="3"/>
      <c r="AW34" s="3"/>
      <c r="AX34" s="3"/>
      <c r="AY34" s="3"/>
      <c r="AZ34" s="3"/>
      <c r="BA34" s="3"/>
    </row>
    <row r="35" spans="1:53" ht="16" x14ac:dyDescent="0.4">
      <c r="A35" s="1319" t="s">
        <v>1092</v>
      </c>
      <c r="B35" s="230"/>
      <c r="C35" s="230"/>
      <c r="D35" s="230"/>
      <c r="E35" s="230"/>
      <c r="F35" s="230"/>
      <c r="G35" s="230"/>
      <c r="H35" s="230"/>
      <c r="I35" s="230"/>
      <c r="J35" s="230"/>
      <c r="K35" s="3"/>
      <c r="L35" s="3"/>
      <c r="M35" s="3"/>
      <c r="N35" s="3"/>
      <c r="O35" s="28"/>
      <c r="P35" s="3"/>
      <c r="Q35" s="3"/>
      <c r="R35" s="1319" t="s">
        <v>1092</v>
      </c>
      <c r="T35" s="3"/>
      <c r="Y35" s="3"/>
      <c r="Z35" s="3"/>
      <c r="AA35" s="3"/>
      <c r="AB35" s="3"/>
      <c r="AC35" s="3"/>
      <c r="AD35" s="3"/>
      <c r="AE35" s="3"/>
      <c r="AF35" s="3"/>
      <c r="AG35" s="3"/>
      <c r="AH35" s="3"/>
      <c r="AI35" s="3"/>
      <c r="AJ35" s="3"/>
      <c r="AK35" s="3"/>
      <c r="AL35" s="3"/>
      <c r="AM35" s="3"/>
      <c r="AN35" s="3"/>
      <c r="AO35" s="3"/>
      <c r="AT35" s="3"/>
      <c r="AU35" s="3"/>
      <c r="AV35" s="3"/>
      <c r="AW35" s="3"/>
      <c r="AX35" s="3"/>
      <c r="AY35" s="3"/>
      <c r="AZ35" s="3"/>
      <c r="BA35" s="3"/>
    </row>
    <row r="36" spans="1:53" ht="17" x14ac:dyDescent="0.45">
      <c r="A36" s="330" t="s">
        <v>1093</v>
      </c>
      <c r="B36" s="230"/>
      <c r="C36" s="230"/>
      <c r="D36" s="230"/>
      <c r="E36" s="230"/>
      <c r="F36" s="230"/>
      <c r="G36" s="230"/>
      <c r="H36" s="230"/>
      <c r="I36" s="230"/>
      <c r="J36" s="230"/>
      <c r="K36" s="3"/>
      <c r="L36" s="3"/>
      <c r="M36" s="3"/>
      <c r="N36" s="3"/>
      <c r="O36" s="28"/>
      <c r="P36" s="3"/>
      <c r="Q36" s="3"/>
      <c r="R36" s="1332" t="s">
        <v>1183</v>
      </c>
      <c r="S36" s="1332" t="s">
        <v>1137</v>
      </c>
      <c r="T36" s="1332" t="s">
        <v>690</v>
      </c>
      <c r="Y36" s="3"/>
      <c r="Z36" s="3"/>
      <c r="AA36" s="3"/>
      <c r="AB36" s="3"/>
      <c r="AC36" s="3"/>
      <c r="AD36" s="3"/>
      <c r="AE36" s="3"/>
      <c r="AF36" s="3"/>
      <c r="AG36" s="3"/>
      <c r="AH36" s="3"/>
      <c r="AI36" s="3"/>
      <c r="AJ36" s="3"/>
      <c r="AK36" s="3"/>
      <c r="AL36" s="3"/>
      <c r="AM36" s="3"/>
      <c r="AN36" s="3"/>
      <c r="AO36" s="3"/>
      <c r="AT36" s="3"/>
      <c r="AU36" s="3"/>
      <c r="AV36" s="3"/>
      <c r="AW36" s="3"/>
      <c r="AX36" s="3"/>
      <c r="AY36" s="3"/>
      <c r="AZ36" s="3"/>
      <c r="BA36" s="3"/>
    </row>
    <row r="37" spans="1:53" ht="17" x14ac:dyDescent="0.45">
      <c r="B37" s="230"/>
      <c r="C37" s="230"/>
      <c r="D37" s="230"/>
      <c r="E37" s="230"/>
      <c r="F37" s="230"/>
      <c r="G37" s="230"/>
      <c r="H37" s="230"/>
      <c r="I37" s="230"/>
      <c r="J37" s="230"/>
      <c r="K37" s="3"/>
      <c r="L37" s="3"/>
      <c r="M37" s="3"/>
      <c r="N37" s="3"/>
      <c r="O37" s="28"/>
      <c r="P37" s="3"/>
      <c r="Q37" s="3"/>
      <c r="R37" s="1116">
        <f>AI62</f>
        <v>55.643864378345249</v>
      </c>
      <c r="S37" s="289">
        <f>R37/$R$42</f>
        <v>0.85422204714997607</v>
      </c>
      <c r="T37" s="1290" t="s">
        <v>965</v>
      </c>
      <c r="Y37" s="3"/>
      <c r="Z37" s="3"/>
      <c r="AA37" s="3"/>
      <c r="AB37" s="3"/>
      <c r="AC37" s="3"/>
      <c r="AD37" s="3"/>
      <c r="AE37" s="3"/>
      <c r="AF37" s="3"/>
      <c r="AG37" s="3"/>
      <c r="AH37" s="3"/>
      <c r="AI37" s="3"/>
      <c r="AJ37" s="3"/>
      <c r="AK37" s="3"/>
      <c r="AL37" s="3"/>
      <c r="AM37" s="3"/>
      <c r="AN37" s="3"/>
      <c r="AO37" s="3"/>
      <c r="AT37" s="3"/>
      <c r="AU37" s="3"/>
      <c r="AV37" s="3"/>
      <c r="AW37" s="3"/>
      <c r="AX37" s="3"/>
      <c r="AY37" s="3"/>
      <c r="AZ37" s="3"/>
      <c r="BA37" s="3"/>
    </row>
    <row r="38" spans="1:53" ht="17" x14ac:dyDescent="0.45">
      <c r="A38" s="1403" t="s">
        <v>1421</v>
      </c>
      <c r="B38" s="230"/>
      <c r="C38" s="230"/>
      <c r="D38" s="230"/>
      <c r="E38" s="230"/>
      <c r="F38" s="230"/>
      <c r="G38" s="230"/>
      <c r="H38" s="230"/>
      <c r="I38" s="230"/>
      <c r="J38" s="230"/>
      <c r="K38" s="3"/>
      <c r="L38" s="3"/>
      <c r="M38" s="3"/>
      <c r="N38" s="3"/>
      <c r="O38" s="28"/>
      <c r="P38" s="3"/>
      <c r="Q38" s="3"/>
      <c r="R38" s="1116">
        <f>AI63</f>
        <v>1.4687829192079942</v>
      </c>
      <c r="S38" s="289">
        <f>R38/$R$42</f>
        <v>2.2548159910925337E-2</v>
      </c>
      <c r="T38" s="1290" t="s">
        <v>966</v>
      </c>
      <c r="Y38" s="3"/>
      <c r="Z38" s="3"/>
      <c r="AA38" s="3"/>
      <c r="AB38" s="3"/>
      <c r="AC38" s="3"/>
      <c r="AD38" s="3"/>
      <c r="AE38" s="3"/>
      <c r="AF38" s="3"/>
      <c r="AG38" s="3"/>
      <c r="AH38" s="3"/>
      <c r="AI38" s="3"/>
      <c r="AJ38" s="3"/>
      <c r="AK38" s="3"/>
      <c r="AL38" s="3"/>
      <c r="AM38" s="3"/>
      <c r="AN38" s="3"/>
      <c r="AO38" s="3"/>
      <c r="AT38" s="3"/>
      <c r="AU38" s="3"/>
      <c r="AV38" s="3"/>
      <c r="AW38" s="3"/>
      <c r="AX38" s="3"/>
      <c r="AY38" s="3"/>
      <c r="AZ38" s="3"/>
      <c r="BA38" s="3"/>
    </row>
    <row r="39" spans="1:53" ht="17" x14ac:dyDescent="0.45">
      <c r="A39" s="1335" t="s">
        <v>1092</v>
      </c>
      <c r="B39" s="230"/>
      <c r="C39" s="230"/>
      <c r="D39" s="230"/>
      <c r="E39" s="230"/>
      <c r="F39" s="230"/>
      <c r="G39" s="230"/>
      <c r="H39" s="230"/>
      <c r="I39" s="230"/>
      <c r="J39" s="230"/>
      <c r="K39" s="3"/>
      <c r="L39" s="3"/>
      <c r="M39" s="3"/>
      <c r="N39" s="3"/>
      <c r="O39" s="28"/>
      <c r="P39" s="3"/>
      <c r="Q39" s="3"/>
      <c r="R39" s="1116">
        <f>AI64</f>
        <v>0.71391148986715747</v>
      </c>
      <c r="S39" s="289">
        <f>R39/$R$42</f>
        <v>1.0959679762923544E-2</v>
      </c>
      <c r="T39" s="1290" t="s">
        <v>967</v>
      </c>
      <c r="Y39" s="3"/>
      <c r="Z39" s="3"/>
      <c r="AA39" s="3"/>
      <c r="AB39" s="3"/>
      <c r="AC39" s="3"/>
      <c r="AD39" s="3"/>
      <c r="AE39" s="3"/>
      <c r="AF39" s="3"/>
      <c r="AG39" s="3"/>
      <c r="AH39" s="3"/>
      <c r="AI39" s="3"/>
      <c r="AJ39" s="3"/>
      <c r="AK39" s="3"/>
      <c r="AL39" s="3"/>
      <c r="AM39" s="3"/>
      <c r="AN39" s="3"/>
      <c r="AO39" s="3"/>
      <c r="AT39" s="3"/>
      <c r="AU39" s="3"/>
      <c r="AV39" s="3"/>
      <c r="AW39" s="3"/>
      <c r="AX39" s="3"/>
      <c r="AY39" s="3"/>
      <c r="AZ39" s="3"/>
      <c r="BA39" s="3"/>
    </row>
    <row r="40" spans="1:53" ht="17" x14ac:dyDescent="0.45">
      <c r="A40" s="1336" t="s">
        <v>1093</v>
      </c>
      <c r="B40" s="230"/>
      <c r="C40" s="230"/>
      <c r="D40" s="230"/>
      <c r="E40" s="230"/>
      <c r="F40" s="230"/>
      <c r="G40" s="230"/>
      <c r="H40" s="230"/>
      <c r="I40" s="230"/>
      <c r="J40" s="230"/>
      <c r="K40" s="3"/>
      <c r="L40" s="3"/>
      <c r="M40" s="3"/>
      <c r="N40" s="3"/>
      <c r="O40" s="28"/>
      <c r="P40" s="3"/>
      <c r="Q40" s="3"/>
      <c r="R40" s="1117">
        <f>AI66</f>
        <v>3.2664308140058642</v>
      </c>
      <c r="S40" s="289">
        <f>R40/$R$42</f>
        <v>5.0144921600731383E-2</v>
      </c>
      <c r="T40" s="1291" t="s">
        <v>975</v>
      </c>
      <c r="Y40" s="3"/>
      <c r="Z40" s="3"/>
      <c r="AA40" s="3"/>
      <c r="AB40" s="3"/>
      <c r="AC40" s="3"/>
      <c r="AD40" s="3"/>
      <c r="AE40" s="3"/>
      <c r="AF40" s="3"/>
      <c r="AG40" s="3"/>
      <c r="AH40" s="3"/>
      <c r="AI40" s="3"/>
      <c r="AJ40" s="3"/>
      <c r="AK40" s="3"/>
      <c r="AL40" s="3"/>
      <c r="AM40" s="3"/>
      <c r="AN40" s="3"/>
      <c r="AO40" s="3"/>
      <c r="AT40" s="3"/>
      <c r="AU40" s="3"/>
      <c r="AV40" s="3"/>
      <c r="AW40" s="3"/>
      <c r="AX40" s="3"/>
      <c r="AY40" s="3"/>
      <c r="AZ40" s="3"/>
      <c r="BA40" s="3"/>
    </row>
    <row r="41" spans="1:53" ht="17" x14ac:dyDescent="0.45">
      <c r="B41" s="230"/>
      <c r="C41" s="230"/>
      <c r="D41" s="230"/>
      <c r="E41" s="230"/>
      <c r="F41" s="230"/>
      <c r="G41" s="230"/>
      <c r="H41" s="230"/>
      <c r="I41" s="230"/>
      <c r="J41" s="230"/>
      <c r="K41" s="3"/>
      <c r="L41" s="3"/>
      <c r="M41" s="3"/>
      <c r="N41" s="3"/>
      <c r="O41" s="28"/>
      <c r="P41" s="3"/>
      <c r="Q41" s="3"/>
      <c r="R41" s="1117">
        <f>AI67</f>
        <v>4.0468233593785614</v>
      </c>
      <c r="S41" s="289">
        <f>R41/$R$42</f>
        <v>6.2125191575443557E-2</v>
      </c>
      <c r="T41" s="1291" t="s">
        <v>976</v>
      </c>
      <c r="Y41" s="3"/>
      <c r="Z41" s="3"/>
      <c r="AA41" s="3"/>
      <c r="AB41" s="3"/>
      <c r="AC41" s="3"/>
      <c r="AD41" s="3"/>
      <c r="AE41" s="3"/>
      <c r="AF41" s="3"/>
      <c r="AG41" s="3"/>
      <c r="AH41" s="3"/>
      <c r="AI41" s="3"/>
      <c r="AJ41" s="3"/>
      <c r="AK41" s="3"/>
      <c r="AL41" s="3"/>
      <c r="AM41" s="3"/>
      <c r="AN41" s="3"/>
      <c r="AO41" s="3"/>
      <c r="AT41" s="3"/>
      <c r="AU41" s="3"/>
      <c r="AV41" s="3"/>
      <c r="AW41" s="3"/>
      <c r="AX41" s="3"/>
      <c r="AY41" s="3"/>
      <c r="AZ41" s="3"/>
      <c r="BA41" s="3"/>
    </row>
    <row r="42" spans="1:53" ht="16" x14ac:dyDescent="0.4">
      <c r="B42" s="230"/>
      <c r="C42" s="230"/>
      <c r="D42" s="230"/>
      <c r="E42" s="230"/>
      <c r="F42" s="230"/>
      <c r="G42" s="230"/>
      <c r="H42" s="230"/>
      <c r="I42" s="230"/>
      <c r="J42" s="230"/>
      <c r="K42" s="3"/>
      <c r="L42" s="3"/>
      <c r="M42" s="3"/>
      <c r="N42" s="3"/>
      <c r="O42" s="28"/>
      <c r="P42" s="3"/>
      <c r="Q42" s="3"/>
      <c r="R42" s="1118">
        <f>SUM(R37:R41)</f>
        <v>65.139812960804832</v>
      </c>
      <c r="S42" s="289">
        <f>SUM(S37:S41)</f>
        <v>0.99999999999999989</v>
      </c>
      <c r="T42" s="354" t="s">
        <v>21</v>
      </c>
      <c r="Y42" s="3"/>
      <c r="Z42" s="3"/>
      <c r="AA42" s="3"/>
      <c r="AB42" s="3"/>
      <c r="AC42" s="3"/>
      <c r="AD42" s="3"/>
      <c r="AE42" s="3"/>
      <c r="AF42" s="3"/>
      <c r="AG42" s="3"/>
      <c r="AH42" s="3"/>
      <c r="AI42" s="3"/>
      <c r="AJ42" s="3"/>
      <c r="AK42" s="3"/>
      <c r="AL42" s="3"/>
      <c r="AM42" s="3"/>
      <c r="AN42" s="3"/>
      <c r="AO42" s="3"/>
      <c r="AT42" s="3"/>
      <c r="AU42" s="3"/>
      <c r="AV42" s="3"/>
      <c r="AW42" s="3"/>
      <c r="AX42" s="3"/>
      <c r="AY42" s="3"/>
      <c r="AZ42" s="3"/>
      <c r="BA42" s="3"/>
    </row>
    <row r="43" spans="1:53" ht="16" x14ac:dyDescent="0.4">
      <c r="B43" s="230"/>
      <c r="C43" s="230"/>
      <c r="D43" s="230"/>
      <c r="E43" s="230"/>
      <c r="F43" s="230"/>
      <c r="G43" s="230"/>
      <c r="H43" s="230"/>
      <c r="I43" s="230"/>
      <c r="J43" s="230"/>
      <c r="K43" s="3"/>
      <c r="L43" s="3"/>
      <c r="M43" s="3"/>
      <c r="N43" s="3"/>
      <c r="O43" s="28"/>
      <c r="P43" s="3"/>
      <c r="Q43" s="3"/>
      <c r="R43" s="1324" t="s">
        <v>1111</v>
      </c>
      <c r="S43" s="3"/>
      <c r="T43" s="3"/>
      <c r="Y43" s="3"/>
      <c r="Z43" s="3"/>
      <c r="AA43" s="3"/>
      <c r="AB43" s="3"/>
      <c r="AC43" s="3"/>
      <c r="AD43" s="3"/>
      <c r="AE43" s="3"/>
      <c r="AF43" s="3"/>
      <c r="AG43" s="3"/>
      <c r="AH43" s="3"/>
      <c r="AI43" s="3"/>
      <c r="AJ43" s="3"/>
      <c r="AK43" s="3"/>
      <c r="AL43" s="3"/>
      <c r="AM43" s="3"/>
      <c r="AN43" s="3"/>
      <c r="AO43" s="3"/>
      <c r="AT43" s="3"/>
      <c r="AU43" s="3"/>
      <c r="AV43" s="3"/>
      <c r="AW43" s="3"/>
      <c r="AX43" s="3"/>
      <c r="AY43" s="3"/>
      <c r="AZ43" s="3"/>
      <c r="BA43" s="3"/>
    </row>
    <row r="44" spans="1:53" ht="16" x14ac:dyDescent="0.4">
      <c r="A44" s="1052"/>
      <c r="B44" s="230"/>
      <c r="C44" s="230"/>
      <c r="D44" s="230"/>
      <c r="E44" s="230"/>
      <c r="F44" s="230"/>
      <c r="G44" s="230"/>
      <c r="H44" s="230"/>
      <c r="I44" s="230"/>
      <c r="J44" s="230"/>
      <c r="K44" s="3"/>
      <c r="L44" s="3"/>
      <c r="M44" s="3"/>
      <c r="N44" s="3"/>
      <c r="O44" s="28"/>
      <c r="P44" s="3"/>
      <c r="Q44" s="3"/>
      <c r="Y44" s="3"/>
      <c r="Z44" s="3"/>
      <c r="AA44" s="3"/>
      <c r="AB44" s="3"/>
      <c r="AC44" s="3"/>
      <c r="AD44" s="3"/>
      <c r="AE44" s="3"/>
      <c r="AF44" s="3"/>
      <c r="AG44" s="3"/>
      <c r="AH44" s="3"/>
      <c r="AI44" s="3"/>
      <c r="AJ44" s="3"/>
      <c r="AK44" s="3"/>
      <c r="AL44" s="3"/>
      <c r="AM44" s="3"/>
      <c r="AN44" s="3"/>
      <c r="AO44" s="3"/>
      <c r="AT44" s="3"/>
      <c r="AU44" s="3"/>
      <c r="AV44" s="3"/>
      <c r="AW44" s="3"/>
      <c r="AX44" s="3"/>
      <c r="AY44" s="3"/>
      <c r="AZ44" s="3"/>
      <c r="BA44" s="3"/>
    </row>
    <row r="45" spans="1:53" ht="16" x14ac:dyDescent="0.4">
      <c r="A45" s="1052"/>
      <c r="B45" s="230"/>
      <c r="C45" s="230"/>
      <c r="D45" s="230"/>
      <c r="E45" s="230"/>
      <c r="F45" s="230"/>
      <c r="G45" s="230"/>
      <c r="H45" s="230"/>
      <c r="I45" s="230"/>
      <c r="J45" s="230"/>
      <c r="K45" s="3"/>
      <c r="L45" s="3"/>
      <c r="M45" s="3"/>
      <c r="N45" s="3"/>
      <c r="O45" s="28"/>
      <c r="P45" s="3"/>
      <c r="Q45" s="3"/>
      <c r="R45" s="1319" t="s">
        <v>1094</v>
      </c>
      <c r="T45" s="3"/>
      <c r="Y45" s="3"/>
      <c r="Z45" s="3"/>
      <c r="AA45" s="3"/>
      <c r="AB45" s="3"/>
      <c r="AC45" s="3"/>
      <c r="AD45" s="3"/>
      <c r="AE45" s="3"/>
      <c r="AF45" s="3"/>
      <c r="AG45" s="3"/>
      <c r="AH45" s="3"/>
      <c r="AI45" s="3"/>
      <c r="AJ45" s="3"/>
      <c r="AK45" s="3"/>
      <c r="AL45" s="3"/>
      <c r="AM45" s="3"/>
      <c r="AN45" s="3"/>
      <c r="AO45" s="3"/>
      <c r="AT45" s="3"/>
      <c r="AU45" s="3"/>
      <c r="AV45" s="3"/>
      <c r="AW45" s="3"/>
      <c r="AX45" s="3"/>
      <c r="AY45" s="3"/>
      <c r="AZ45" s="3"/>
      <c r="BA45" s="3"/>
    </row>
    <row r="46" spans="1:53" ht="17" x14ac:dyDescent="0.45">
      <c r="A46" s="1052"/>
      <c r="B46" s="230"/>
      <c r="C46" s="230"/>
      <c r="D46" s="230"/>
      <c r="E46" s="230"/>
      <c r="F46" s="230"/>
      <c r="G46" s="230"/>
      <c r="H46" s="230"/>
      <c r="I46" s="230"/>
      <c r="J46" s="230"/>
      <c r="K46" s="3"/>
      <c r="L46" s="3"/>
      <c r="M46" s="3"/>
      <c r="N46" s="3"/>
      <c r="O46" s="28"/>
      <c r="P46" s="3"/>
      <c r="Q46" s="3"/>
      <c r="R46" s="1332" t="s">
        <v>1183</v>
      </c>
      <c r="S46" s="1332" t="s">
        <v>1137</v>
      </c>
      <c r="T46" s="1332" t="s">
        <v>670</v>
      </c>
      <c r="W46" s="3"/>
      <c r="X46" s="3"/>
      <c r="Y46" s="3"/>
      <c r="Z46" s="3"/>
      <c r="AA46" s="3"/>
      <c r="AB46" s="3"/>
      <c r="AC46" s="3"/>
      <c r="AD46" s="3"/>
      <c r="AE46" s="3"/>
      <c r="AF46" s="3"/>
      <c r="AG46" s="3"/>
      <c r="AH46" s="3"/>
      <c r="AI46" s="3"/>
      <c r="AJ46" s="3"/>
      <c r="AK46" s="3"/>
      <c r="AL46" s="3"/>
      <c r="AM46" s="3"/>
      <c r="AN46" s="3"/>
      <c r="AO46" s="3"/>
      <c r="AT46" s="3"/>
      <c r="AU46" s="3"/>
      <c r="AV46" s="3"/>
      <c r="AW46" s="3"/>
      <c r="AX46" s="3"/>
      <c r="AY46" s="3"/>
      <c r="AZ46" s="3"/>
      <c r="BA46" s="3"/>
    </row>
    <row r="47" spans="1:53" ht="16" x14ac:dyDescent="0.4">
      <c r="A47" s="1052"/>
      <c r="B47" s="230"/>
      <c r="C47" s="230"/>
      <c r="D47" s="230"/>
      <c r="E47" s="230"/>
      <c r="F47" s="230"/>
      <c r="G47" s="230"/>
      <c r="H47" s="230"/>
      <c r="I47" s="230"/>
      <c r="J47" s="230"/>
      <c r="K47" s="3"/>
      <c r="L47" s="3"/>
      <c r="M47" s="3"/>
      <c r="N47" s="3"/>
      <c r="O47" s="28"/>
      <c r="P47" s="3"/>
      <c r="Q47" s="3"/>
      <c r="R47" s="1112">
        <f>('Summary by Gas'!AI117+'Summary by Gas'!AI118+'Summary by Gas'!AI119)+((('Summary by Gas'!AI131+'Summary by Gas'!AI132+'Summary by Gas'!AI133)/25)*B8)+((('Summary by Gas'!AI146+'Summary by Gas'!AI147+'Summary by Gas'!AI148)/298)*C8)</f>
        <v>22.473216971138026</v>
      </c>
      <c r="S47" s="334">
        <f t="shared" ref="S47:S53" si="0">R47/$R$54</f>
        <v>0.34499971599028612</v>
      </c>
      <c r="T47" s="660" t="s">
        <v>1</v>
      </c>
      <c r="W47" s="3"/>
      <c r="X47" s="3"/>
      <c r="Y47" s="3"/>
      <c r="Z47" s="3"/>
      <c r="AA47" s="3"/>
      <c r="AB47" s="3"/>
      <c r="AC47" s="3"/>
      <c r="AD47" s="3"/>
      <c r="AE47" s="3"/>
      <c r="AF47" s="3"/>
      <c r="AG47" s="3"/>
      <c r="AH47" s="3"/>
      <c r="AI47" s="3"/>
      <c r="AJ47" s="3"/>
      <c r="AK47" s="3"/>
      <c r="AL47" s="3"/>
      <c r="AM47" s="3"/>
      <c r="AN47" s="3"/>
      <c r="AO47" s="3"/>
      <c r="AT47" s="3"/>
      <c r="AU47" s="3"/>
      <c r="AV47" s="3"/>
      <c r="AW47" s="3"/>
      <c r="AX47" s="3"/>
      <c r="AY47" s="3"/>
      <c r="AZ47" s="3"/>
      <c r="BA47" s="3"/>
    </row>
    <row r="48" spans="1:53" ht="16" x14ac:dyDescent="0.4">
      <c r="A48" s="1052"/>
      <c r="B48" s="230"/>
      <c r="C48" s="230"/>
      <c r="D48" s="230"/>
      <c r="E48" s="230"/>
      <c r="F48" s="230"/>
      <c r="G48" s="230"/>
      <c r="H48" s="230"/>
      <c r="I48" s="230"/>
      <c r="J48" s="230"/>
      <c r="K48" s="3"/>
      <c r="L48" s="3"/>
      <c r="M48" s="3"/>
      <c r="N48" s="3"/>
      <c r="O48" s="28"/>
      <c r="P48" s="3"/>
      <c r="Q48" s="3"/>
      <c r="R48" s="1112">
        <f>('Summary by Gas'!AI121+'Summary by Gas'!AI125)+((('Summary by Gas'!AI135+'Summary by Gas'!AI134)/25)*B8)+((('Summary by Gas'!AI149+'Summary by Gas'!AI151)/298)*C8)+'Summary by Gas'!AI176</f>
        <v>11.260706072606789</v>
      </c>
      <c r="S48" s="334">
        <f t="shared" si="0"/>
        <v>0.17286979438185446</v>
      </c>
      <c r="T48" s="660" t="s">
        <v>2</v>
      </c>
      <c r="W48" s="3"/>
      <c r="X48" s="3"/>
      <c r="Y48" s="3"/>
      <c r="Z48" s="3"/>
      <c r="AA48" s="3"/>
      <c r="AB48" s="3"/>
      <c r="AC48" s="3"/>
      <c r="AD48" s="3"/>
      <c r="AE48" s="3"/>
      <c r="AF48" s="3"/>
      <c r="AG48" s="3"/>
      <c r="AH48" s="3"/>
      <c r="AI48" s="3"/>
      <c r="AJ48" s="3"/>
      <c r="AK48" s="3"/>
      <c r="AL48" s="3"/>
      <c r="AM48" s="3"/>
      <c r="AN48" s="3"/>
      <c r="AO48" s="3"/>
      <c r="AT48" s="3"/>
      <c r="AU48" s="3"/>
      <c r="AV48" s="3"/>
      <c r="AW48" s="3"/>
      <c r="AX48" s="3"/>
      <c r="AY48" s="3"/>
      <c r="AZ48" s="3"/>
      <c r="BA48" s="3"/>
    </row>
    <row r="49" spans="1:53" ht="16" x14ac:dyDescent="0.4">
      <c r="A49" s="1052"/>
      <c r="B49" s="230"/>
      <c r="C49" s="230"/>
      <c r="D49" s="230"/>
      <c r="E49" s="230"/>
      <c r="F49" s="230"/>
      <c r="G49" s="230"/>
      <c r="H49" s="230"/>
      <c r="I49" s="230"/>
      <c r="J49" s="230"/>
      <c r="K49" s="3"/>
      <c r="L49" s="3"/>
      <c r="M49" s="3"/>
      <c r="N49" s="3"/>
      <c r="O49" s="28"/>
      <c r="P49" s="3"/>
      <c r="Q49" s="3"/>
      <c r="R49" s="1112">
        <f>'Summary by Gas'!AI120+(('Summary by Gas'!AI136/25)*B8)+(('Summary by Gas'!AI153/298)*C8)</f>
        <v>26.290528324068958</v>
      </c>
      <c r="S49" s="334">
        <f t="shared" si="0"/>
        <v>0.40360153229006335</v>
      </c>
      <c r="T49" s="660" t="s">
        <v>3</v>
      </c>
      <c r="W49" s="3"/>
      <c r="X49" s="3"/>
      <c r="Y49" s="3"/>
      <c r="Z49" s="3"/>
      <c r="AA49" s="3"/>
      <c r="AB49" s="3"/>
      <c r="AC49" s="3"/>
      <c r="AD49" s="3"/>
      <c r="AE49" s="3"/>
      <c r="AF49" s="3"/>
      <c r="AG49" s="3"/>
      <c r="AH49" s="3"/>
      <c r="AI49" s="3"/>
      <c r="AJ49" s="3"/>
      <c r="AK49" s="3"/>
      <c r="AL49" s="3"/>
      <c r="AM49" s="3"/>
      <c r="AN49" s="3"/>
      <c r="AO49" s="3"/>
      <c r="AT49" s="3"/>
      <c r="AU49" s="3"/>
      <c r="AV49" s="3"/>
      <c r="AW49" s="3"/>
      <c r="AX49" s="3"/>
      <c r="AY49" s="3"/>
      <c r="AZ49" s="3"/>
      <c r="BA49" s="3"/>
    </row>
    <row r="50" spans="1:53" ht="16" x14ac:dyDescent="0.4">
      <c r="A50" s="1052"/>
      <c r="B50" s="230"/>
      <c r="C50" s="230"/>
      <c r="D50" s="230"/>
      <c r="E50" s="230"/>
      <c r="F50" s="230"/>
      <c r="G50" s="230"/>
      <c r="H50" s="230"/>
      <c r="I50" s="230"/>
      <c r="J50" s="230"/>
      <c r="K50" s="3"/>
      <c r="L50" s="3"/>
      <c r="M50" s="3"/>
      <c r="N50" s="3"/>
      <c r="O50" s="28"/>
      <c r="P50" s="3"/>
      <c r="Q50" s="3"/>
      <c r="R50" s="1112">
        <f>('Summary by Gas'!AI137/25*B8)+'Summary by Gas'!AI122</f>
        <v>0.70636312077249752</v>
      </c>
      <c r="S50" s="334">
        <f t="shared" si="0"/>
        <v>1.0843800260794763E-2</v>
      </c>
      <c r="T50" s="1114" t="s">
        <v>4</v>
      </c>
      <c r="W50" s="3"/>
      <c r="X50" s="3"/>
      <c r="Y50" s="3"/>
      <c r="Z50" s="3"/>
      <c r="AA50" s="3"/>
      <c r="AB50" s="3"/>
      <c r="AC50" s="3"/>
      <c r="AD50" s="3"/>
      <c r="AE50" s="3"/>
      <c r="AF50" s="3"/>
      <c r="AG50" s="3"/>
      <c r="AH50" s="3"/>
      <c r="AI50" s="3"/>
      <c r="AJ50" s="3"/>
      <c r="AK50" s="3"/>
      <c r="AL50" s="3"/>
      <c r="AM50" s="3"/>
      <c r="AN50" s="3"/>
      <c r="AO50" s="3"/>
      <c r="AT50" s="3"/>
      <c r="AU50" s="3"/>
      <c r="AV50" s="3"/>
      <c r="AW50" s="3"/>
      <c r="AX50" s="3"/>
      <c r="AY50" s="3"/>
      <c r="AZ50" s="3"/>
      <c r="BA50" s="3"/>
    </row>
    <row r="51" spans="1:53" ht="16" x14ac:dyDescent="0.4">
      <c r="A51" s="1052"/>
      <c r="B51" s="230"/>
      <c r="C51" s="230"/>
      <c r="D51" s="230"/>
      <c r="E51" s="230"/>
      <c r="F51" s="230"/>
      <c r="G51" s="230"/>
      <c r="H51" s="230"/>
      <c r="I51" s="230"/>
      <c r="J51" s="230"/>
      <c r="K51" s="3"/>
      <c r="L51" s="3"/>
      <c r="M51" s="3"/>
      <c r="N51" s="3"/>
      <c r="O51" s="28"/>
      <c r="P51" s="3"/>
      <c r="Q51" s="3"/>
      <c r="R51" s="1112">
        <f>'Summary by Gas'!AI123+AI66+'Summary by Gas'!AI150</f>
        <v>3.5821232543038848</v>
      </c>
      <c r="S51" s="334">
        <f t="shared" si="0"/>
        <v>5.4991303958138137E-2</v>
      </c>
      <c r="T51" s="1114" t="s">
        <v>5</v>
      </c>
      <c r="W51" s="3"/>
      <c r="X51" s="3"/>
      <c r="Y51" s="3"/>
      <c r="Z51" s="3"/>
      <c r="AA51" s="3"/>
      <c r="AB51" s="3"/>
      <c r="AC51" s="3"/>
      <c r="AD51" s="3"/>
      <c r="AE51" s="3"/>
      <c r="AF51" s="3"/>
      <c r="AG51" s="3"/>
      <c r="AH51" s="3"/>
      <c r="AI51" s="3"/>
      <c r="AJ51" s="3"/>
      <c r="AK51" s="3"/>
      <c r="AL51" s="3"/>
      <c r="AM51" s="3"/>
      <c r="AN51" s="3"/>
      <c r="AO51" s="3"/>
      <c r="AT51" s="3"/>
      <c r="AU51" s="3"/>
      <c r="AV51" s="3"/>
      <c r="AW51" s="3"/>
      <c r="AX51" s="3"/>
      <c r="AY51" s="3"/>
      <c r="AZ51" s="3"/>
      <c r="BA51" s="3"/>
    </row>
    <row r="52" spans="1:53" ht="16" x14ac:dyDescent="0.4">
      <c r="A52" s="1052"/>
      <c r="B52" s="230"/>
      <c r="C52" s="230"/>
      <c r="D52" s="230"/>
      <c r="E52" s="230"/>
      <c r="F52" s="230"/>
      <c r="G52" s="230"/>
      <c r="H52" s="230"/>
      <c r="I52" s="230"/>
      <c r="J52" s="230"/>
      <c r="K52" s="3"/>
      <c r="L52" s="3"/>
      <c r="M52" s="3"/>
      <c r="N52" s="3"/>
      <c r="O52" s="28"/>
      <c r="P52" s="3"/>
      <c r="Q52" s="3"/>
      <c r="R52" s="1112">
        <f>'Summary by Gas'!AI124+('Summary by Gas'!AI138/25*B8)+('Summary by Gas'!AI154/298*C8)</f>
        <v>0.25654006769458504</v>
      </c>
      <c r="S52" s="334">
        <f t="shared" si="0"/>
        <v>3.9382991143825869E-3</v>
      </c>
      <c r="T52" s="1114" t="s">
        <v>6</v>
      </c>
      <c r="V52" s="3"/>
      <c r="W52" s="3"/>
      <c r="X52" s="3"/>
      <c r="Y52" s="3"/>
      <c r="Z52" s="3"/>
      <c r="AA52" s="3"/>
      <c r="AB52" s="3"/>
      <c r="AC52" s="3"/>
      <c r="AD52" s="3"/>
      <c r="AE52" s="3"/>
      <c r="AF52" s="3"/>
      <c r="AG52" s="3"/>
      <c r="AH52" s="3"/>
      <c r="AI52" s="3"/>
      <c r="AJ52" s="3"/>
      <c r="AK52" s="3"/>
      <c r="AL52" s="3"/>
      <c r="AM52" s="3"/>
      <c r="AN52" s="3"/>
      <c r="AO52" s="3"/>
      <c r="AT52" s="3"/>
      <c r="AU52" s="3"/>
      <c r="AV52" s="3"/>
      <c r="AW52" s="3"/>
      <c r="AX52" s="3"/>
      <c r="AY52" s="3"/>
      <c r="AZ52" s="3"/>
      <c r="BA52" s="3"/>
    </row>
    <row r="53" spans="1:53" ht="16" x14ac:dyDescent="0.4">
      <c r="A53" s="1052"/>
      <c r="B53" s="230"/>
      <c r="C53" s="230"/>
      <c r="D53" s="230"/>
      <c r="E53" s="230"/>
      <c r="F53" s="230"/>
      <c r="G53" s="230"/>
      <c r="H53" s="230"/>
      <c r="I53" s="230"/>
      <c r="J53" s="230"/>
      <c r="K53" s="3"/>
      <c r="L53" s="3"/>
      <c r="M53" s="3"/>
      <c r="N53" s="3"/>
      <c r="O53" s="28"/>
      <c r="P53" s="3"/>
      <c r="Q53" s="3"/>
      <c r="R53" s="1112">
        <f>((('Summary by Gas'!AI139+'Summary by Gas'!AI140)/25)*B8)+((('Summary by Gas'!AI152+'Summary by Gas'!AI155)/298)*C8)</f>
        <v>0.57033515022009018</v>
      </c>
      <c r="S53" s="334">
        <f t="shared" si="0"/>
        <v>8.7555540044805709E-3</v>
      </c>
      <c r="T53" s="660" t="s">
        <v>7</v>
      </c>
      <c r="V53" s="3"/>
      <c r="W53" s="3"/>
      <c r="X53" s="3"/>
      <c r="Y53" s="3"/>
      <c r="Z53" s="3"/>
      <c r="AA53" s="3"/>
      <c r="AB53" s="3"/>
      <c r="AC53" s="3"/>
      <c r="AD53" s="3"/>
      <c r="AE53" s="3"/>
      <c r="AF53" s="3"/>
      <c r="AG53" s="3"/>
      <c r="AH53" s="3"/>
      <c r="AI53" s="3"/>
      <c r="AJ53" s="3"/>
      <c r="AK53" s="3"/>
      <c r="AL53" s="3"/>
      <c r="AM53" s="3"/>
      <c r="AN53" s="3"/>
      <c r="AO53" s="3"/>
      <c r="AT53" s="3"/>
      <c r="AU53" s="3"/>
      <c r="AV53" s="3"/>
      <c r="AW53" s="3"/>
      <c r="AX53" s="3"/>
      <c r="AY53" s="3"/>
      <c r="AZ53" s="3"/>
      <c r="BA53" s="3"/>
    </row>
    <row r="54" spans="1:53" ht="16" x14ac:dyDescent="0.4">
      <c r="A54" s="1052"/>
      <c r="B54" s="230"/>
      <c r="C54" s="230"/>
      <c r="D54" s="230"/>
      <c r="E54" s="230"/>
      <c r="F54" s="230"/>
      <c r="G54" s="230"/>
      <c r="H54" s="230"/>
      <c r="I54" s="230"/>
      <c r="J54" s="230"/>
      <c r="K54" s="3"/>
      <c r="L54" s="3"/>
      <c r="M54" s="3"/>
      <c r="N54" s="3"/>
      <c r="O54" s="28"/>
      <c r="P54" s="3"/>
      <c r="Q54" s="3"/>
      <c r="R54" s="136">
        <f>SUM(R47:R53)</f>
        <v>65.139812960804832</v>
      </c>
      <c r="S54" s="334">
        <f>SUM(S47:S53)</f>
        <v>1</v>
      </c>
      <c r="T54" s="1115" t="s">
        <v>21</v>
      </c>
      <c r="V54" s="3"/>
      <c r="W54" s="3"/>
      <c r="X54" s="3"/>
      <c r="Y54" s="3"/>
      <c r="Z54" s="3"/>
      <c r="AA54" s="3"/>
      <c r="AB54" s="3"/>
      <c r="AC54" s="3"/>
      <c r="AD54" s="3"/>
      <c r="AE54" s="3"/>
      <c r="AF54" s="3"/>
      <c r="AG54" s="3"/>
      <c r="AH54" s="3"/>
      <c r="AI54" s="3"/>
      <c r="AJ54" s="3"/>
      <c r="AK54" s="3"/>
      <c r="AL54" s="3"/>
      <c r="AM54" s="3"/>
      <c r="AN54" s="3"/>
      <c r="AO54" s="3"/>
      <c r="AT54" s="3"/>
      <c r="AU54" s="3"/>
      <c r="AV54" s="3"/>
      <c r="AW54" s="3"/>
      <c r="AX54" s="3"/>
      <c r="AY54" s="3"/>
      <c r="AZ54" s="3"/>
      <c r="BA54" s="3"/>
    </row>
    <row r="55" spans="1:53" ht="16" x14ac:dyDescent="0.4">
      <c r="A55" s="1052"/>
      <c r="B55" s="230"/>
      <c r="C55" s="230"/>
      <c r="D55" s="230"/>
      <c r="E55" s="230"/>
      <c r="F55" s="230"/>
      <c r="G55" s="230"/>
      <c r="H55" s="230"/>
      <c r="I55" s="230"/>
      <c r="J55" s="230"/>
      <c r="K55" s="3"/>
      <c r="L55" s="3"/>
      <c r="M55" s="3"/>
      <c r="N55" s="3"/>
      <c r="O55" s="28"/>
      <c r="P55" s="3"/>
      <c r="Q55" s="3"/>
      <c r="R55" s="1324" t="s">
        <v>1111</v>
      </c>
      <c r="T55" s="3"/>
      <c r="V55" s="3"/>
      <c r="W55" s="3"/>
      <c r="X55" s="3"/>
      <c r="Y55" s="3"/>
      <c r="Z55" s="3"/>
      <c r="AA55" s="3"/>
      <c r="AB55" s="3"/>
      <c r="AC55" s="3"/>
      <c r="AD55" s="3"/>
      <c r="AE55" s="3"/>
      <c r="AF55" s="3"/>
      <c r="AG55" s="3"/>
      <c r="AH55" s="3"/>
      <c r="AI55" s="3"/>
      <c r="AJ55" s="3"/>
      <c r="AK55" s="3"/>
      <c r="AL55" s="3"/>
      <c r="AM55" s="3"/>
      <c r="AN55" s="3"/>
      <c r="AO55" s="3"/>
      <c r="AT55" s="3"/>
      <c r="AU55" s="3"/>
      <c r="AV55" s="3"/>
      <c r="AW55" s="3"/>
      <c r="AX55" s="3"/>
      <c r="AY55" s="3"/>
      <c r="AZ55" s="3"/>
      <c r="BA55" s="3"/>
    </row>
    <row r="56" spans="1:53" ht="16" x14ac:dyDescent="0.4">
      <c r="A56" s="88" t="s">
        <v>1066</v>
      </c>
      <c r="B56" s="230"/>
      <c r="C56" s="230"/>
      <c r="D56" s="230"/>
      <c r="E56" s="230"/>
      <c r="F56" s="230"/>
      <c r="G56" s="230"/>
      <c r="H56" s="230"/>
      <c r="I56" s="230"/>
      <c r="J56" s="230"/>
      <c r="K56" s="3"/>
      <c r="L56" s="3"/>
      <c r="M56" s="3"/>
      <c r="N56" s="3"/>
      <c r="O56" s="28"/>
      <c r="P56" s="3"/>
      <c r="Q56" s="3"/>
      <c r="R56" s="3"/>
      <c r="S56" s="3"/>
      <c r="U56" s="3"/>
      <c r="V56" s="3"/>
      <c r="W56" s="3"/>
      <c r="X56" s="3"/>
      <c r="Y56" s="3"/>
      <c r="Z56" s="3"/>
      <c r="AA56" s="3"/>
      <c r="AB56" s="3"/>
      <c r="AC56" s="3"/>
      <c r="AD56" s="3"/>
      <c r="AE56" s="3"/>
      <c r="AF56" s="3"/>
      <c r="AG56" s="3"/>
      <c r="AH56" s="3"/>
      <c r="AI56" s="3"/>
      <c r="AJ56" s="3"/>
      <c r="AK56" s="3"/>
      <c r="AL56" s="3"/>
      <c r="AM56" s="3"/>
      <c r="AN56" s="3"/>
      <c r="AO56" s="3"/>
      <c r="AT56" s="3"/>
      <c r="AU56" s="3"/>
      <c r="AV56" s="3"/>
      <c r="AW56" s="3"/>
      <c r="AX56" s="3"/>
      <c r="AY56" s="3"/>
      <c r="AZ56" s="3"/>
      <c r="BA56" s="3"/>
    </row>
    <row r="57" spans="1:53" ht="17" x14ac:dyDescent="0.45">
      <c r="A57" s="28" t="s">
        <v>963</v>
      </c>
      <c r="B57" s="230"/>
      <c r="C57" s="230"/>
      <c r="D57" s="230"/>
      <c r="E57" s="230"/>
      <c r="F57" s="230"/>
      <c r="G57" s="230"/>
      <c r="H57" s="230"/>
      <c r="I57" s="230"/>
      <c r="J57" s="230"/>
      <c r="K57" s="3"/>
      <c r="L57" s="3"/>
      <c r="M57" s="3"/>
      <c r="N57" s="3"/>
      <c r="O57" s="28"/>
      <c r="P57" s="3"/>
      <c r="Q57" s="3"/>
      <c r="R57" s="3"/>
      <c r="S57" s="3"/>
      <c r="U57" s="3"/>
      <c r="V57" s="3"/>
      <c r="W57" s="3"/>
      <c r="X57" s="3"/>
      <c r="Y57" s="3"/>
      <c r="Z57" s="3"/>
      <c r="AA57" s="3"/>
      <c r="AB57" s="3"/>
      <c r="AC57" s="3"/>
      <c r="AD57" s="3"/>
      <c r="AE57" s="3"/>
      <c r="AF57" s="3"/>
      <c r="AG57" s="3"/>
      <c r="AH57" s="3"/>
      <c r="AI57" s="3"/>
      <c r="AJ57" s="3"/>
      <c r="AK57" s="3"/>
      <c r="AL57" s="3"/>
      <c r="AM57" s="3"/>
      <c r="AN57" s="3"/>
      <c r="AO57" s="3"/>
      <c r="AT57" s="3"/>
      <c r="AU57" s="3"/>
      <c r="AV57" s="3"/>
      <c r="AW57" s="3"/>
      <c r="AX57" s="3"/>
      <c r="AY57" s="3"/>
      <c r="AZ57" s="3"/>
      <c r="BA57" s="3"/>
    </row>
    <row r="58" spans="1:53" ht="16" x14ac:dyDescent="0.4">
      <c r="A58" s="28" t="s">
        <v>747</v>
      </c>
      <c r="B58" s="86"/>
      <c r="C58" s="86"/>
      <c r="D58" s="86"/>
      <c r="E58" s="86"/>
      <c r="F58" s="86"/>
      <c r="G58" s="86"/>
      <c r="H58" s="86"/>
      <c r="I58" s="86"/>
      <c r="J58" s="86"/>
      <c r="K58" s="3"/>
      <c r="L58" s="3"/>
      <c r="M58" s="3"/>
      <c r="N58" s="3"/>
      <c r="O58" s="28"/>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T58" s="3"/>
      <c r="AU58" s="3"/>
      <c r="AV58" s="3"/>
      <c r="AW58" s="3"/>
      <c r="AX58" s="3"/>
      <c r="AY58" s="3"/>
      <c r="AZ58" s="3"/>
      <c r="BA58" s="3"/>
    </row>
    <row r="59" spans="1:53" ht="16" x14ac:dyDescent="0.4">
      <c r="A59" s="448"/>
      <c r="B59" s="29"/>
      <c r="C59" s="230"/>
      <c r="D59" s="230"/>
      <c r="E59" s="230"/>
      <c r="F59" s="230"/>
      <c r="G59" s="230"/>
      <c r="H59" s="230"/>
      <c r="I59" s="230"/>
      <c r="J59" s="230"/>
      <c r="K59" s="3"/>
      <c r="L59" s="28"/>
      <c r="M59" s="28"/>
      <c r="N59" s="3"/>
      <c r="O59" s="28"/>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row>
    <row r="60" spans="1:53" ht="17" x14ac:dyDescent="0.45">
      <c r="A60" s="1019" t="s">
        <v>964</v>
      </c>
      <c r="B60" s="29"/>
      <c r="C60" s="3"/>
      <c r="D60" s="3"/>
      <c r="E60" s="3"/>
      <c r="F60" s="3"/>
      <c r="G60" s="3"/>
      <c r="H60" s="3"/>
      <c r="I60" s="3"/>
      <c r="J60" s="3"/>
      <c r="K60" s="3"/>
      <c r="L60" s="3"/>
      <c r="M60" s="3"/>
      <c r="N60" s="3"/>
      <c r="O60" s="3"/>
      <c r="P60" s="3"/>
      <c r="Q60" s="3"/>
      <c r="R60" s="3"/>
      <c r="S60" s="3"/>
      <c r="T60" s="3"/>
      <c r="U60" s="55"/>
      <c r="V60" s="55"/>
      <c r="W60" s="55"/>
      <c r="X60" s="55"/>
      <c r="Y60" s="55"/>
      <c r="Z60" s="55"/>
      <c r="AA60" s="267"/>
      <c r="AB60" s="267"/>
      <c r="AC60" s="267"/>
      <c r="AD60" s="267"/>
      <c r="AE60" s="267"/>
      <c r="AF60" s="267"/>
      <c r="AG60" s="267"/>
      <c r="AH60" s="267"/>
      <c r="AI60" s="268"/>
      <c r="AJ60" s="3"/>
      <c r="AK60" s="3"/>
      <c r="AL60" s="3"/>
      <c r="AM60" s="3"/>
      <c r="AN60" s="3"/>
      <c r="AO60" s="3"/>
      <c r="AP60" s="3"/>
      <c r="AQ60" s="278"/>
      <c r="AR60" s="3"/>
      <c r="AS60" s="3"/>
      <c r="AT60" s="3"/>
      <c r="AU60" s="3"/>
      <c r="AV60" s="3"/>
      <c r="AW60" s="3"/>
      <c r="AX60" s="3"/>
      <c r="AY60" s="3"/>
      <c r="AZ60" s="3"/>
      <c r="BA60" s="3"/>
    </row>
    <row r="61" spans="1:53" s="490" customFormat="1" ht="16" x14ac:dyDescent="0.4">
      <c r="A61" s="1018" t="s">
        <v>690</v>
      </c>
      <c r="B61" s="489" t="s">
        <v>391</v>
      </c>
      <c r="C61" s="489" t="s">
        <v>392</v>
      </c>
      <c r="D61" s="489" t="s">
        <v>393</v>
      </c>
      <c r="E61" s="489" t="s">
        <v>394</v>
      </c>
      <c r="F61" s="489" t="s">
        <v>395</v>
      </c>
      <c r="G61" s="489" t="s">
        <v>396</v>
      </c>
      <c r="H61" s="489" t="s">
        <v>397</v>
      </c>
      <c r="I61" s="489" t="s">
        <v>398</v>
      </c>
      <c r="J61" s="489" t="s">
        <v>399</v>
      </c>
      <c r="K61" s="489" t="s">
        <v>400</v>
      </c>
      <c r="L61" s="489" t="s">
        <v>401</v>
      </c>
      <c r="M61" s="489" t="s">
        <v>402</v>
      </c>
      <c r="N61" s="489" t="s">
        <v>403</v>
      </c>
      <c r="O61" s="489" t="s">
        <v>404</v>
      </c>
      <c r="P61" s="489" t="s">
        <v>405</v>
      </c>
      <c r="Q61" s="489" t="s">
        <v>406</v>
      </c>
      <c r="R61" s="489" t="s">
        <v>407</v>
      </c>
      <c r="S61" s="489" t="s">
        <v>408</v>
      </c>
      <c r="T61" s="489" t="s">
        <v>409</v>
      </c>
      <c r="U61" s="489" t="s">
        <v>410</v>
      </c>
      <c r="V61" s="489" t="s">
        <v>411</v>
      </c>
      <c r="W61" s="489" t="s">
        <v>412</v>
      </c>
      <c r="X61" s="489" t="s">
        <v>413</v>
      </c>
      <c r="Y61" s="489" t="s">
        <v>414</v>
      </c>
      <c r="Z61" s="489" t="s">
        <v>415</v>
      </c>
      <c r="AA61" s="489" t="s">
        <v>416</v>
      </c>
      <c r="AB61" s="489" t="s">
        <v>417</v>
      </c>
      <c r="AC61" s="489" t="s">
        <v>418</v>
      </c>
      <c r="AD61" s="489" t="s">
        <v>419</v>
      </c>
      <c r="AE61" s="489" t="s">
        <v>420</v>
      </c>
      <c r="AF61" s="489" t="s">
        <v>421</v>
      </c>
      <c r="AG61" s="489" t="s">
        <v>422</v>
      </c>
      <c r="AH61" s="489" t="s">
        <v>423</v>
      </c>
      <c r="AI61" s="489" t="s">
        <v>424</v>
      </c>
      <c r="AJ61" s="60"/>
      <c r="AK61" s="60"/>
      <c r="AL61" s="60"/>
      <c r="AM61" s="60"/>
      <c r="AN61" s="60"/>
      <c r="AO61" s="60"/>
      <c r="AP61" s="60"/>
      <c r="AQ61" s="60"/>
      <c r="AR61" s="60"/>
      <c r="AS61" s="60"/>
      <c r="AT61" s="60"/>
      <c r="AU61" s="60"/>
      <c r="AV61" s="60"/>
      <c r="AW61" s="60"/>
      <c r="AX61" s="60"/>
      <c r="AY61" s="60"/>
      <c r="AZ61" s="60"/>
      <c r="BA61" s="60"/>
    </row>
    <row r="62" spans="1:53" s="1" customFormat="1" ht="17" x14ac:dyDescent="0.45">
      <c r="A62" s="1180" t="s">
        <v>494</v>
      </c>
      <c r="B62" s="370">
        <f>'Summary by Gas'!B182/1000000</f>
        <v>83.895847239273991</v>
      </c>
      <c r="C62" s="479">
        <f>'Summary by Gas'!C182/1000000</f>
        <v>82.439280973406937</v>
      </c>
      <c r="D62" s="479">
        <f>'Summary by Gas'!D182/1000000</f>
        <v>84.075436428388443</v>
      </c>
      <c r="E62" s="479">
        <f>'Summary by Gas'!E182/1000000</f>
        <v>81.359861789517367</v>
      </c>
      <c r="F62" s="479">
        <f>'Summary by Gas'!F182/1000000</f>
        <v>81.794739723416455</v>
      </c>
      <c r="G62" s="479">
        <f>'Summary by Gas'!G182/1000000</f>
        <v>79.382444176503583</v>
      </c>
      <c r="H62" s="479">
        <f>'Summary by Gas'!H182/1000000</f>
        <v>79.693729182225709</v>
      </c>
      <c r="I62" s="479">
        <f>'Summary by Gas'!I182/1000000</f>
        <v>85.657983627594589</v>
      </c>
      <c r="J62" s="479">
        <f>'Summary by Gas'!J182/1000000</f>
        <v>83.89332227117734</v>
      </c>
      <c r="K62" s="479">
        <f>'Summary by Gas'!K182/1000000</f>
        <v>81.498922285744428</v>
      </c>
      <c r="L62" s="479">
        <f>'Summary by Gas'!L182/1000000</f>
        <v>83.093517920381245</v>
      </c>
      <c r="M62" s="479">
        <f>'Summary by Gas'!M182/1000000</f>
        <v>82.968576597891371</v>
      </c>
      <c r="N62" s="479">
        <f>'Summary by Gas'!N182/1000000</f>
        <v>84.067250909326603</v>
      </c>
      <c r="O62" s="479">
        <f>'Summary by Gas'!O182/1000000</f>
        <v>86.309559866608794</v>
      </c>
      <c r="P62" s="479">
        <f>'Summary by Gas'!P182/1000000</f>
        <v>84.181657050058135</v>
      </c>
      <c r="Q62" s="479">
        <f>'Summary by Gas'!Q182/1000000</f>
        <v>85.37767760850889</v>
      </c>
      <c r="R62" s="479">
        <f>'Summary by Gas'!R182/1000000</f>
        <v>77.733614529752913</v>
      </c>
      <c r="S62" s="479">
        <f>'Summary by Gas'!S182/1000000</f>
        <v>81.006231359953773</v>
      </c>
      <c r="T62" s="479">
        <f>'Summary by Gas'!T182/1000000</f>
        <v>77.616496449332303</v>
      </c>
      <c r="U62" s="479">
        <f>'Summary by Gas'!U182/1000000</f>
        <v>71.984982000487221</v>
      </c>
      <c r="V62" s="479">
        <f>'Summary by Gas'!V182/1000000</f>
        <v>74.257060192012901</v>
      </c>
      <c r="W62" s="479">
        <f>'Summary by Gas'!W182/1000000</f>
        <v>68.650278988048655</v>
      </c>
      <c r="X62" s="479">
        <f>'Summary by Gas'!X182/1000000</f>
        <v>62.39311414856013</v>
      </c>
      <c r="Y62" s="479">
        <f>'Summary by Gas'!Y182/1000000</f>
        <v>66.483443440875277</v>
      </c>
      <c r="Z62" s="479">
        <f>'Summary by Gas'!Z182/1000000</f>
        <v>64.458438184126649</v>
      </c>
      <c r="AA62" s="479">
        <f>'Summary by Gas'!AA182/1000000</f>
        <v>65.887932043358646</v>
      </c>
      <c r="AB62" s="479">
        <f>'Summary by Gas'!AB182/1000000</f>
        <v>62.627936745975894</v>
      </c>
      <c r="AC62" s="479">
        <f>'Summary by Gas'!AC182/1000000</f>
        <v>62.977863680660462</v>
      </c>
      <c r="AD62" s="479">
        <f>'Summary by Gas'!AD182/1000000</f>
        <v>62.549790172242673</v>
      </c>
      <c r="AE62" s="479">
        <f>'Summary by Gas'!AE182/1000000</f>
        <v>61.303518117806661</v>
      </c>
      <c r="AF62" s="479">
        <f>'Summary by Gas'!AF182/1000000</f>
        <v>52.285677543838929</v>
      </c>
      <c r="AG62" s="479">
        <f>'Summary by Gas'!AG182/1000000</f>
        <v>56.154485899439308</v>
      </c>
      <c r="AH62" s="479">
        <f>'Summary by Gas'!AH182/1000000</f>
        <v>58.562695664346876</v>
      </c>
      <c r="AI62" s="479">
        <f>'Summary by Gas'!AI182/1000000</f>
        <v>55.643864378345249</v>
      </c>
      <c r="AJ62" s="28"/>
      <c r="AK62" s="491"/>
      <c r="AL62" s="492"/>
      <c r="AM62" s="28"/>
      <c r="AN62" s="363"/>
      <c r="AO62" s="28"/>
      <c r="AP62" s="28"/>
      <c r="AQ62" s="28"/>
      <c r="AR62" s="28"/>
      <c r="AS62" s="28"/>
      <c r="AT62" s="28"/>
      <c r="AU62" s="28"/>
      <c r="AV62" s="28"/>
      <c r="AW62" s="28"/>
      <c r="AX62" s="28"/>
      <c r="AY62" s="28"/>
      <c r="AZ62" s="28"/>
      <c r="BA62" s="28"/>
    </row>
    <row r="63" spans="1:53" s="1" customFormat="1" ht="17" x14ac:dyDescent="0.45">
      <c r="A63" s="170" t="s">
        <v>495</v>
      </c>
      <c r="B63" s="373">
        <f>('Summary by Gas'!B183*$B$8)/1000000</f>
        <v>5.1761534036933918</v>
      </c>
      <c r="C63" s="166">
        <f>('Summary by Gas'!C183*$B$8)/1000000</f>
        <v>5.2588578922422258</v>
      </c>
      <c r="D63" s="166">
        <f>('Summary by Gas'!D183*$B$8)/1000000</f>
        <v>5.1534549835317298</v>
      </c>
      <c r="E63" s="166">
        <f>('Summary by Gas'!E183*$B$8)/1000000</f>
        <v>4.9532535948485208</v>
      </c>
      <c r="F63" s="166">
        <f>('Summary by Gas'!F183*$B$8)/1000000</f>
        <v>4.8651668020091527</v>
      </c>
      <c r="G63" s="166">
        <f>('Summary by Gas'!G183*$B$8)/1000000</f>
        <v>4.8301700610314438</v>
      </c>
      <c r="H63" s="166">
        <f>('Summary by Gas'!H183*$B$8)/1000000</f>
        <v>4.3776975735694821</v>
      </c>
      <c r="I63" s="166">
        <f>('Summary by Gas'!I183*$B$8)/1000000</f>
        <v>3.8160529505157501</v>
      </c>
      <c r="J63" s="166">
        <f>('Summary by Gas'!J183*$B$8)/1000000</f>
        <v>3.6466250893452283</v>
      </c>
      <c r="K63" s="166">
        <f>('Summary by Gas'!K183*$B$8)/1000000</f>
        <v>3.579215211556924</v>
      </c>
      <c r="L63" s="166">
        <f>('Summary by Gas'!L183*$B$8)/1000000</f>
        <v>2.9297856896200645</v>
      </c>
      <c r="M63" s="166">
        <f>('Summary by Gas'!M183*$B$8)/1000000</f>
        <v>2.4685266409127014</v>
      </c>
      <c r="N63" s="166">
        <f>('Summary by Gas'!N183*$B$8)/1000000</f>
        <v>2.8111789670930203</v>
      </c>
      <c r="O63" s="166">
        <f>('Summary by Gas'!O183*$B$8)/1000000</f>
        <v>3.2440338711628542</v>
      </c>
      <c r="P63" s="166">
        <f>('Summary by Gas'!P183*$B$8)/1000000</f>
        <v>3.0235018803241052</v>
      </c>
      <c r="Q63" s="166">
        <f>('Summary by Gas'!Q183*$B$8)/1000000</f>
        <v>2.8651937713096518</v>
      </c>
      <c r="R63" s="166">
        <f>('Summary by Gas'!R183*$B$8)/1000000</f>
        <v>2.6217170022063203</v>
      </c>
      <c r="S63" s="166">
        <f>('Summary by Gas'!S183*$B$8)/1000000</f>
        <v>2.4947959286577639</v>
      </c>
      <c r="T63" s="166">
        <f>('Summary by Gas'!T183*$B$8)/1000000</f>
        <v>2.4929152686757243</v>
      </c>
      <c r="U63" s="166">
        <f>('Summary by Gas'!U183*$B$8)/1000000</f>
        <v>2.5304234827446681</v>
      </c>
      <c r="V63" s="166">
        <f>('Summary by Gas'!V183*$B$8)/1000000</f>
        <v>2.0722903809955855</v>
      </c>
      <c r="W63" s="166">
        <f>('Summary by Gas'!W183*$B$8)/1000000</f>
        <v>1.9028965959186102</v>
      </c>
      <c r="X63" s="166">
        <f>('Summary by Gas'!X183*$B$8)/1000000</f>
        <v>1.9212919848134289</v>
      </c>
      <c r="Y63" s="166">
        <f>('Summary by Gas'!Y183*$B$8)/1000000</f>
        <v>1.833743330050011</v>
      </c>
      <c r="Z63" s="166">
        <f>('Summary by Gas'!Z183*$B$8)/1000000</f>
        <v>1.7524939307057326</v>
      </c>
      <c r="AA63" s="166">
        <f>('Summary by Gas'!AA183*$B$8)/1000000</f>
        <v>1.780925309598157</v>
      </c>
      <c r="AB63" s="166">
        <f>('Summary by Gas'!AB183*$B$8)/1000000</f>
        <v>1.7005934655274793</v>
      </c>
      <c r="AC63" s="166">
        <f>('Summary by Gas'!AC183*$B$8)/1000000</f>
        <v>1.6455850091325299</v>
      </c>
      <c r="AD63" s="166">
        <f>('Summary by Gas'!AD183*$B$8)/1000000</f>
        <v>1.6270963244136893</v>
      </c>
      <c r="AE63" s="166">
        <f>('Summary by Gas'!AE183*$B$8)/1000000</f>
        <v>1.6351694601127658</v>
      </c>
      <c r="AF63" s="166">
        <f>('Summary by Gas'!AF183*$B$8)/1000000</f>
        <v>1.616329024558208</v>
      </c>
      <c r="AG63" s="166">
        <f>('Summary by Gas'!AG183*$B$8)/1000000</f>
        <v>1.5035796658630463</v>
      </c>
      <c r="AH63" s="166">
        <f>('Summary by Gas'!AH183*$B$8)/1000000</f>
        <v>1.5356745303637294</v>
      </c>
      <c r="AI63" s="166">
        <f>('Summary by Gas'!AI183*$B$8)/1000000</f>
        <v>1.4687829192079942</v>
      </c>
      <c r="AJ63" s="28"/>
      <c r="AK63" s="491"/>
      <c r="AL63" s="492"/>
      <c r="AM63" s="28"/>
      <c r="AN63" s="363"/>
      <c r="AO63" s="28"/>
      <c r="AP63" s="28"/>
      <c r="AQ63" s="28"/>
      <c r="AR63" s="28"/>
      <c r="AS63" s="28"/>
      <c r="AT63" s="28"/>
      <c r="AU63" s="28"/>
      <c r="AV63" s="28"/>
      <c r="AW63" s="28"/>
      <c r="AX63" s="28"/>
      <c r="AY63" s="28"/>
      <c r="AZ63" s="28"/>
      <c r="BA63" s="28"/>
    </row>
    <row r="64" spans="1:53" s="1" customFormat="1" ht="17" x14ac:dyDescent="0.45">
      <c r="A64" s="170" t="s">
        <v>496</v>
      </c>
      <c r="B64" s="373">
        <f>('Summary by Gas'!B184*$C$8)/1000000</f>
        <v>1.5657831640407653</v>
      </c>
      <c r="C64" s="166">
        <f>('Summary by Gas'!C184*$C$8)/1000000</f>
        <v>1.6027346978523331</v>
      </c>
      <c r="D64" s="166">
        <f>('Summary by Gas'!D184*$C$8)/1000000</f>
        <v>1.640814171994045</v>
      </c>
      <c r="E64" s="166">
        <f>('Summary by Gas'!E184*$C$8)/1000000</f>
        <v>1.6112568347648981</v>
      </c>
      <c r="F64" s="166">
        <f>('Summary by Gas'!F184*$C$8)/1000000</f>
        <v>1.6771113741448378</v>
      </c>
      <c r="G64" s="166">
        <f>('Summary by Gas'!G184*$C$8)/1000000</f>
        <v>1.6924285668205585</v>
      </c>
      <c r="H64" s="166">
        <f>('Summary by Gas'!H184*$C$8)/1000000</f>
        <v>1.7303933918243477</v>
      </c>
      <c r="I64" s="166">
        <f>('Summary by Gas'!I184*$C$8)/1000000</f>
        <v>1.738043314551704</v>
      </c>
      <c r="J64" s="166">
        <f>('Summary by Gas'!J184*$C$8)/1000000</f>
        <v>1.7372543976840522</v>
      </c>
      <c r="K64" s="166">
        <f>('Summary by Gas'!K184*$C$8)/1000000</f>
        <v>1.6754021128680283</v>
      </c>
      <c r="L64" s="166">
        <f>('Summary by Gas'!L184*$C$8)/1000000</f>
        <v>1.6412344121762148</v>
      </c>
      <c r="M64" s="166">
        <f>('Summary by Gas'!M184*$C$8)/1000000</f>
        <v>1.5834465866710301</v>
      </c>
      <c r="N64" s="166">
        <f>('Summary by Gas'!N184*$C$8)/1000000</f>
        <v>1.5274409428169635</v>
      </c>
      <c r="O64" s="166">
        <f>('Summary by Gas'!O184*$C$8)/1000000</f>
        <v>1.470367504162847</v>
      </c>
      <c r="P64" s="166">
        <f>('Summary by Gas'!P184*$C$8)/1000000</f>
        <v>1.4094041810437969</v>
      </c>
      <c r="Q64" s="166">
        <f>('Summary by Gas'!Q184*$C$8)/1000000</f>
        <v>1.3730452623301386</v>
      </c>
      <c r="R64" s="166">
        <f>('Summary by Gas'!R184*$C$8)/1000000</f>
        <v>1.3339055661421813</v>
      </c>
      <c r="S64" s="166">
        <f>('Summary by Gas'!S184*$C$8)/1000000</f>
        <v>1.2274202222486517</v>
      </c>
      <c r="T64" s="166">
        <f>('Summary by Gas'!T184*$C$8)/1000000</f>
        <v>1.1850958851657787</v>
      </c>
      <c r="U64" s="166">
        <f>('Summary by Gas'!U184*$C$8)/1000000</f>
        <v>1.1079602299520588</v>
      </c>
      <c r="V64" s="166">
        <f>('Summary by Gas'!V184*$C$8)/1000000</f>
        <v>1.050077327850883</v>
      </c>
      <c r="W64" s="166">
        <f>('Summary by Gas'!W184*$C$8)/1000000</f>
        <v>1.0323466863830424</v>
      </c>
      <c r="X64" s="166">
        <f>('Summary by Gas'!X184*$C$8)/1000000</f>
        <v>0.95488989887944598</v>
      </c>
      <c r="Y64" s="166">
        <f>('Summary by Gas'!Y184*$C$8)/1000000</f>
        <v>0.94673619165162648</v>
      </c>
      <c r="Z64" s="166">
        <f>('Summary by Gas'!Z184*$C$8)/1000000</f>
        <v>0.91081683750913089</v>
      </c>
      <c r="AA64" s="166">
        <f>('Summary by Gas'!AA184*$C$8)/1000000</f>
        <v>0.84360663356800292</v>
      </c>
      <c r="AB64" s="166">
        <f>('Summary by Gas'!AB184*$C$8)/1000000</f>
        <v>0.80182939100955486</v>
      </c>
      <c r="AC64" s="166">
        <f>('Summary by Gas'!AC184*$C$8)/1000000</f>
        <v>0.78435299149927962</v>
      </c>
      <c r="AD64" s="166">
        <f>('Summary by Gas'!AD184*$C$8)/1000000</f>
        <v>0.73810720781031069</v>
      </c>
      <c r="AE64" s="166">
        <f>('Summary by Gas'!AE184*$C$8)/1000000</f>
        <v>0.76983335180993517</v>
      </c>
      <c r="AF64" s="166">
        <f>('Summary by Gas'!AF184*$C$8)/1000000</f>
        <v>0.70633413157157365</v>
      </c>
      <c r="AG64" s="166">
        <f>('Summary by Gas'!AG184*$C$8)/1000000</f>
        <v>0.71120841859766937</v>
      </c>
      <c r="AH64" s="166">
        <f>('Summary by Gas'!AH184*$C$8)/1000000</f>
        <v>0.72741605679153498</v>
      </c>
      <c r="AI64" s="166">
        <f>('Summary by Gas'!AI184*$C$8)/1000000</f>
        <v>0.71391148986715747</v>
      </c>
      <c r="AJ64" s="28"/>
      <c r="AK64" s="491"/>
      <c r="AL64" s="492"/>
      <c r="AM64" s="28"/>
      <c r="AN64" s="363"/>
      <c r="AO64" s="28"/>
      <c r="AP64" s="28"/>
      <c r="AQ64" s="28"/>
      <c r="AR64" s="28"/>
      <c r="AS64" s="28"/>
      <c r="AT64" s="28"/>
      <c r="AU64" s="28"/>
      <c r="AV64" s="28"/>
      <c r="AW64" s="28"/>
      <c r="AX64" s="28"/>
      <c r="AY64" s="28"/>
      <c r="AZ64" s="28"/>
      <c r="BA64" s="28"/>
    </row>
    <row r="65" spans="1:53" s="1" customFormat="1" ht="17" x14ac:dyDescent="0.45">
      <c r="A65" s="170" t="s">
        <v>959</v>
      </c>
      <c r="B65" s="373">
        <f>(('Industrial Process'!B56/'Summary by Gas'!$B$191)*$D$8)/1000000</f>
        <v>0.38789975619760453</v>
      </c>
      <c r="C65" s="166">
        <f>(('Industrial Process'!C56/'Summary by Gas'!$B$191)*$D$8)/1000000</f>
        <v>0.15040000000000001</v>
      </c>
      <c r="D65" s="166">
        <f>(('Industrial Process'!D56/'Summary by Gas'!$B$191)*$D$8)/1000000</f>
        <v>0.14899000000000001</v>
      </c>
      <c r="E65" s="166">
        <f>(('Industrial Process'!E56/'Summary by Gas'!$B$191)*$D$8)/1000000</f>
        <v>0.14429</v>
      </c>
      <c r="F65" s="166">
        <f>(('Industrial Process'!F56/'Summary by Gas'!$B$191)*$D$8)/1000000</f>
        <v>0.13583000000000001</v>
      </c>
      <c r="G65" s="166">
        <f>(('Industrial Process'!G56/'Summary by Gas'!$B$191)*$D$8)/1000000</f>
        <v>0.12454999999999999</v>
      </c>
      <c r="H65" s="166">
        <f>(('Industrial Process'!H56/'Summary by Gas'!$B$191)*$D$8)/1000000</f>
        <v>0.11421000000000001</v>
      </c>
      <c r="I65" s="166">
        <f>(('Industrial Process'!I56/'Summary by Gas'!$B$191)*$D$8)/1000000</f>
        <v>0.105045</v>
      </c>
      <c r="J65" s="166">
        <f>(('Industrial Process'!J56/'Summary by Gas'!$B$191)*$D$8)/1000000</f>
        <v>8.8830000000000006E-2</v>
      </c>
      <c r="K65" s="166">
        <f>(('Industrial Process'!K56/'Summary by Gas'!$B$191)*$D$8)/1000000</f>
        <v>8.9300000000000004E-2</v>
      </c>
      <c r="L65" s="166">
        <f>(('Industrial Process'!L56/'Summary by Gas'!$B$191)*$D$8)/1000000</f>
        <v>8.5775000000000004E-2</v>
      </c>
      <c r="M65" s="166">
        <f>(('Industrial Process'!M56/'Summary by Gas'!$B$191)*$D$8)/1000000</f>
        <v>8.4599999999999995E-2</v>
      </c>
      <c r="N65" s="166">
        <f>(('Industrial Process'!N56/'Summary by Gas'!$B$191)*$D$8)/1000000</f>
        <v>7.8490000000000004E-2</v>
      </c>
      <c r="O65" s="166">
        <f>(('Industrial Process'!O56/'Summary by Gas'!$B$191)*$D$8)/1000000</f>
        <v>7.6609999999999998E-2</v>
      </c>
      <c r="P65" s="166">
        <f>(('Industrial Process'!P56/'Summary by Gas'!$B$191)*$D$8)/1000000</f>
        <v>7.4730000000000005E-2</v>
      </c>
      <c r="Q65" s="166">
        <f>(('Industrial Process'!Q56/'Summary by Gas'!$B$191)*$D$8)/1000000</f>
        <v>7.1910000000000002E-2</v>
      </c>
      <c r="R65" s="166">
        <f>(('Industrial Process'!R56/'Summary by Gas'!$B$191)*$D$8)/1000000</f>
        <v>6.6269999999999996E-2</v>
      </c>
      <c r="S65" s="166">
        <f>(('Industrial Process'!S56/'Summary by Gas'!$B$191)*$D$8)/1000000</f>
        <v>6.2509999999999996E-2</v>
      </c>
      <c r="T65" s="166">
        <f>(('Industrial Process'!T56/'Summary by Gas'!$B$191)*$D$8)/1000000</f>
        <v>5.9924999999999999E-2</v>
      </c>
      <c r="U65" s="166">
        <f>(('Industrial Process'!U56/'Summary by Gas'!$B$191)*$D$8)/1000000</f>
        <v>5.5225000000000003E-2</v>
      </c>
      <c r="V65" s="166">
        <f>(('Industrial Process'!V56/'Summary by Gas'!$B$191)*$D$8)/1000000</f>
        <v>4.6530000000000009E-2</v>
      </c>
      <c r="W65" s="166">
        <f>(('Industrial Process'!W56/'Summary by Gas'!$B$191)*$D$8)/1000000</f>
        <v>4.4179999999999997E-2</v>
      </c>
      <c r="X65" s="166">
        <f>(('Industrial Process'!X56/'Summary by Gas'!$B$191)*$D$8)/1000000</f>
        <v>3.8539999999999998E-2</v>
      </c>
      <c r="Y65" s="166">
        <f>(('Industrial Process'!Y56/'Summary by Gas'!$B$191)*$D$8)/1000000</f>
        <v>3.5720000000000002E-2</v>
      </c>
      <c r="Z65" s="166">
        <f>(('Industrial Process'!Z56/'Summary by Gas'!$B$191)*$D$8)/1000000</f>
        <v>3.619E-2</v>
      </c>
      <c r="AA65" s="166">
        <f>(('Industrial Process'!AA56/'Summary by Gas'!$B$191)*$D$8)/1000000</f>
        <v>3.243E-2</v>
      </c>
      <c r="AB65" s="166">
        <f>(('Industrial Process'!AB56/'Summary by Gas'!$B$191)*$D$8)/1000000</f>
        <v>3.172500000000001E-2</v>
      </c>
      <c r="AC65" s="166">
        <f>(('Industrial Process'!AC56/'Summary by Gas'!$B$191)*$D$8)/1000000</f>
        <v>3.172500000000001E-2</v>
      </c>
      <c r="AD65" s="166">
        <f>(('Industrial Process'!AD56/'Summary by Gas'!$B$191)*$D$8)/1000000</f>
        <v>3.243E-2</v>
      </c>
      <c r="AE65" s="166">
        <f>(('Industrial Process'!AE56/'Summary by Gas'!$B$191)*$D$8)/1000000</f>
        <v>3.4544999999999999E-2</v>
      </c>
      <c r="AF65" s="166">
        <f>(('Industrial Process'!AF56/'Summary by Gas'!$B$191)*$D$8)/1000000</f>
        <v>3.3605000000000003E-2</v>
      </c>
      <c r="AG65" s="166">
        <f>(('Industrial Process'!AG56/'Summary by Gas'!$B$191)*$D$8)/1000000</f>
        <v>3.5485000000000003E-2</v>
      </c>
      <c r="AH65" s="166">
        <f>(('Industrial Process'!AH56/'Summary by Gas'!$B$191)*$D$8)/1000000</f>
        <v>3.4075000000000001E-2</v>
      </c>
      <c r="AI65" s="166">
        <f>(('Industrial Process'!AI56/'Summary by Gas'!$B$191)*$D$8)/1000000</f>
        <v>3.3840000000000002E-2</v>
      </c>
      <c r="AJ65" s="28"/>
      <c r="AK65" s="491"/>
      <c r="AL65" s="492"/>
      <c r="AM65" s="28"/>
      <c r="AN65" s="363"/>
      <c r="AO65" s="28"/>
      <c r="AP65" s="28"/>
      <c r="AQ65" s="28"/>
      <c r="AR65" s="28"/>
      <c r="AS65" s="28"/>
      <c r="AT65" s="28"/>
      <c r="AU65" s="28"/>
      <c r="AV65" s="28"/>
      <c r="AW65" s="28"/>
      <c r="AX65" s="28"/>
      <c r="AY65" s="28"/>
      <c r="AZ65" s="28"/>
      <c r="BA65" s="28"/>
    </row>
    <row r="66" spans="1:53" s="1" customFormat="1" ht="17" x14ac:dyDescent="0.45">
      <c r="A66" s="170" t="s">
        <v>973</v>
      </c>
      <c r="B66" s="373">
        <f>'Summary by Gas'!B164+'Summary by Gas'!B166</f>
        <v>9.3483529961625123E-2</v>
      </c>
      <c r="C66" s="166">
        <f>C65+SUM('Summary by Gas'!C162:C166)</f>
        <v>0.24081167932090697</v>
      </c>
      <c r="D66" s="166">
        <f>D65+SUM('Summary by Gas'!D162:D166)</f>
        <v>0.25761854776739168</v>
      </c>
      <c r="E66" s="166">
        <f>E65+SUM('Summary by Gas'!E162:E166)</f>
        <v>0.33509362899405531</v>
      </c>
      <c r="F66" s="166">
        <f>F65+SUM('Summary by Gas'!F162:F166)</f>
        <v>0.46867397127764959</v>
      </c>
      <c r="G66" s="166">
        <f>G65+SUM('Summary by Gas'!G162:G166)</f>
        <v>0.7564021009177786</v>
      </c>
      <c r="H66" s="166">
        <f>H65+SUM('Summary by Gas'!H162:H166)</f>
        <v>0.96938206474521538</v>
      </c>
      <c r="I66" s="166">
        <f>I65+SUM('Summary by Gas'!I162:I166)</f>
        <v>1.1643900472507429</v>
      </c>
      <c r="J66" s="166">
        <f>J65+SUM('Summary by Gas'!J162:J166)</f>
        <v>1.3214584254442836</v>
      </c>
      <c r="K66" s="166">
        <f>K65+SUM('Summary by Gas'!K162:K166)</f>
        <v>1.4682569336579341</v>
      </c>
      <c r="L66" s="166">
        <f>L65+SUM('Summary by Gas'!L162:L166)</f>
        <v>1.5572411752264856</v>
      </c>
      <c r="M66" s="166">
        <f>M65+SUM('Summary by Gas'!M162:M166)</f>
        <v>1.6296344206355287</v>
      </c>
      <c r="N66" s="166">
        <f>N65+SUM('Summary by Gas'!N162:N166)</f>
        <v>1.7117072892816281</v>
      </c>
      <c r="O66" s="166">
        <f>O65+SUM('Summary by Gas'!O162:O166)</f>
        <v>1.7819233073035901</v>
      </c>
      <c r="P66" s="166">
        <f>P65+SUM('Summary by Gas'!P162:P166)</f>
        <v>1.8338913121298344</v>
      </c>
      <c r="Q66" s="166">
        <f>Q65+SUM('Summary by Gas'!Q162:Q166)</f>
        <v>1.9388747149130063</v>
      </c>
      <c r="R66" s="166">
        <f>R65+SUM('Summary by Gas'!R162:R166)</f>
        <v>2.0497218899822927</v>
      </c>
      <c r="S66" s="166">
        <f>S65+SUM('Summary by Gas'!S162:S166)</f>
        <v>2.1643771169528527</v>
      </c>
      <c r="T66" s="166">
        <f>T65+SUM('Summary by Gas'!T162:T166)</f>
        <v>2.3505064150846589</v>
      </c>
      <c r="U66" s="166">
        <f>U65+SUM('Summary by Gas'!U162:U166)</f>
        <v>2.8498186701855484</v>
      </c>
      <c r="V66" s="166">
        <f>V65+SUM('Summary by Gas'!V162:V166)</f>
        <v>2.4354667653989654</v>
      </c>
      <c r="W66" s="166">
        <f>W65+SUM('Summary by Gas'!W162:W166)</f>
        <v>2.4614264417496914</v>
      </c>
      <c r="X66" s="166">
        <f>X65+SUM('Summary by Gas'!X162:X166)</f>
        <v>2.7783244164096677</v>
      </c>
      <c r="Y66" s="166">
        <f>Y65+SUM('Summary by Gas'!Y162:Y166)</f>
        <v>3.4375670597915522</v>
      </c>
      <c r="Z66" s="166">
        <f>Z65+SUM('Summary by Gas'!Z162:Z166)</f>
        <v>3.8533647275333776</v>
      </c>
      <c r="AA66" s="166">
        <f>AA65+SUM('Summary by Gas'!AA162:AA166)</f>
        <v>3.3599607194648078</v>
      </c>
      <c r="AB66" s="166">
        <f>AB65+SUM('Summary by Gas'!AB162:AB166)</f>
        <v>3.4292406932546942</v>
      </c>
      <c r="AC66" s="166">
        <f>AC65+SUM('Summary by Gas'!AC162:AC166)</f>
        <v>2.9226904040272279</v>
      </c>
      <c r="AD66" s="166">
        <f>AD65+SUM('Summary by Gas'!AD162:AD166)</f>
        <v>3.4116359632133095</v>
      </c>
      <c r="AE66" s="166">
        <f>AE65+SUM('Summary by Gas'!AE162:AE166)</f>
        <v>3.2813511702185632</v>
      </c>
      <c r="AF66" s="166">
        <f>AF65+SUM('Summary by Gas'!AF162:AF166)</f>
        <v>3.6593351527694415</v>
      </c>
      <c r="AG66" s="166">
        <f>AG65+SUM('Summary by Gas'!AG162:AG166)</f>
        <v>3.6159355158767887</v>
      </c>
      <c r="AH66" s="166">
        <f>AH65+SUM('Summary by Gas'!AH162:AH166)</f>
        <v>3.0642051009885547</v>
      </c>
      <c r="AI66" s="166">
        <f>AI65+SUM('Summary by Gas'!AI162:AI166)</f>
        <v>3.2664308140058642</v>
      </c>
      <c r="AJ66" s="28"/>
      <c r="AK66" s="491"/>
      <c r="AL66" s="492"/>
      <c r="AM66" s="28"/>
      <c r="AN66" s="363"/>
      <c r="AO66" s="28"/>
      <c r="AP66" s="28"/>
      <c r="AQ66" s="28"/>
      <c r="AR66" s="28"/>
      <c r="AS66" s="28"/>
      <c r="AT66" s="28"/>
      <c r="AU66" s="28"/>
      <c r="AV66" s="28"/>
      <c r="AW66" s="28"/>
      <c r="AX66" s="28"/>
      <c r="AY66" s="28"/>
      <c r="AZ66" s="28"/>
      <c r="BA66" s="28"/>
    </row>
    <row r="67" spans="1:53" s="1" customFormat="1" ht="17" x14ac:dyDescent="0.45">
      <c r="A67" s="196" t="s">
        <v>974</v>
      </c>
      <c r="B67" s="1179">
        <f>'Summary by Gas'!B176</f>
        <v>1.8858940212182027</v>
      </c>
      <c r="C67" s="233">
        <f>'Summary by Gas'!C176</f>
        <v>1.1724041159564047</v>
      </c>
      <c r="D67" s="233">
        <f>'Summary by Gas'!D176</f>
        <v>1.4752219821672543</v>
      </c>
      <c r="E67" s="233">
        <f>'Summary by Gas'!E176</f>
        <v>2.1606319969895238</v>
      </c>
      <c r="F67" s="233">
        <f>'Summary by Gas'!F176</f>
        <v>1.8606896976971012</v>
      </c>
      <c r="G67" s="233">
        <f>'Summary by Gas'!G176</f>
        <v>1.9424413128723124</v>
      </c>
      <c r="H67" s="233">
        <f>'Summary by Gas'!H176</f>
        <v>2.1100141227923412</v>
      </c>
      <c r="I67" s="233">
        <f>'Summary by Gas'!I176</f>
        <v>0.92218599359594056</v>
      </c>
      <c r="J67" s="233">
        <f>'Summary by Gas'!J176</f>
        <v>0.9110947061645297</v>
      </c>
      <c r="K67" s="233">
        <f>'Summary by Gas'!K176</f>
        <v>2.2206927454267458</v>
      </c>
      <c r="L67" s="233">
        <f>'Summary by Gas'!L176</f>
        <v>3.1177751602306079</v>
      </c>
      <c r="M67" s="233">
        <f>'Summary by Gas'!M176</f>
        <v>2.7304610756268213</v>
      </c>
      <c r="N67" s="233">
        <f>'Summary by Gas'!N176</f>
        <v>3.3680431512014977</v>
      </c>
      <c r="O67" s="233">
        <f>'Summary by Gas'!O176</f>
        <v>2.7376472247771821</v>
      </c>
      <c r="P67" s="233">
        <f>'Summary by Gas'!P176</f>
        <v>2.8617100488563549</v>
      </c>
      <c r="Q67" s="233">
        <f>'Summary by Gas'!Q176</f>
        <v>3.4144696386176672</v>
      </c>
      <c r="R67" s="233">
        <f>'Summary by Gas'!R176</f>
        <v>2.5534994899415717</v>
      </c>
      <c r="S67" s="233">
        <f>'Summary by Gas'!S176</f>
        <v>2.2266959156511517</v>
      </c>
      <c r="T67" s="233">
        <f>'Summary by Gas'!T176</f>
        <v>2.7135384030986245</v>
      </c>
      <c r="U67" s="233">
        <f>'Summary by Gas'!U176</f>
        <v>2.7435998839761511</v>
      </c>
      <c r="V67" s="233">
        <f>'Summary by Gas'!V176</f>
        <v>2.4424966762479952</v>
      </c>
      <c r="W67" s="233">
        <f>'Summary by Gas'!W176</f>
        <v>2.762607960078582</v>
      </c>
      <c r="X67" s="233">
        <f>'Summary by Gas'!X176</f>
        <v>2.5791425425944108</v>
      </c>
      <c r="Y67" s="233">
        <f>'Summary by Gas'!Y176</f>
        <v>2.5775033696333551</v>
      </c>
      <c r="Z67" s="233">
        <f>'Summary by Gas'!Z176</f>
        <v>2.8572204393981666</v>
      </c>
      <c r="AA67" s="233">
        <f>'Summary by Gas'!AA176</f>
        <v>3.1280148954123335</v>
      </c>
      <c r="AB67" s="233">
        <f>'Summary by Gas'!AB176</f>
        <v>2.7685856857608093</v>
      </c>
      <c r="AC67" s="233">
        <f>'Summary by Gas'!AC176</f>
        <v>2.1456933025826213</v>
      </c>
      <c r="AD67" s="233">
        <f>'Summary by Gas'!AD176</f>
        <v>3.3046574846037937</v>
      </c>
      <c r="AE67" s="233">
        <f>'Summary by Gas'!AE176</f>
        <v>3.3996567306085903</v>
      </c>
      <c r="AF67" s="233">
        <f>'Summary by Gas'!AF176</f>
        <v>5.8843166806447158</v>
      </c>
      <c r="AG67" s="233">
        <f>'Summary by Gas'!AG176</f>
        <v>5.111868658436177</v>
      </c>
      <c r="AH67" s="233">
        <f>'Summary by Gas'!AH176</f>
        <v>4.1323357808358683</v>
      </c>
      <c r="AI67" s="233">
        <f>'Summary by Gas'!AI176</f>
        <v>4.0468233593785614</v>
      </c>
      <c r="AJ67" s="28"/>
      <c r="AK67" s="491"/>
      <c r="AL67" s="492"/>
      <c r="AM67" s="28"/>
      <c r="AN67" s="363"/>
      <c r="AO67" s="28"/>
      <c r="AP67" s="28"/>
      <c r="AQ67" s="28"/>
      <c r="AR67" s="28"/>
      <c r="AS67" s="28"/>
      <c r="AT67" s="28"/>
      <c r="AU67" s="28"/>
      <c r="AV67" s="28"/>
      <c r="AW67" s="28"/>
      <c r="AX67" s="28"/>
      <c r="AY67" s="28"/>
      <c r="AZ67" s="28"/>
      <c r="BA67" s="28"/>
    </row>
    <row r="68" spans="1:53" s="1" customFormat="1" ht="16" x14ac:dyDescent="0.4">
      <c r="A68" s="1181" t="s">
        <v>20</v>
      </c>
      <c r="B68" s="482">
        <f>B62+B63+B64+B65+B66+B67</f>
        <v>93.005061114385583</v>
      </c>
      <c r="C68" s="482">
        <f t="shared" ref="C68:AI68" si="1">C62+C63+C64+C66+C67</f>
        <v>90.714089358778807</v>
      </c>
      <c r="D68" s="482">
        <f t="shared" si="1"/>
        <v>92.602546113848874</v>
      </c>
      <c r="E68" s="482">
        <f t="shared" si="1"/>
        <v>90.42009784511437</v>
      </c>
      <c r="F68" s="482">
        <f t="shared" si="1"/>
        <v>90.666381568545205</v>
      </c>
      <c r="G68" s="482">
        <f t="shared" si="1"/>
        <v>88.603886218145675</v>
      </c>
      <c r="H68" s="482">
        <f t="shared" si="1"/>
        <v>88.881216335157092</v>
      </c>
      <c r="I68" s="482">
        <f t="shared" si="1"/>
        <v>93.298655933508741</v>
      </c>
      <c r="J68" s="482">
        <f t="shared" si="1"/>
        <v>91.50975488981544</v>
      </c>
      <c r="K68" s="482">
        <f t="shared" si="1"/>
        <v>90.44248928925407</v>
      </c>
      <c r="L68" s="482">
        <f t="shared" si="1"/>
        <v>92.339554357634611</v>
      </c>
      <c r="M68" s="482">
        <f t="shared" si="1"/>
        <v>91.380645321737447</v>
      </c>
      <c r="N68" s="482">
        <f t="shared" si="1"/>
        <v>93.485621259719721</v>
      </c>
      <c r="O68" s="482">
        <f t="shared" si="1"/>
        <v>95.543531774015264</v>
      </c>
      <c r="P68" s="482">
        <f t="shared" si="1"/>
        <v>93.310164472412225</v>
      </c>
      <c r="Q68" s="482">
        <f t="shared" si="1"/>
        <v>94.969260995679349</v>
      </c>
      <c r="R68" s="482">
        <f t="shared" si="1"/>
        <v>86.292458478025281</v>
      </c>
      <c r="S68" s="482">
        <f t="shared" si="1"/>
        <v>89.119520543464191</v>
      </c>
      <c r="T68" s="482">
        <f t="shared" si="1"/>
        <v>86.358552421357089</v>
      </c>
      <c r="U68" s="482">
        <f t="shared" si="1"/>
        <v>81.216784267345631</v>
      </c>
      <c r="V68" s="482">
        <f t="shared" si="1"/>
        <v>82.257391342506338</v>
      </c>
      <c r="W68" s="482">
        <f t="shared" si="1"/>
        <v>76.809556672178573</v>
      </c>
      <c r="X68" s="482">
        <f t="shared" si="1"/>
        <v>70.626762991257081</v>
      </c>
      <c r="Y68" s="482">
        <f t="shared" si="1"/>
        <v>75.278993392001809</v>
      </c>
      <c r="Z68" s="482">
        <f t="shared" si="1"/>
        <v>73.832334119273057</v>
      </c>
      <c r="AA68" s="482">
        <f t="shared" si="1"/>
        <v>75.000439601401951</v>
      </c>
      <c r="AB68" s="482">
        <f t="shared" si="1"/>
        <v>71.328185981528435</v>
      </c>
      <c r="AC68" s="482">
        <f t="shared" si="1"/>
        <v>70.476185387902106</v>
      </c>
      <c r="AD68" s="482">
        <f t="shared" si="1"/>
        <v>71.63128715228379</v>
      </c>
      <c r="AE68" s="482">
        <f t="shared" si="1"/>
        <v>70.3895288305565</v>
      </c>
      <c r="AF68" s="482">
        <f t="shared" si="1"/>
        <v>64.151992533382867</v>
      </c>
      <c r="AG68" s="482">
        <f t="shared" si="1"/>
        <v>67.097078158212994</v>
      </c>
      <c r="AH68" s="482">
        <f t="shared" si="1"/>
        <v>68.022327133326556</v>
      </c>
      <c r="AI68" s="1119">
        <f t="shared" si="1"/>
        <v>65.139812960804832</v>
      </c>
      <c r="AJ68" s="28"/>
      <c r="AK68" s="491"/>
      <c r="AL68" s="492"/>
      <c r="AM68" s="28"/>
      <c r="AN68" s="363"/>
      <c r="AO68" s="28"/>
      <c r="AP68" s="28"/>
      <c r="AQ68" s="28"/>
      <c r="AR68" s="28"/>
      <c r="AS68" s="28"/>
      <c r="AT68" s="28"/>
      <c r="AU68" s="28"/>
      <c r="AV68" s="28"/>
      <c r="AW68" s="28"/>
      <c r="AX68" s="28"/>
      <c r="AY68" s="28"/>
      <c r="AZ68" s="28"/>
      <c r="BA68" s="28"/>
    </row>
    <row r="69" spans="1:53" ht="16" x14ac:dyDescent="0.4">
      <c r="A69" s="196" t="s">
        <v>1063</v>
      </c>
      <c r="B69" s="481"/>
      <c r="C69" s="481"/>
      <c r="D69" s="481"/>
      <c r="E69" s="481"/>
      <c r="F69" s="481"/>
      <c r="G69" s="481"/>
      <c r="H69" s="481"/>
      <c r="I69" s="481"/>
      <c r="J69" s="481"/>
      <c r="K69" s="481"/>
      <c r="L69" s="481"/>
      <c r="M69" s="481"/>
      <c r="N69" s="481"/>
      <c r="O69" s="481"/>
      <c r="P69" s="481"/>
      <c r="Q69" s="481"/>
      <c r="R69" s="481"/>
      <c r="S69" s="481"/>
      <c r="T69" s="481"/>
      <c r="U69" s="481"/>
      <c r="V69" s="481"/>
      <c r="W69" s="481"/>
      <c r="X69" s="481"/>
      <c r="Y69" s="481"/>
      <c r="Z69" s="481"/>
      <c r="AA69" s="481"/>
      <c r="AB69" s="481"/>
      <c r="AC69" s="481"/>
      <c r="AD69" s="481"/>
      <c r="AE69" s="481"/>
      <c r="AF69" s="481"/>
      <c r="AG69" s="481"/>
      <c r="AH69" s="233"/>
      <c r="AI69" s="233"/>
      <c r="AJ69" s="28"/>
      <c r="AK69" s="329"/>
      <c r="AL69" s="480"/>
      <c r="AM69" s="3"/>
      <c r="AN69" s="354"/>
      <c r="AO69" s="3"/>
      <c r="AP69" s="3"/>
      <c r="AQ69" s="3"/>
      <c r="AR69" s="3"/>
      <c r="AS69" s="3"/>
      <c r="AT69" s="3"/>
      <c r="AU69" s="3"/>
      <c r="AV69" s="3"/>
      <c r="AW69" s="3"/>
      <c r="AX69" s="3"/>
      <c r="AY69" s="3"/>
      <c r="AZ69" s="3"/>
      <c r="BA69" s="3"/>
    </row>
    <row r="70" spans="1:53" ht="16" x14ac:dyDescent="0.4">
      <c r="B70" s="481"/>
      <c r="C70" s="481"/>
      <c r="D70" s="481"/>
      <c r="E70" s="481"/>
      <c r="F70" s="481"/>
      <c r="G70" s="481"/>
      <c r="H70" s="481"/>
      <c r="I70" s="481"/>
      <c r="J70" s="481"/>
      <c r="K70" s="481"/>
      <c r="L70" s="481"/>
      <c r="M70" s="481"/>
      <c r="N70" s="481"/>
      <c r="O70" s="481"/>
      <c r="P70" s="481"/>
      <c r="Q70" s="481"/>
      <c r="R70" s="481"/>
      <c r="S70" s="481"/>
      <c r="T70" s="481"/>
      <c r="U70" s="481"/>
      <c r="V70" s="481"/>
      <c r="W70" s="481"/>
      <c r="X70" s="481"/>
      <c r="Y70" s="481"/>
      <c r="Z70" s="481"/>
      <c r="AA70" s="481"/>
      <c r="AB70" s="481"/>
      <c r="AC70" s="481"/>
      <c r="AD70" s="481"/>
      <c r="AE70" s="481"/>
      <c r="AF70" s="481"/>
      <c r="AG70" s="481"/>
      <c r="AH70" s="1304"/>
      <c r="AI70" s="1304"/>
      <c r="AJ70" s="28"/>
      <c r="AK70" s="329"/>
      <c r="AL70" s="480"/>
      <c r="AM70" s="3"/>
      <c r="AN70" s="354"/>
      <c r="AO70" s="3"/>
      <c r="AP70" s="3"/>
      <c r="AQ70" s="3"/>
      <c r="AR70" s="3"/>
      <c r="AS70" s="3"/>
      <c r="AT70" s="3"/>
      <c r="AU70" s="3"/>
      <c r="AV70" s="3"/>
      <c r="AW70" s="3"/>
      <c r="AX70" s="3"/>
      <c r="AY70" s="3"/>
      <c r="AZ70" s="3"/>
      <c r="BA70" s="3"/>
    </row>
    <row r="71" spans="1:53" ht="17" x14ac:dyDescent="0.45">
      <c r="A71" s="1393" t="s">
        <v>1419</v>
      </c>
      <c r="B71" s="1345"/>
      <c r="C71" s="1345"/>
      <c r="D71" s="1345"/>
      <c r="E71" s="1345"/>
      <c r="F71" s="1345"/>
      <c r="G71" s="1345"/>
      <c r="H71" s="1345"/>
      <c r="I71" s="1345"/>
      <c r="J71" s="1345"/>
      <c r="K71" s="1345"/>
      <c r="L71" s="1345"/>
      <c r="M71" s="1345"/>
      <c r="N71" s="1345"/>
      <c r="O71" s="1345"/>
      <c r="P71" s="1345"/>
      <c r="Q71" s="1345"/>
      <c r="R71" s="1345"/>
      <c r="S71" s="1345"/>
      <c r="T71" s="1345"/>
      <c r="U71" s="1345"/>
      <c r="V71" s="1345"/>
      <c r="W71" s="1345"/>
      <c r="X71" s="1345"/>
      <c r="Y71" s="1345"/>
      <c r="Z71" s="1345"/>
      <c r="AA71" s="1345"/>
      <c r="AB71" s="1345"/>
      <c r="AC71" s="1345"/>
      <c r="AD71" s="1345"/>
      <c r="AE71" s="1345"/>
      <c r="AF71" s="1345"/>
      <c r="AG71" s="1345"/>
      <c r="AH71" s="1346"/>
      <c r="AI71" s="1346"/>
      <c r="AJ71" s="28"/>
      <c r="AK71" s="329"/>
      <c r="AL71" s="480"/>
      <c r="AM71" s="3"/>
      <c r="AN71" s="354"/>
      <c r="AO71" s="3"/>
      <c r="AP71" s="3"/>
      <c r="AQ71" s="3"/>
      <c r="AR71" s="3"/>
      <c r="AS71" s="3"/>
      <c r="AT71" s="3"/>
      <c r="AU71" s="3"/>
      <c r="AV71" s="3"/>
      <c r="AW71" s="3"/>
      <c r="AX71" s="3"/>
      <c r="AY71" s="3"/>
      <c r="AZ71" s="3"/>
      <c r="BA71" s="3"/>
    </row>
    <row r="73" spans="1:53" ht="16" x14ac:dyDescent="0.4">
      <c r="A73" s="395" t="s">
        <v>1064</v>
      </c>
    </row>
  </sheetData>
  <dataValidations count="1">
    <dataValidation type="list" allowBlank="1" showInputMessage="1" showErrorMessage="1" sqref="A8" xr:uid="{2E98C46E-9186-E54B-A235-BBF49E1E5851}">
      <formula1>$A$9:$A$14</formula1>
    </dataValidation>
  </dataValidations>
  <hyperlinks>
    <hyperlink ref="A2" location="Contents!A1" display="Return to Contents tab" xr:uid="{520AF7ED-4644-4011-BDCD-99C11C7B428D}"/>
    <hyperlink ref="A3" location="'Adjustable GWP Summary'!A56" display="Go to Tables on Adjustable GWP Summary Worksheet" xr:uid="{D0E9C747-94BD-4060-AEC9-89B200B33475}"/>
  </hyperlinks>
  <pageMargins left="0.7" right="0.7" top="0.75" bottom="0.75" header="0.3" footer="0.3"/>
  <pageSetup scale="27" orientation="landscape" r:id="rId1"/>
  <drawing r:id="rId2"/>
  <tableParts count="4">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E194"/>
  <sheetViews>
    <sheetView zoomScaleNormal="100" zoomScaleSheetLayoutView="20" zoomScalePageLayoutView="30" workbookViewId="0">
      <pane xSplit="1" topLeftCell="B1" activePane="topRight" state="frozen"/>
      <selection activeCell="A13" sqref="A13"/>
      <selection pane="topRight"/>
    </sheetView>
  </sheetViews>
  <sheetFormatPr defaultColWidth="8.81640625" defaultRowHeight="16" x14ac:dyDescent="0.4"/>
  <cols>
    <col min="1" max="1" width="65.54296875" style="3" customWidth="1"/>
    <col min="2" max="35" width="14.7265625" style="3" customWidth="1"/>
    <col min="36" max="36" width="15.81640625" style="3" bestFit="1" customWidth="1"/>
    <col min="37" max="37" width="8.81640625" style="3"/>
    <col min="38" max="38" width="8.81640625" style="3" bestFit="1" customWidth="1"/>
    <col min="39" max="39" width="9.26953125" style="3" bestFit="1" customWidth="1"/>
    <col min="40" max="40" width="8.81640625" style="3" bestFit="1" customWidth="1"/>
    <col min="41" max="41" width="8.81640625" style="3"/>
    <col min="42" max="42" width="8.81640625" style="3" bestFit="1" customWidth="1"/>
    <col min="43" max="43" width="24.453125" style="3" bestFit="1" customWidth="1"/>
    <col min="44" max="45" width="8.81640625" style="3" bestFit="1" customWidth="1"/>
    <col min="46" max="16384" width="8.81640625" style="3"/>
  </cols>
  <sheetData>
    <row r="1" spans="1:14" ht="21" x14ac:dyDescent="0.5">
      <c r="A1" s="332" t="s">
        <v>750</v>
      </c>
    </row>
    <row r="2" spans="1:14" x14ac:dyDescent="0.4">
      <c r="A2" s="1011" t="s">
        <v>730</v>
      </c>
    </row>
    <row r="3" spans="1:14" x14ac:dyDescent="0.4">
      <c r="A3" s="1265" t="s">
        <v>899</v>
      </c>
    </row>
    <row r="4" spans="1:14" x14ac:dyDescent="0.4">
      <c r="A4" s="1052"/>
    </row>
    <row r="5" spans="1:14" x14ac:dyDescent="0.4">
      <c r="A5" s="108" t="s">
        <v>1121</v>
      </c>
      <c r="H5" s="1145" t="s">
        <v>717</v>
      </c>
    </row>
    <row r="6" spans="1:14" ht="17" x14ac:dyDescent="0.45">
      <c r="A6" s="3" t="s">
        <v>511</v>
      </c>
      <c r="H6" s="1332" t="s">
        <v>1183</v>
      </c>
      <c r="I6" s="1332" t="s">
        <v>1137</v>
      </c>
      <c r="J6" s="1332" t="s">
        <v>690</v>
      </c>
    </row>
    <row r="7" spans="1:14" ht="17" x14ac:dyDescent="0.45">
      <c r="A7" s="1052"/>
      <c r="H7" s="1147">
        <f>AI126</f>
        <v>55.643864378345249</v>
      </c>
      <c r="I7" s="289">
        <f>H7/$H$12</f>
        <v>0.85422204714997607</v>
      </c>
      <c r="J7" s="1400" t="s">
        <v>505</v>
      </c>
      <c r="N7" s="1389"/>
    </row>
    <row r="8" spans="1:14" ht="17" x14ac:dyDescent="0.45">
      <c r="A8" s="1281" t="s">
        <v>1072</v>
      </c>
      <c r="H8" s="1147">
        <f>AI141</f>
        <v>1.4687829192079942</v>
      </c>
      <c r="I8" s="289">
        <f>H8/$H$12</f>
        <v>2.2548159910925337E-2</v>
      </c>
      <c r="J8" s="1389" t="s">
        <v>506</v>
      </c>
      <c r="N8" s="1389"/>
    </row>
    <row r="9" spans="1:14" ht="17" x14ac:dyDescent="0.45">
      <c r="A9" s="1334" t="s">
        <v>717</v>
      </c>
      <c r="H9" s="1147">
        <f>AI156</f>
        <v>0.71391148986715747</v>
      </c>
      <c r="I9" s="289">
        <f>H9/$H$12</f>
        <v>1.0959679762923544E-2</v>
      </c>
      <c r="J9" s="1389" t="s">
        <v>507</v>
      </c>
      <c r="N9" s="1389"/>
    </row>
    <row r="10" spans="1:14" ht="17" x14ac:dyDescent="0.45">
      <c r="H10" s="1147">
        <f>AI167</f>
        <v>3.2664308140058642</v>
      </c>
      <c r="I10" s="289">
        <f>H10/$H$12</f>
        <v>5.0144921600731383E-2</v>
      </c>
      <c r="J10" s="1389" t="s">
        <v>1287</v>
      </c>
      <c r="N10" s="1389"/>
    </row>
    <row r="11" spans="1:14" ht="17" x14ac:dyDescent="0.45">
      <c r="A11" s="1052"/>
      <c r="H11" s="1147">
        <f>AI176</f>
        <v>4.0468233593785614</v>
      </c>
      <c r="I11" s="289">
        <f>H11/$H$12</f>
        <v>6.2125191575443557E-2</v>
      </c>
      <c r="J11" s="28" t="s">
        <v>985</v>
      </c>
      <c r="N11" s="1389"/>
    </row>
    <row r="12" spans="1:14" x14ac:dyDescent="0.4">
      <c r="A12" s="1052"/>
      <c r="H12" s="354">
        <f>AI177</f>
        <v>65.139812960804832</v>
      </c>
      <c r="I12" s="289"/>
      <c r="J12" s="1389" t="s">
        <v>21</v>
      </c>
    </row>
    <row r="13" spans="1:14" x14ac:dyDescent="0.4">
      <c r="A13" s="1052"/>
      <c r="H13" s="1324" t="s">
        <v>1111</v>
      </c>
    </row>
    <row r="14" spans="1:14" x14ac:dyDescent="0.4">
      <c r="A14" s="1052"/>
    </row>
    <row r="15" spans="1:14" x14ac:dyDescent="0.4">
      <c r="A15" s="1052"/>
    </row>
    <row r="16" spans="1:14" x14ac:dyDescent="0.4">
      <c r="A16" s="1052"/>
    </row>
    <row r="17" spans="1:40" x14ac:dyDescent="0.4">
      <c r="A17" s="1052"/>
    </row>
    <row r="18" spans="1:40" x14ac:dyDescent="0.4">
      <c r="A18" s="1052"/>
    </row>
    <row r="19" spans="1:40" x14ac:dyDescent="0.4">
      <c r="A19" s="1052"/>
    </row>
    <row r="20" spans="1:40" x14ac:dyDescent="0.4">
      <c r="A20" s="1052"/>
    </row>
    <row r="21" spans="1:40" x14ac:dyDescent="0.4">
      <c r="A21" s="1052"/>
    </row>
    <row r="22" spans="1:40" x14ac:dyDescent="0.4">
      <c r="A22" s="1052"/>
    </row>
    <row r="23" spans="1:40" x14ac:dyDescent="0.4">
      <c r="A23" s="1052"/>
    </row>
    <row r="24" spans="1:40" x14ac:dyDescent="0.4">
      <c r="A24" s="1052"/>
    </row>
    <row r="25" spans="1:40" x14ac:dyDescent="0.4">
      <c r="A25" s="1052"/>
    </row>
    <row r="26" spans="1:40" x14ac:dyDescent="0.4">
      <c r="A26" s="28"/>
    </row>
    <row r="27" spans="1:40" x14ac:dyDescent="0.4">
      <c r="A27" s="108" t="s">
        <v>1122</v>
      </c>
    </row>
    <row r="28" spans="1:40" ht="17" x14ac:dyDescent="0.4">
      <c r="A28" s="330" t="s">
        <v>1329</v>
      </c>
      <c r="AK28" s="329"/>
      <c r="AL28" s="329"/>
      <c r="AN28" s="354"/>
    </row>
    <row r="29" spans="1:40" ht="17" x14ac:dyDescent="0.4">
      <c r="A29" s="330" t="s">
        <v>1330</v>
      </c>
    </row>
    <row r="30" spans="1:40" ht="17" x14ac:dyDescent="0.4">
      <c r="A30" s="330" t="s">
        <v>1026</v>
      </c>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row>
    <row r="31" spans="1:40" ht="17" x14ac:dyDescent="0.4">
      <c r="A31" s="330" t="s">
        <v>1012</v>
      </c>
    </row>
    <row r="32" spans="1:40" x14ac:dyDescent="0.4">
      <c r="A32" s="330"/>
    </row>
    <row r="33" spans="1:6" x14ac:dyDescent="0.4">
      <c r="A33" s="330"/>
    </row>
    <row r="34" spans="1:6" x14ac:dyDescent="0.4">
      <c r="A34" s="56"/>
      <c r="C34" s="281"/>
      <c r="D34" s="281"/>
      <c r="E34" s="281"/>
      <c r="F34" s="281"/>
    </row>
    <row r="35" spans="1:6" x14ac:dyDescent="0.4">
      <c r="A35" s="56"/>
      <c r="C35" s="281"/>
      <c r="D35" s="281"/>
      <c r="E35" s="281"/>
      <c r="F35" s="281"/>
    </row>
    <row r="36" spans="1:6" x14ac:dyDescent="0.4">
      <c r="A36" s="56"/>
    </row>
    <row r="57" spans="1:1" x14ac:dyDescent="0.4">
      <c r="A57" s="108" t="s">
        <v>1427</v>
      </c>
    </row>
    <row r="58" spans="1:1" ht="17" x14ac:dyDescent="0.45">
      <c r="A58" s="1324" t="s">
        <v>1123</v>
      </c>
    </row>
    <row r="59" spans="1:1" ht="17" x14ac:dyDescent="0.45">
      <c r="A59" s="1298" t="s">
        <v>1013</v>
      </c>
    </row>
    <row r="60" spans="1:1" ht="17" x14ac:dyDescent="0.45">
      <c r="A60" s="1312" t="s">
        <v>1053</v>
      </c>
    </row>
    <row r="61" spans="1:1" ht="17" x14ac:dyDescent="0.45">
      <c r="A61" s="1312" t="s">
        <v>1054</v>
      </c>
    </row>
    <row r="62" spans="1:1" ht="17" x14ac:dyDescent="0.45">
      <c r="A62" s="1312" t="s">
        <v>1056</v>
      </c>
    </row>
    <row r="63" spans="1:1" ht="17" x14ac:dyDescent="0.45">
      <c r="A63" s="1312" t="s">
        <v>1055</v>
      </c>
    </row>
    <row r="64" spans="1:1" ht="17" x14ac:dyDescent="0.45">
      <c r="A64" s="1312" t="s">
        <v>1059</v>
      </c>
    </row>
    <row r="65" spans="1:27" x14ac:dyDescent="0.4">
      <c r="A65" s="445"/>
      <c r="W65" s="116"/>
    </row>
    <row r="66" spans="1:27" x14ac:dyDescent="0.4">
      <c r="A66" s="488"/>
      <c r="W66" s="116"/>
    </row>
    <row r="67" spans="1:27" x14ac:dyDescent="0.4">
      <c r="A67" s="488"/>
    </row>
    <row r="70" spans="1:27" x14ac:dyDescent="0.4">
      <c r="A70" s="108" t="s">
        <v>1430</v>
      </c>
      <c r="X70" s="1127" t="s">
        <v>514</v>
      </c>
      <c r="Z70" s="478"/>
    </row>
    <row r="71" spans="1:27" ht="17" x14ac:dyDescent="0.45">
      <c r="A71" s="3" t="s">
        <v>512</v>
      </c>
      <c r="X71" s="1332" t="s">
        <v>1183</v>
      </c>
      <c r="Y71" s="1332" t="s">
        <v>1137</v>
      </c>
      <c r="Z71" s="1332" t="s">
        <v>670</v>
      </c>
    </row>
    <row r="72" spans="1:27" x14ac:dyDescent="0.4">
      <c r="A72" s="3" t="s">
        <v>513</v>
      </c>
      <c r="X72" s="1147">
        <f>AI131+AI132+AI133+AI134+AI135+AI136</f>
        <v>0.20077433567848255</v>
      </c>
      <c r="Y72" s="1146">
        <f>X72/$X$76</f>
        <v>0.13669435629517346</v>
      </c>
      <c r="Z72" s="3" t="s">
        <v>25</v>
      </c>
    </row>
    <row r="73" spans="1:27" x14ac:dyDescent="0.4">
      <c r="A73" s="3" t="s">
        <v>514</v>
      </c>
      <c r="X73" s="1147">
        <f>AI137</f>
        <v>0.7055939941976983</v>
      </c>
      <c r="Y73" s="1146">
        <f>X73/$X$76</f>
        <v>0.48039365448106713</v>
      </c>
      <c r="Z73" s="3" t="s">
        <v>4</v>
      </c>
    </row>
    <row r="74" spans="1:27" x14ac:dyDescent="0.4">
      <c r="X74" s="1147">
        <f>AI138</f>
        <v>9.292292744602583E-2</v>
      </c>
      <c r="Y74" s="1146">
        <f>X74/$X$76</f>
        <v>6.3265256036700288E-2</v>
      </c>
      <c r="Z74" s="28" t="s">
        <v>26</v>
      </c>
    </row>
    <row r="75" spans="1:27" x14ac:dyDescent="0.4">
      <c r="A75" s="1403" t="s">
        <v>1396</v>
      </c>
      <c r="X75" s="1147">
        <f>AI139+AI140</f>
        <v>0.4694916618857875</v>
      </c>
      <c r="Y75" s="1146">
        <f>X75/$X$76</f>
        <v>0.31964673318705911</v>
      </c>
      <c r="Z75" s="3" t="s">
        <v>7</v>
      </c>
    </row>
    <row r="76" spans="1:27" x14ac:dyDescent="0.4">
      <c r="A76" s="1331" t="s">
        <v>1057</v>
      </c>
      <c r="X76" s="354">
        <f>SUM(X72:X75)</f>
        <v>1.4687829192079942</v>
      </c>
      <c r="Z76" s="1127" t="s">
        <v>115</v>
      </c>
    </row>
    <row r="77" spans="1:27" x14ac:dyDescent="0.4">
      <c r="X77" s="1324" t="s">
        <v>1111</v>
      </c>
    </row>
    <row r="78" spans="1:27" x14ac:dyDescent="0.4">
      <c r="AA78" s="56"/>
    </row>
    <row r="100" spans="1:3" x14ac:dyDescent="0.4">
      <c r="C100" s="483"/>
    </row>
    <row r="105" spans="1:3" x14ac:dyDescent="0.4">
      <c r="A105" s="1052"/>
    </row>
    <row r="106" spans="1:3" x14ac:dyDescent="0.4">
      <c r="A106" s="42" t="s">
        <v>1066</v>
      </c>
    </row>
    <row r="107" spans="1:3" ht="17" x14ac:dyDescent="0.45">
      <c r="A107" s="1298" t="s">
        <v>1014</v>
      </c>
    </row>
    <row r="108" spans="1:3" ht="17" x14ac:dyDescent="0.45">
      <c r="A108" s="1298" t="s">
        <v>1015</v>
      </c>
    </row>
    <row r="109" spans="1:3" ht="17" x14ac:dyDescent="0.45">
      <c r="A109" s="1298" t="s">
        <v>1016</v>
      </c>
    </row>
    <row r="110" spans="1:3" ht="17" x14ac:dyDescent="0.45">
      <c r="A110" s="1298" t="s">
        <v>1017</v>
      </c>
    </row>
    <row r="111" spans="1:3" ht="17" x14ac:dyDescent="0.45">
      <c r="A111" s="1298" t="s">
        <v>1018</v>
      </c>
    </row>
    <row r="112" spans="1:3" ht="17" x14ac:dyDescent="0.45">
      <c r="A112" s="1298" t="s">
        <v>1019</v>
      </c>
    </row>
    <row r="113" spans="1:57" x14ac:dyDescent="0.4">
      <c r="A113" s="196" t="s">
        <v>769</v>
      </c>
    </row>
    <row r="114" spans="1:57" x14ac:dyDescent="0.4">
      <c r="A114" s="196"/>
    </row>
    <row r="115" spans="1:57" ht="17" x14ac:dyDescent="0.45">
      <c r="A115" s="88" t="s">
        <v>1028</v>
      </c>
      <c r="B115" s="29"/>
      <c r="U115" s="55"/>
      <c r="V115" s="55"/>
      <c r="W115" s="55"/>
      <c r="X115" s="55"/>
      <c r="Y115" s="55"/>
      <c r="Z115" s="55"/>
      <c r="AA115" s="267"/>
      <c r="AB115" s="267"/>
      <c r="AC115" s="267"/>
      <c r="AD115" s="267"/>
      <c r="AE115" s="267"/>
      <c r="AF115" s="267"/>
      <c r="AG115" s="267"/>
      <c r="AH115" s="267"/>
      <c r="AI115" s="268"/>
      <c r="AJ115" s="267"/>
    </row>
    <row r="116" spans="1:57" s="86" customFormat="1" ht="16.5" thickBot="1" x14ac:dyDescent="0.45">
      <c r="A116" s="1226" t="s">
        <v>670</v>
      </c>
      <c r="B116" s="1227" t="s">
        <v>391</v>
      </c>
      <c r="C116" s="1227" t="s">
        <v>392</v>
      </c>
      <c r="D116" s="1227" t="s">
        <v>393</v>
      </c>
      <c r="E116" s="1227" t="s">
        <v>394</v>
      </c>
      <c r="F116" s="1227" t="s">
        <v>395</v>
      </c>
      <c r="G116" s="1227" t="s">
        <v>396</v>
      </c>
      <c r="H116" s="1227" t="s">
        <v>397</v>
      </c>
      <c r="I116" s="1227" t="s">
        <v>398</v>
      </c>
      <c r="J116" s="1227" t="s">
        <v>399</v>
      </c>
      <c r="K116" s="1227" t="s">
        <v>400</v>
      </c>
      <c r="L116" s="1227" t="s">
        <v>401</v>
      </c>
      <c r="M116" s="1227" t="s">
        <v>402</v>
      </c>
      <c r="N116" s="1227" t="s">
        <v>403</v>
      </c>
      <c r="O116" s="1227" t="s">
        <v>404</v>
      </c>
      <c r="P116" s="1227" t="s">
        <v>405</v>
      </c>
      <c r="Q116" s="1227" t="s">
        <v>406</v>
      </c>
      <c r="R116" s="1227" t="s">
        <v>407</v>
      </c>
      <c r="S116" s="1227" t="s">
        <v>408</v>
      </c>
      <c r="T116" s="1227" t="s">
        <v>409</v>
      </c>
      <c r="U116" s="1227" t="s">
        <v>410</v>
      </c>
      <c r="V116" s="1227" t="s">
        <v>411</v>
      </c>
      <c r="W116" s="1227" t="s">
        <v>412</v>
      </c>
      <c r="X116" s="1227" t="s">
        <v>413</v>
      </c>
      <c r="Y116" s="1227" t="s">
        <v>414</v>
      </c>
      <c r="Z116" s="1227" t="s">
        <v>415</v>
      </c>
      <c r="AA116" s="1227" t="s">
        <v>416</v>
      </c>
      <c r="AB116" s="1227" t="s">
        <v>417</v>
      </c>
      <c r="AC116" s="1227" t="s">
        <v>418</v>
      </c>
      <c r="AD116" s="1227" t="s">
        <v>419</v>
      </c>
      <c r="AE116" s="1227" t="s">
        <v>420</v>
      </c>
      <c r="AF116" s="1227" t="s">
        <v>421</v>
      </c>
      <c r="AG116" s="1227" t="s">
        <v>422</v>
      </c>
      <c r="AH116" s="1227" t="s">
        <v>423</v>
      </c>
      <c r="AI116" s="1227" t="s">
        <v>424</v>
      </c>
      <c r="AJ116" s="268"/>
    </row>
    <row r="117" spans="1:57" x14ac:dyDescent="0.4">
      <c r="A117" s="28" t="str">
        <f>'Combustion CO2'!A61</f>
        <v>Residential</v>
      </c>
      <c r="B117" s="363">
        <f>'Combustion CO2'!B61</f>
        <v>15.09218729035536</v>
      </c>
      <c r="C117" s="280">
        <f>'Combustion CO2'!C61</f>
        <v>14.295364882071031</v>
      </c>
      <c r="D117" s="280">
        <f>'Combustion CO2'!D61</f>
        <v>16.396053585147097</v>
      </c>
      <c r="E117" s="280">
        <f>'Combustion CO2'!E61</f>
        <v>16.518072434056428</v>
      </c>
      <c r="F117" s="280">
        <f>'Combustion CO2'!F61</f>
        <v>16.3428113958593</v>
      </c>
      <c r="G117" s="280">
        <f>'Combustion CO2'!G61</f>
        <v>14.751248409471906</v>
      </c>
      <c r="H117" s="280">
        <f>'Combustion CO2'!H61</f>
        <v>14.548991126703283</v>
      </c>
      <c r="I117" s="280">
        <f>'Combustion CO2'!I61</f>
        <v>14.378872297176235</v>
      </c>
      <c r="J117" s="280">
        <f>'Combustion CO2'!J61</f>
        <v>13.187544748996455</v>
      </c>
      <c r="K117" s="280">
        <f>'Combustion CO2'!K61</f>
        <v>14.010791823643141</v>
      </c>
      <c r="L117" s="280">
        <f>'Combustion CO2'!L61</f>
        <v>15.683527402244092</v>
      </c>
      <c r="M117" s="280">
        <f>'Combustion CO2'!M61</f>
        <v>16.028702298201726</v>
      </c>
      <c r="N117" s="280">
        <f>'Combustion CO2'!N61</f>
        <v>15.947149742292989</v>
      </c>
      <c r="O117" s="280">
        <f>'Combustion CO2'!O61</f>
        <v>16.423981121913869</v>
      </c>
      <c r="P117" s="280">
        <f>'Combustion CO2'!P61</f>
        <v>15.023642667589685</v>
      </c>
      <c r="Q117" s="280">
        <f>'Combustion CO2'!Q61</f>
        <v>14.927432156389226</v>
      </c>
      <c r="R117" s="280">
        <f>'Combustion CO2'!R61</f>
        <v>12.839080399416044</v>
      </c>
      <c r="S117" s="280">
        <f>'Combustion CO2'!S61</f>
        <v>13.515090275824232</v>
      </c>
      <c r="T117" s="280">
        <f>'Combustion CO2'!T61</f>
        <v>14.388754011560863</v>
      </c>
      <c r="U117" s="280">
        <f>'Combustion CO2'!U61</f>
        <v>13.844098792417579</v>
      </c>
      <c r="V117" s="280">
        <f>'Combustion CO2'!V61</f>
        <v>13.58211312760811</v>
      </c>
      <c r="W117" s="280">
        <f>'Combustion CO2'!W61</f>
        <v>13.600460828624321</v>
      </c>
      <c r="X117" s="280">
        <f>'Combustion CO2'!X61</f>
        <v>11.771252865487984</v>
      </c>
      <c r="Y117" s="280">
        <f>'Combustion CO2'!Y61</f>
        <v>12.275948634716979</v>
      </c>
      <c r="Z117" s="280">
        <f>'Combustion CO2'!Z61</f>
        <v>13.597318047079337</v>
      </c>
      <c r="AA117" s="280">
        <f>'Combustion CO2'!AA61</f>
        <v>13.519448387674942</v>
      </c>
      <c r="AB117" s="280">
        <f>'Combustion CO2'!AB61</f>
        <v>11.310053467582465</v>
      </c>
      <c r="AC117" s="280">
        <f>'Combustion CO2'!AC61</f>
        <v>12.297294972031565</v>
      </c>
      <c r="AD117" s="280">
        <f>'Combustion CO2'!AD61</f>
        <v>13.287752133780446</v>
      </c>
      <c r="AE117" s="280">
        <f>'Combustion CO2'!AE61</f>
        <v>13.607792464408146</v>
      </c>
      <c r="AF117" s="280">
        <f>'Combustion CO2'!AF61</f>
        <v>12.105531353840195</v>
      </c>
      <c r="AG117" s="280">
        <f>'Combustion CO2'!AG61</f>
        <v>12.481778897291683</v>
      </c>
      <c r="AH117" s="280">
        <f>'Combustion CO2'!AH61</f>
        <v>12.880271418154676</v>
      </c>
      <c r="AI117" s="280">
        <f>'Combustion CO2'!AI61</f>
        <v>11.712554814178027</v>
      </c>
    </row>
    <row r="118" spans="1:57" x14ac:dyDescent="0.4">
      <c r="A118" s="28" t="str">
        <f>'Combustion CO2'!A66</f>
        <v>Commercial**</v>
      </c>
      <c r="B118" s="363">
        <f>'Combustion CO2'!B66+'Combustion CO2'!B186</f>
        <v>8.393199905810599</v>
      </c>
      <c r="C118" s="363">
        <f>'Combustion CO2'!C66+'Combustion CO2'!C186</f>
        <v>9.1714074410264743</v>
      </c>
      <c r="D118" s="363">
        <f>'Combustion CO2'!D66+'Combustion CO2'!D186</f>
        <v>8.9309955359805997</v>
      </c>
      <c r="E118" s="363">
        <f>'Combustion CO2'!E66+'Combustion CO2'!E186</f>
        <v>7.9899165283760158</v>
      </c>
      <c r="F118" s="363">
        <f>'Combustion CO2'!F66+'Combustion CO2'!F186</f>
        <v>8.8622762327746258</v>
      </c>
      <c r="G118" s="363">
        <f>'Combustion CO2'!G66+'Combustion CO2'!G186</f>
        <v>8.9583234115736374</v>
      </c>
      <c r="H118" s="363">
        <f>'Combustion CO2'!H66+'Combustion CO2'!H186</f>
        <v>9.0613426494264466</v>
      </c>
      <c r="I118" s="363">
        <f>'Combustion CO2'!I66+'Combustion CO2'!I186</f>
        <v>9.4523565880490032</v>
      </c>
      <c r="J118" s="363">
        <f>'Combustion CO2'!J66+'Combustion CO2'!J186</f>
        <v>8.0754548915353492</v>
      </c>
      <c r="K118" s="363">
        <f>'Combustion CO2'!K66+'Combustion CO2'!K186</f>
        <v>6.1959925594355161</v>
      </c>
      <c r="L118" s="363">
        <f>'Combustion CO2'!L66+'Combustion CO2'!L186</f>
        <v>6.7932535616058303</v>
      </c>
      <c r="M118" s="363">
        <f>'Combustion CO2'!M66+'Combustion CO2'!M186</f>
        <v>5.7670060508675816</v>
      </c>
      <c r="N118" s="363">
        <f>'Combustion CO2'!N66+'Combustion CO2'!N186</f>
        <v>5.8880337932122524</v>
      </c>
      <c r="O118" s="363">
        <f>'Combustion CO2'!O66+'Combustion CO2'!O186</f>
        <v>7.1132084080597142</v>
      </c>
      <c r="P118" s="363">
        <f>'Combustion CO2'!P66+'Combustion CO2'!P186</f>
        <v>6.5373600288097862</v>
      </c>
      <c r="Q118" s="363">
        <f>'Combustion CO2'!Q66+'Combustion CO2'!Q186</f>
        <v>6.6865712143985894</v>
      </c>
      <c r="R118" s="363">
        <f>'Combustion CO2'!R66+'Combustion CO2'!R186</f>
        <v>5.0160944446169093</v>
      </c>
      <c r="S118" s="363">
        <f>'Combustion CO2'!S66+'Combustion CO2'!S186</f>
        <v>5.3484329327599998</v>
      </c>
      <c r="T118" s="363">
        <f>'Combustion CO2'!T66+'Combustion CO2'!T186</f>
        <v>5.5954704389832886</v>
      </c>
      <c r="U118" s="363">
        <f>'Combustion CO2'!U66+'Combustion CO2'!U186</f>
        <v>5.7930992378099821</v>
      </c>
      <c r="V118" s="363">
        <f>'Combustion CO2'!V66+'Combustion CO2'!V186</f>
        <v>6.7205520029870893</v>
      </c>
      <c r="W118" s="363">
        <f>'Combustion CO2'!W66+'Combustion CO2'!W186</f>
        <v>6.3331977627934162</v>
      </c>
      <c r="X118" s="363">
        <f>'Combustion CO2'!X66+'Combustion CO2'!X186</f>
        <v>5.2380301223549299</v>
      </c>
      <c r="Y118" s="363">
        <f>'Combustion CO2'!Y66+'Combustion CO2'!Y186</f>
        <v>6.7631182630681863</v>
      </c>
      <c r="Z118" s="363">
        <f>'Combustion CO2'!Z66+'Combustion CO2'!Z186</f>
        <v>7.1468891863233202</v>
      </c>
      <c r="AA118" s="363">
        <f>'Combustion CO2'!AA66+'Combustion CO2'!AA186</f>
        <v>7.5477779593100482</v>
      </c>
      <c r="AB118" s="363">
        <f>'Combustion CO2'!AB66+'Combustion CO2'!AB186</f>
        <v>6.9658066582217053</v>
      </c>
      <c r="AC118" s="363">
        <f>'Combustion CO2'!AC66+'Combustion CO2'!AC186</f>
        <v>7.3094808835971969</v>
      </c>
      <c r="AD118" s="363">
        <f>'Combustion CO2'!AD66+'Combustion CO2'!AD186</f>
        <v>7.8542072416720847</v>
      </c>
      <c r="AE118" s="363">
        <f>'Combustion CO2'!AE66+'Combustion CO2'!AE186</f>
        <v>8.0358034163023948</v>
      </c>
      <c r="AF118" s="363">
        <f>'Combustion CO2'!AF66+'Combustion CO2'!AF186</f>
        <v>7.2371344930100721</v>
      </c>
      <c r="AG118" s="363">
        <f>'Combustion CO2'!AG66+'Combustion CO2'!AG186</f>
        <v>7.377238451636722</v>
      </c>
      <c r="AH118" s="363">
        <f>'Combustion CO2'!AH66+'Combustion CO2'!AH186</f>
        <v>8.1145805911266748</v>
      </c>
      <c r="AI118" s="363">
        <f>'Combustion CO2'!AI66+'Combustion CO2'!AI186</f>
        <v>7.5276362538070991</v>
      </c>
    </row>
    <row r="119" spans="1:57" x14ac:dyDescent="0.4">
      <c r="A119" s="28" t="str">
        <f>'Combustion CO2'!A71</f>
        <v>Industrial*</v>
      </c>
      <c r="B119" s="363">
        <f>'Combustion CO2'!B71+'Combustion CO2'!B172</f>
        <v>5.470849078973556</v>
      </c>
      <c r="C119" s="363">
        <f>'Combustion CO2'!C71+'Combustion CO2'!C172</f>
        <v>4.6075456433364677</v>
      </c>
      <c r="D119" s="363">
        <f>'Combustion CO2'!D71+'Combustion CO2'!D172</f>
        <v>6.2933169353978329</v>
      </c>
      <c r="E119" s="363">
        <f>'Combustion CO2'!E71+'Combustion CO2'!E172</f>
        <v>6.4758006669854291</v>
      </c>
      <c r="F119" s="363">
        <f>'Combustion CO2'!F71+'Combustion CO2'!F172</f>
        <v>5.5806557095435068</v>
      </c>
      <c r="G119" s="363">
        <f>'Combustion CO2'!G71+'Combustion CO2'!G172</f>
        <v>4.900990051907149</v>
      </c>
      <c r="H119" s="363">
        <f>'Combustion CO2'!H71+'Combustion CO2'!H172</f>
        <v>4.8710229654888062</v>
      </c>
      <c r="I119" s="363">
        <f>'Combustion CO2'!I71+'Combustion CO2'!I172</f>
        <v>4.9687117771719533</v>
      </c>
      <c r="J119" s="363">
        <f>'Combustion CO2'!J71+'Combustion CO2'!J172</f>
        <v>4.747317692389375</v>
      </c>
      <c r="K119" s="363">
        <f>'Combustion CO2'!K71+'Combustion CO2'!K172</f>
        <v>5.470635156727945</v>
      </c>
      <c r="L119" s="363">
        <f>'Combustion CO2'!L71+'Combustion CO2'!L172</f>
        <v>5.345201680006137</v>
      </c>
      <c r="M119" s="363">
        <f>'Combustion CO2'!M71+'Combustion CO2'!M172</f>
        <v>6.4867292884109613</v>
      </c>
      <c r="N119" s="363">
        <f>'Combustion CO2'!N71+'Combustion CO2'!N172</f>
        <v>6.4021017197950707</v>
      </c>
      <c r="O119" s="363">
        <f>'Combustion CO2'!O71+'Combustion CO2'!O172</f>
        <v>4.3484873641785056</v>
      </c>
      <c r="P119" s="363">
        <f>'Combustion CO2'!P71+'Combustion CO2'!P172</f>
        <v>4.2405221074642361</v>
      </c>
      <c r="Q119" s="363">
        <f>'Combustion CO2'!Q71+'Combustion CO2'!Q172</f>
        <v>4.4967301601977576</v>
      </c>
      <c r="R119" s="363">
        <f>'Combustion CO2'!R71+'Combustion CO2'!R172</f>
        <v>4.3315635699797026</v>
      </c>
      <c r="S119" s="363">
        <f>'Combustion CO2'!S71+'Combustion CO2'!S172</f>
        <v>4.2366993420870056</v>
      </c>
      <c r="T119" s="363">
        <f>'Combustion CO2'!T71+'Combustion CO2'!T172</f>
        <v>3.9068695734864174</v>
      </c>
      <c r="U119" s="363">
        <f>'Combustion CO2'!U71+'Combustion CO2'!U172</f>
        <v>3.1967469085787621</v>
      </c>
      <c r="V119" s="363">
        <f>'Combustion CO2'!V71+'Combustion CO2'!V172</f>
        <v>3.7023861550288277</v>
      </c>
      <c r="W119" s="363">
        <f>'Combustion CO2'!W71+'Combustion CO2'!W172</f>
        <v>3.8543201024630935</v>
      </c>
      <c r="X119" s="363">
        <f>'Combustion CO2'!X71+'Combustion CO2'!X172</f>
        <v>3.3050932512316105</v>
      </c>
      <c r="Y119" s="363">
        <f>'Combustion CO2'!Y71+'Combustion CO2'!Y172</f>
        <v>3.4913773262776084</v>
      </c>
      <c r="Z119" s="363">
        <f>'Combustion CO2'!Z71+'Combustion CO2'!Z172</f>
        <v>3.4147878915598562</v>
      </c>
      <c r="AA119" s="363">
        <f>'Combustion CO2'!AA71+'Combustion CO2'!AA172</f>
        <v>3.4417695874981922</v>
      </c>
      <c r="AB119" s="363">
        <f>'Combustion CO2'!AB71+'Combustion CO2'!AB172</f>
        <v>3.2259934858404158</v>
      </c>
      <c r="AC119" s="363">
        <f>'Combustion CO2'!AC71+'Combustion CO2'!AC172</f>
        <v>3.2699020220696409</v>
      </c>
      <c r="AD119" s="363">
        <f>'Combustion CO2'!AD71+'Combustion CO2'!AD172</f>
        <v>3.2862407486145093</v>
      </c>
      <c r="AE119" s="363">
        <f>'Combustion CO2'!AE71+'Combustion CO2'!AE172</f>
        <v>3.385759648503428</v>
      </c>
      <c r="AF119" s="363">
        <f>'Combustion CO2'!AF71+'Combustion CO2'!AF172</f>
        <v>3.1382884272944089</v>
      </c>
      <c r="AG119" s="363">
        <f>'Combustion CO2'!AG71+'Combustion CO2'!AG172</f>
        <v>3.2822277626082785</v>
      </c>
      <c r="AH119" s="363">
        <f>'Combustion CO2'!AH71+'Combustion CO2'!AH172</f>
        <v>3.3213102556327212</v>
      </c>
      <c r="AI119" s="363">
        <f>'Combustion CO2'!AI71+'Combustion CO2'!AI172</f>
        <v>3.0424998719196679</v>
      </c>
    </row>
    <row r="120" spans="1:57" x14ac:dyDescent="0.4">
      <c r="A120" s="28" t="str">
        <f>'Combustion CO2'!A76</f>
        <v>Transportation</v>
      </c>
      <c r="B120" s="363">
        <f>'Combustion CO2'!B76</f>
        <v>28.506437825265561</v>
      </c>
      <c r="C120" s="280">
        <f>'Combustion CO2'!C76</f>
        <v>26.924606252648257</v>
      </c>
      <c r="D120" s="280">
        <f>'Combustion CO2'!D76</f>
        <v>26.448466366325668</v>
      </c>
      <c r="E120" s="280">
        <f>'Combustion CO2'!E76</f>
        <v>26.684940195948617</v>
      </c>
      <c r="F120" s="280">
        <f>'Combustion CO2'!F76</f>
        <v>26.904845065360281</v>
      </c>
      <c r="G120" s="280">
        <f>'Combustion CO2'!G76</f>
        <v>27.543957964998537</v>
      </c>
      <c r="H120" s="280">
        <f>'Combustion CO2'!H76</f>
        <v>28.348712325078182</v>
      </c>
      <c r="I120" s="280">
        <f>'Combustion CO2'!I76</f>
        <v>28.69167682250546</v>
      </c>
      <c r="J120" s="280">
        <f>'Combustion CO2'!J76</f>
        <v>28.981165134559838</v>
      </c>
      <c r="K120" s="280">
        <f>'Combustion CO2'!K76</f>
        <v>29.667708078894687</v>
      </c>
      <c r="L120" s="280">
        <f>'Combustion CO2'!L76</f>
        <v>30.840346353806446</v>
      </c>
      <c r="M120" s="280">
        <f>'Combustion CO2'!M76</f>
        <v>30.390777107441533</v>
      </c>
      <c r="N120" s="280">
        <f>'Combustion CO2'!N76</f>
        <v>30.598758285542431</v>
      </c>
      <c r="O120" s="280">
        <f>'Combustion CO2'!O76</f>
        <v>31.043963055913089</v>
      </c>
      <c r="P120" s="280">
        <f>'Combustion CO2'!P76</f>
        <v>32.340396822593107</v>
      </c>
      <c r="Q120" s="280">
        <f>'Combustion CO2'!Q76</f>
        <v>32.345380523700079</v>
      </c>
      <c r="R120" s="280">
        <f>'Combustion CO2'!R76</f>
        <v>31.466623128123757</v>
      </c>
      <c r="S120" s="280">
        <f>'Combustion CO2'!S76</f>
        <v>31.819150693171292</v>
      </c>
      <c r="T120" s="280">
        <f>'Combustion CO2'!T76</f>
        <v>30.86282488303754</v>
      </c>
      <c r="U120" s="280">
        <f>'Combustion CO2'!U76</f>
        <v>28.977785301980987</v>
      </c>
      <c r="V120" s="280">
        <f>'Combustion CO2'!V76</f>
        <v>29.194406294139284</v>
      </c>
      <c r="W120" s="280">
        <f>'Combustion CO2'!W76</f>
        <v>29.122866885250296</v>
      </c>
      <c r="X120" s="280">
        <f>'Combustion CO2'!X76</f>
        <v>28.589464823242722</v>
      </c>
      <c r="Y120" s="280">
        <f>'Combustion CO2'!Y76</f>
        <v>29.863734621973759</v>
      </c>
      <c r="Z120" s="280">
        <f>'Combustion CO2'!Z76</f>
        <v>28.070166775754295</v>
      </c>
      <c r="AA120" s="280">
        <f>'Combustion CO2'!AA76</f>
        <v>28.563982489108188</v>
      </c>
      <c r="AB120" s="280">
        <f>'Combustion CO2'!AB76</f>
        <v>28.915475634666461</v>
      </c>
      <c r="AC120" s="280">
        <f>'Combustion CO2'!AC76</f>
        <v>28.383866566732596</v>
      </c>
      <c r="AD120" s="280">
        <f>'Combustion CO2'!AD76</f>
        <v>29.007851076241238</v>
      </c>
      <c r="AE120" s="280">
        <f>'Combustion CO2'!AE76</f>
        <v>28.718290747720118</v>
      </c>
      <c r="AF120" s="280">
        <f>'Combustion CO2'!AF76</f>
        <v>22.643265319497907</v>
      </c>
      <c r="AG120" s="280">
        <f>'Combustion CO2'!AG76</f>
        <v>25.369592412136143</v>
      </c>
      <c r="AH120" s="280">
        <f>'Combustion CO2'!AH76</f>
        <v>25.922326415031002</v>
      </c>
      <c r="AI120" s="280">
        <f>'Combustion CO2'!AI76</f>
        <v>25.981513834476111</v>
      </c>
    </row>
    <row r="121" spans="1:57" x14ac:dyDescent="0.4">
      <c r="A121" s="28" t="str">
        <f>'Combustion CO2'!A81</f>
        <v>Electric Power</v>
      </c>
      <c r="B121" s="363">
        <f>'Combustion CO2'!B81</f>
        <v>25.256636732676711</v>
      </c>
      <c r="C121" s="280">
        <f>'Combustion CO2'!C81</f>
        <v>25.914728879913365</v>
      </c>
      <c r="D121" s="280">
        <f>'Combustion CO2'!D81</f>
        <v>24.426681636914616</v>
      </c>
      <c r="E121" s="280">
        <f>'Combustion CO2'!E81</f>
        <v>21.967535985573292</v>
      </c>
      <c r="F121" s="280">
        <f>'Combustion CO2'!F81</f>
        <v>22.308384804598031</v>
      </c>
      <c r="G121" s="280">
        <f>'Combustion CO2'!G81</f>
        <v>21.438788153844321</v>
      </c>
      <c r="H121" s="280">
        <f>'Combustion CO2'!H81</f>
        <v>20.883901096087193</v>
      </c>
      <c r="I121" s="280">
        <f>'Combustion CO2'!I81</f>
        <v>26.163942634042538</v>
      </c>
      <c r="J121" s="280">
        <f>'Combustion CO2'!J81</f>
        <v>26.747611926121515</v>
      </c>
      <c r="K121" s="280">
        <f>'Combustion CO2'!K81</f>
        <v>24.004093488628136</v>
      </c>
      <c r="L121" s="280">
        <f>'Combustion CO2'!L81</f>
        <v>22.176187156381239</v>
      </c>
      <c r="M121" s="280">
        <f>'Combustion CO2'!M81</f>
        <v>21.9644181064916</v>
      </c>
      <c r="N121" s="280">
        <f>'Combustion CO2'!N81</f>
        <v>22.920165736663847</v>
      </c>
      <c r="O121" s="280">
        <f>'Combustion CO2'!O81</f>
        <v>25.00860220508946</v>
      </c>
      <c r="P121" s="280">
        <f>'Combustion CO2'!P81</f>
        <v>23.742061768767062</v>
      </c>
      <c r="Q121" s="280">
        <f>'Combustion CO2'!Q81</f>
        <v>24.508508839562417</v>
      </c>
      <c r="R121" s="280">
        <f>'Combustion CO2'!R81</f>
        <v>21.605252315219431</v>
      </c>
      <c r="S121" s="280">
        <f>'Combustion CO2'!S81</f>
        <v>23.666295740032623</v>
      </c>
      <c r="T121" s="280">
        <f>'Combustion CO2'!T81</f>
        <v>20.168912335399149</v>
      </c>
      <c r="U121" s="280">
        <f>'Combustion CO2'!U81</f>
        <v>17.585116309401926</v>
      </c>
      <c r="V121" s="280">
        <f>'Combustion CO2'!V81</f>
        <v>18.286569094037727</v>
      </c>
      <c r="W121" s="280">
        <f>'Combustion CO2'!W81</f>
        <v>14.354837458195698</v>
      </c>
      <c r="X121" s="280">
        <f>'Combustion CO2'!X81</f>
        <v>12.131402331331717</v>
      </c>
      <c r="Y121" s="280">
        <f>'Combustion CO2'!Y81</f>
        <v>12.659822445437143</v>
      </c>
      <c r="Z121" s="280">
        <f>'Combustion CO2'!Z81</f>
        <v>10.782306921880684</v>
      </c>
      <c r="AA121" s="280">
        <f>'Combustion CO2'!AA81</f>
        <v>11.311329440348851</v>
      </c>
      <c r="AB121" s="280">
        <f>'Combustion CO2'!AB81</f>
        <v>10.704619766914323</v>
      </c>
      <c r="AC121" s="280">
        <f>'Combustion CO2'!AC81</f>
        <v>10.277411017637217</v>
      </c>
      <c r="AD121" s="280">
        <f>'Combustion CO2'!AD81</f>
        <v>7.6499388544811335</v>
      </c>
      <c r="AE121" s="280">
        <f>'Combustion CO2'!AE81</f>
        <v>6.2240808974230486</v>
      </c>
      <c r="AF121" s="280">
        <f>'Combustion CO2'!AF81</f>
        <v>5.7447834902179773</v>
      </c>
      <c r="AG121" s="280">
        <f>'Combustion CO2'!AG81</f>
        <v>6.1409138216974188</v>
      </c>
      <c r="AH121" s="280">
        <f>'Combustion CO2'!AH81</f>
        <v>6.805501872639649</v>
      </c>
      <c r="AI121" s="280">
        <f>'Combustion CO2'!AI81</f>
        <v>5.9727830458898277</v>
      </c>
    </row>
    <row r="122" spans="1:57" x14ac:dyDescent="0.4">
      <c r="A122" s="28" t="s">
        <v>22</v>
      </c>
      <c r="B122" s="1177">
        <f>'NG Sum Distribution PostMeter'!C74/1000000</f>
        <v>2.198937094996199E-3</v>
      </c>
      <c r="C122" s="363">
        <f>'NG Sum Distribution PostMeter'!D74/1000000</f>
        <v>2.1907880336667273E-3</v>
      </c>
      <c r="D122" s="363">
        <f>'NG Sum Distribution PostMeter'!E74/1000000</f>
        <v>2.1971253387307295E-3</v>
      </c>
      <c r="E122" s="363">
        <f>'NG Sum Distribution PostMeter'!F74/1000000</f>
        <v>2.1050910241555915E-3</v>
      </c>
      <c r="F122" s="363">
        <f>'NG Sum Distribution PostMeter'!G74/1000000</f>
        <v>2.0504543671590585E-3</v>
      </c>
      <c r="G122" s="363">
        <f>'NG Sum Distribution PostMeter'!H74/1000000</f>
        <v>2.0277071701114003E-3</v>
      </c>
      <c r="H122" s="363">
        <f>'NG Sum Distribution PostMeter'!I74/1000000</f>
        <v>1.9162992538237595E-3</v>
      </c>
      <c r="I122" s="363">
        <f>'NG Sum Distribution PostMeter'!J74/1000000</f>
        <v>1.8676728613579827E-3</v>
      </c>
      <c r="J122" s="363">
        <f>'NG Sum Distribution PostMeter'!K74/1000000</f>
        <v>1.7824846778924134E-3</v>
      </c>
      <c r="K122" s="363">
        <f>'NG Sum Distribution PostMeter'!L74/1000000</f>
        <v>1.7163866729855344E-3</v>
      </c>
      <c r="L122" s="363">
        <f>'NG Sum Distribution PostMeter'!M74/1000000</f>
        <v>1.6653817162026988E-3</v>
      </c>
      <c r="M122" s="363">
        <f>'NG Sum Distribution PostMeter'!N74/1000000</f>
        <v>1.592128658340743E-3</v>
      </c>
      <c r="N122" s="363">
        <f>'NG Sum Distribution PostMeter'!O74/1000000</f>
        <v>1.5731869594899049E-3</v>
      </c>
      <c r="O122" s="363">
        <f>'NG Sum Distribution PostMeter'!P74/1000000</f>
        <v>1.5120674183537208E-3</v>
      </c>
      <c r="P122" s="363">
        <f>'NG Sum Distribution PostMeter'!Q74/1000000</f>
        <v>1.4852503214146384E-3</v>
      </c>
      <c r="Q122" s="363">
        <f>'NG Sum Distribution PostMeter'!R74/1000000</f>
        <v>1.3750623601824507E-3</v>
      </c>
      <c r="R122" s="363">
        <f>'NG Sum Distribution PostMeter'!S74/1000000</f>
        <v>1.3342756083368032E-3</v>
      </c>
      <c r="S122" s="363">
        <f>'NG Sum Distribution PostMeter'!T74/1000000</f>
        <v>1.2942160662057463E-3</v>
      </c>
      <c r="T122" s="363">
        <f>'NG Sum Distribution PostMeter'!U74/1000000</f>
        <v>9.8007914843779107E-3</v>
      </c>
      <c r="U122" s="363">
        <f>'NG Sum Distribution PostMeter'!V74/1000000</f>
        <v>9.7333859813484181E-3</v>
      </c>
      <c r="V122" s="363">
        <f>'NG Sum Distribution PostMeter'!W74/1000000</f>
        <v>1.8311798202137842E-2</v>
      </c>
      <c r="W122" s="363">
        <f>'NG Sum Distribution PostMeter'!X74/1000000</f>
        <v>1.005889522086993E-3</v>
      </c>
      <c r="X122" s="363">
        <f>'NG Sum Distribution PostMeter'!Y74/1000000</f>
        <v>9.9234648902208895E-4</v>
      </c>
      <c r="Y122" s="363">
        <f>'NG Sum Distribution PostMeter'!Z74/1000000</f>
        <v>9.5824117865688462E-4</v>
      </c>
      <c r="Z122" s="363">
        <f>'NG Sum Distribution PostMeter'!AA74/1000000</f>
        <v>9.0473378770940238E-4</v>
      </c>
      <c r="AA122" s="363">
        <f>'NG Sum Distribution PostMeter'!AB74/1000000</f>
        <v>9.4968500387098455E-3</v>
      </c>
      <c r="AB122" s="363">
        <f>'NG Sum Distribution PostMeter'!AC74/1000000</f>
        <v>9.4776134843976793E-3</v>
      </c>
      <c r="AC122" s="363">
        <f>'NG Sum Distribution PostMeter'!AD74/1000000</f>
        <v>8.7299973616911119E-4</v>
      </c>
      <c r="AD122" s="363">
        <f>'NG Sum Distribution PostMeter'!AE74/1000000</f>
        <v>8.3262245890821675E-4</v>
      </c>
      <c r="AE122" s="363">
        <f>'NG Sum Distribution PostMeter'!AF74/1000000</f>
        <v>3.9106899062003198E-3</v>
      </c>
      <c r="AF122" s="363">
        <f>'NG Sum Distribution PostMeter'!AG74/1000000</f>
        <v>8.1958025903353397E-4</v>
      </c>
      <c r="AG122" s="363">
        <f>'NG Sum Distribution PostMeter'!AH74/1000000</f>
        <v>7.8632511168089385E-4</v>
      </c>
      <c r="AH122" s="363">
        <f>'NG Sum Distribution PostMeter'!AI74/1000000</f>
        <v>1.7825093940015003E-3</v>
      </c>
      <c r="AI122" s="363">
        <f>'NG Sum Distribution PostMeter'!AJ74/1000000</f>
        <v>7.6912657479919584E-4</v>
      </c>
    </row>
    <row r="123" spans="1:57" x14ac:dyDescent="0.4">
      <c r="A123" s="28" t="s">
        <v>5</v>
      </c>
      <c r="B123" s="363">
        <f>'Industrial Process'!B40/1000000</f>
        <v>0.17486870435586824</v>
      </c>
      <c r="C123" s="363">
        <f>'Industrial Process'!C40/1000000</f>
        <v>0.3878304234603735</v>
      </c>
      <c r="D123" s="363">
        <f>'Industrial Process'!D40/1000000</f>
        <v>0.40023247605520762</v>
      </c>
      <c r="E123" s="363">
        <f>'Industrial Process'!E40/1000000</f>
        <v>0.42023687605212945</v>
      </c>
      <c r="F123" s="363">
        <f>'Industrial Process'!F40/1000000</f>
        <v>0.4334889497962397</v>
      </c>
      <c r="G123" s="363">
        <f>'Industrial Process'!G40/1000000</f>
        <v>0.44746344781835184</v>
      </c>
      <c r="H123" s="363">
        <f>'Industrial Process'!H40/1000000</f>
        <v>0.45802929926775171</v>
      </c>
      <c r="I123" s="363">
        <f>'Industrial Process'!I40/1000000</f>
        <v>0.46976739201575396</v>
      </c>
      <c r="J123" s="363">
        <f>'Industrial Process'!J40/1000000</f>
        <v>0.63538096874096284</v>
      </c>
      <c r="K123" s="363">
        <f>'Industrial Process'!K40/1000000</f>
        <v>0.6092394751695932</v>
      </c>
      <c r="L123" s="363">
        <f>'Industrial Process'!L40/1000000</f>
        <v>0.58249075085347612</v>
      </c>
      <c r="M123" s="363">
        <f>'Industrial Process'!M40/1000000</f>
        <v>0.56396567361901784</v>
      </c>
      <c r="N123" s="363">
        <f>'Industrial Process'!N40/1000000</f>
        <v>0.55865880789417932</v>
      </c>
      <c r="O123" s="363">
        <f>'Industrial Process'!O40/1000000</f>
        <v>0.58970609253057016</v>
      </c>
      <c r="P123" s="363">
        <f>'Industrial Process'!P40/1000000</f>
        <v>0.47735351808103949</v>
      </c>
      <c r="Q123" s="363">
        <f>'Industrial Process'!Q40/1000000</f>
        <v>0.46962030387739312</v>
      </c>
      <c r="R123" s="363">
        <f>'Industrial Process'!R40/1000000</f>
        <v>0.50740598296630346</v>
      </c>
      <c r="S123" s="363">
        <f>'Industrial Process'!S40/1000000</f>
        <v>0.53083734118677972</v>
      </c>
      <c r="T123" s="363">
        <f>'Industrial Process'!T40/1000000</f>
        <v>0.49442586019728985</v>
      </c>
      <c r="U123" s="363">
        <f>'Industrial Process'!U40/1000000</f>
        <v>0.44421175763995507</v>
      </c>
      <c r="V123" s="363">
        <f>'Industrial Process'!V40/1000000</f>
        <v>0.33821302954767513</v>
      </c>
      <c r="W123" s="363">
        <f>'Industrial Process'!W40/1000000</f>
        <v>0.29017066105155959</v>
      </c>
      <c r="X123" s="363">
        <f>'Industrial Process'!X40/1000000</f>
        <v>0.26524846563584481</v>
      </c>
      <c r="Y123" s="363">
        <f>'Industrial Process'!Y40/1000000</f>
        <v>0.28619765710258016</v>
      </c>
      <c r="Z123" s="363">
        <f>'Industrial Process'!Z40/1000000</f>
        <v>0.26883302058368164</v>
      </c>
      <c r="AA123" s="363">
        <f>'Industrial Process'!AA40/1000000</f>
        <v>0.31256086558279017</v>
      </c>
      <c r="AB123" s="363">
        <f>'Industrial Process'!AB40/1000000</f>
        <v>0.29477802562555011</v>
      </c>
      <c r="AC123" s="363">
        <f>'Industrial Process'!AC40/1000000</f>
        <v>0.30546786913245677</v>
      </c>
      <c r="AD123" s="363">
        <f>'Industrial Process'!AD40/1000000</f>
        <v>0.32145180707168591</v>
      </c>
      <c r="AE123" s="363">
        <f>'Industrial Process'!AE40/1000000</f>
        <v>0.28466873577995927</v>
      </c>
      <c r="AF123" s="363">
        <f>'Industrial Process'!AF40/1000000</f>
        <v>0.29307563163437833</v>
      </c>
      <c r="AG123" s="363">
        <f>'Industrial Process'!AG40/1000000</f>
        <v>0.30171295462001463</v>
      </c>
      <c r="AH123" s="363">
        <f>'Industrial Process'!AH40/1000000</f>
        <v>0.29028017707405729</v>
      </c>
      <c r="AI123" s="363">
        <f>'Industrial Process'!AI40/1000000</f>
        <v>0.23556022439996074</v>
      </c>
      <c r="BE123" s="12"/>
    </row>
    <row r="124" spans="1:57" x14ac:dyDescent="0.4">
      <c r="A124" s="28" t="s">
        <v>6</v>
      </c>
      <c r="B124" s="363" t="str">
        <f>Agriculture!B49</f>
        <v>value missing</v>
      </c>
      <c r="C124" s="363">
        <f>Agriculture!C49</f>
        <v>2.5486603163083249E-3</v>
      </c>
      <c r="D124" s="363">
        <f>Agriculture!D49</f>
        <v>2.6618489824306751E-3</v>
      </c>
      <c r="E124" s="363">
        <f>Agriculture!E49</f>
        <v>2.0780988841513199E-3</v>
      </c>
      <c r="F124" s="363">
        <f>Agriculture!F49</f>
        <v>2.179395083008255E-3</v>
      </c>
      <c r="G124" s="363">
        <f>Agriculture!G49</f>
        <v>2.787119054099005E-3</v>
      </c>
      <c r="H124" s="363">
        <f>Agriculture!H49</f>
        <v>1.8001400707611361E-3</v>
      </c>
      <c r="I124" s="363">
        <f>Agriculture!I49</f>
        <v>1.9693941758142071E-3</v>
      </c>
      <c r="J124" s="363">
        <f>Agriculture!J49</f>
        <v>2.5539878435997458E-3</v>
      </c>
      <c r="K124" s="363">
        <f>Agriculture!K49</f>
        <v>3.8575289243702559E-3</v>
      </c>
      <c r="L124" s="363">
        <f>Agriculture!L49</f>
        <v>3.2551857026217909E-3</v>
      </c>
      <c r="M124" s="363">
        <f>Agriculture!M49</f>
        <v>3.2328204662977408E-3</v>
      </c>
      <c r="N124" s="363">
        <f>Agriculture!N49</f>
        <v>2.228463152801717E-3</v>
      </c>
      <c r="O124" s="363">
        <f>Agriculture!O49</f>
        <v>2.0115939399437538E-3</v>
      </c>
      <c r="P124" s="363">
        <f>Agriculture!P49</f>
        <v>2.9026441682542558E-3</v>
      </c>
      <c r="Q124" s="363">
        <f>Agriculture!Q49</f>
        <v>2.9861881520457218E-3</v>
      </c>
      <c r="R124" s="363">
        <f>Agriculture!R49</f>
        <v>2.6760472950497442E-3</v>
      </c>
      <c r="S124" s="363">
        <f>Agriculture!S49</f>
        <v>2.8427933109558801E-3</v>
      </c>
      <c r="T124" s="363">
        <f>Agriculture!T49</f>
        <v>2.1178158396080921E-3</v>
      </c>
      <c r="U124" s="363">
        <f>Agriculture!U49</f>
        <v>1.9815088451419758E-3</v>
      </c>
      <c r="V124" s="363">
        <f>Agriculture!V49</f>
        <v>2.4718290462067527E-2</v>
      </c>
      <c r="W124" s="363">
        <f>Agriculture!W49</f>
        <v>1.1739001481750281E-3</v>
      </c>
      <c r="X124" s="363">
        <f>Agriculture!X49</f>
        <v>8.3594278629532182E-4</v>
      </c>
      <c r="Y124" s="363">
        <f>Agriculture!Y49</f>
        <v>8.5555112038465024E-4</v>
      </c>
      <c r="Z124" s="363">
        <f>Agriculture!Z49</f>
        <v>7.197071577610451E-4</v>
      </c>
      <c r="AA124" s="363">
        <f>Agriculture!AA49</f>
        <v>7.1876379690949226E-4</v>
      </c>
      <c r="AB124" s="363">
        <f>Agriculture!AB49</f>
        <v>6.2669364056971793E-4</v>
      </c>
      <c r="AC124" s="363">
        <f>Agriculture!AC49</f>
        <v>7.8454972362728499E-4</v>
      </c>
      <c r="AD124" s="363">
        <f>Agriculture!AD49</f>
        <v>8.0048792265794506E-4</v>
      </c>
      <c r="AE124" s="363">
        <f>Agriculture!AE49</f>
        <v>7.7781776336734675E-4</v>
      </c>
      <c r="AF124" s="363">
        <f>Agriculture!AF49</f>
        <v>7.4234808496037163E-4</v>
      </c>
      <c r="AG124" s="363">
        <f>Agriculture!AG49</f>
        <v>1.2501174337364232E-2</v>
      </c>
      <c r="AH124" s="363">
        <f>Agriculture!AH49</f>
        <v>6.4532529408223131E-4</v>
      </c>
      <c r="AI124" s="363">
        <f>Agriculture!AI49</f>
        <v>5.9120709976140124E-4</v>
      </c>
    </row>
    <row r="125" spans="1:57" x14ac:dyDescent="0.4">
      <c r="A125" s="28" t="s">
        <v>983</v>
      </c>
      <c r="B125" s="363">
        <f>('Solid Waste'!B58+'Solid Waste'!B75)/1000000</f>
        <v>0.99946876474132851</v>
      </c>
      <c r="C125" s="363">
        <f>('Solid Waste'!C58+'Solid Waste'!C75)/1000000</f>
        <v>1.1330580026009949</v>
      </c>
      <c r="D125" s="363">
        <f>('Solid Waste'!D58+'Solid Waste'!D75)/1000000</f>
        <v>1.1748309182462655</v>
      </c>
      <c r="E125" s="363">
        <f>('Solid Waste'!E58+'Solid Waste'!E75)/1000000</f>
        <v>1.2991759126171449</v>
      </c>
      <c r="F125" s="363">
        <f>('Solid Waste'!F58+'Solid Waste'!F75)/1000000</f>
        <v>1.3580477160342892</v>
      </c>
      <c r="G125" s="363">
        <f>('Solid Waste'!G58+'Solid Waste'!G75)/1000000</f>
        <v>1.3368579106654728</v>
      </c>
      <c r="H125" s="363">
        <f>('Solid Waste'!H58+'Solid Waste'!H75)/1000000</f>
        <v>1.5180132808494706</v>
      </c>
      <c r="I125" s="363">
        <f>('Solid Waste'!I58+'Solid Waste'!I75)/1000000</f>
        <v>1.5288190495964726</v>
      </c>
      <c r="J125" s="363">
        <f>('Solid Waste'!J58+'Solid Waste'!J75)/1000000</f>
        <v>1.5145104363123589</v>
      </c>
      <c r="K125" s="363">
        <f>('Solid Waste'!K58+'Solid Waste'!K75)/1000000</f>
        <v>1.53488778764807</v>
      </c>
      <c r="L125" s="363">
        <f>('Solid Waste'!L58+'Solid Waste'!L75)/1000000</f>
        <v>1.6675904480651882</v>
      </c>
      <c r="M125" s="363">
        <f>('Solid Waste'!M58+'Solid Waste'!M75)/1000000</f>
        <v>1.7621531237343047</v>
      </c>
      <c r="N125" s="363">
        <f>('Solid Waste'!N58+'Solid Waste'!N75)/1000000</f>
        <v>1.7485811738135546</v>
      </c>
      <c r="O125" s="363">
        <f>('Solid Waste'!O58+'Solid Waste'!O75)/1000000</f>
        <v>1.7780879575652766</v>
      </c>
      <c r="P125" s="363">
        <f>('Solid Waste'!P58+'Solid Waste'!P75)/1000000</f>
        <v>1.8159322422635376</v>
      </c>
      <c r="Q125" s="363">
        <f>('Solid Waste'!Q58+'Solid Waste'!Q75)/1000000</f>
        <v>1.9390731598711974</v>
      </c>
      <c r="R125" s="363">
        <f>('Solid Waste'!R58+'Solid Waste'!R75)/1000000</f>
        <v>1.9635843665273762</v>
      </c>
      <c r="S125" s="363">
        <f>('Solid Waste'!S58+'Solid Waste'!S75)/1000000</f>
        <v>1.8855880255146853</v>
      </c>
      <c r="T125" s="363">
        <f>('Solid Waste'!T58+'Solid Waste'!T75)/1000000</f>
        <v>2.1873207393437641</v>
      </c>
      <c r="U125" s="363">
        <f>('Solid Waste'!U58+'Solid Waste'!U75)/1000000</f>
        <v>2.1322087978315345</v>
      </c>
      <c r="V125" s="363">
        <f>('Solid Waste'!V58+'Solid Waste'!V75)/1000000</f>
        <v>2.3897903999999999</v>
      </c>
      <c r="W125" s="363">
        <f>('Solid Waste'!W58+'Solid Waste'!W75)/1000000</f>
        <v>1.0922455</v>
      </c>
      <c r="X125" s="363">
        <f>('Solid Waste'!X58+'Solid Waste'!X75)/1000000</f>
        <v>1.090794</v>
      </c>
      <c r="Y125" s="363">
        <f>('Solid Waste'!Y58+'Solid Waste'!Y75)/1000000</f>
        <v>1.1414306999999999</v>
      </c>
      <c r="Z125" s="363">
        <f>('Solid Waste'!Z58+'Solid Waste'!Z75)/1000000</f>
        <v>1.1765118999999999</v>
      </c>
      <c r="AA125" s="363">
        <f>('Solid Waste'!AA58+'Solid Waste'!AA75)/1000000</f>
        <v>1.1808476999999999</v>
      </c>
      <c r="AB125" s="363">
        <f>('Solid Waste'!AB58+'Solid Waste'!AB75)/1000000</f>
        <v>1.2011053999999999</v>
      </c>
      <c r="AC125" s="363">
        <f>('Solid Waste'!AC58+'Solid Waste'!AC75)/1000000</f>
        <v>1.1327828</v>
      </c>
      <c r="AD125" s="363">
        <f>('Solid Waste'!AD58+'Solid Waste'!AD75)/1000000</f>
        <v>1.1407152</v>
      </c>
      <c r="AE125" s="363">
        <f>('Solid Waste'!AE58+'Solid Waste'!AE75)/1000000</f>
        <v>1.0424337000000001</v>
      </c>
      <c r="AF125" s="363">
        <f>('Solid Waste'!AF58+'Solid Waste'!AF75)/1000000</f>
        <v>1.1220368999999999</v>
      </c>
      <c r="AG125" s="363">
        <f>('Solid Waste'!AG58+'Solid Waste'!AG75)/1000000</f>
        <v>1.1877340999999999</v>
      </c>
      <c r="AH125" s="363">
        <f>('Solid Waste'!AH58+'Solid Waste'!AH75)/1000000</f>
        <v>1.2259970999999998</v>
      </c>
      <c r="AI125" s="363">
        <f>('Solid Waste'!AI58+'Solid Waste'!AI75)/1000000</f>
        <v>1.169956</v>
      </c>
    </row>
    <row r="126" spans="1:57" ht="17" x14ac:dyDescent="0.45">
      <c r="A126" s="497" t="s">
        <v>503</v>
      </c>
      <c r="B126" s="359">
        <f t="shared" ref="B126:AD126" si="0">SUM(B117:B125)</f>
        <v>83.895847239273991</v>
      </c>
      <c r="C126" s="359">
        <f t="shared" si="0"/>
        <v>82.439280973406937</v>
      </c>
      <c r="D126" s="359">
        <f t="shared" si="0"/>
        <v>84.075436428388443</v>
      </c>
      <c r="E126" s="359">
        <f t="shared" si="0"/>
        <v>81.359861789517367</v>
      </c>
      <c r="F126" s="359">
        <f t="shared" si="0"/>
        <v>81.794739723416455</v>
      </c>
      <c r="G126" s="359">
        <f t="shared" si="0"/>
        <v>79.382444176503583</v>
      </c>
      <c r="H126" s="359">
        <f t="shared" si="0"/>
        <v>79.693729182225709</v>
      </c>
      <c r="I126" s="359">
        <f t="shared" si="0"/>
        <v>85.657983627594589</v>
      </c>
      <c r="J126" s="359">
        <f t="shared" si="0"/>
        <v>83.89332227117734</v>
      </c>
      <c r="K126" s="359">
        <f t="shared" si="0"/>
        <v>81.498922285744428</v>
      </c>
      <c r="L126" s="359">
        <f t="shared" si="0"/>
        <v>83.093517920381245</v>
      </c>
      <c r="M126" s="359">
        <f t="shared" si="0"/>
        <v>82.968576597891371</v>
      </c>
      <c r="N126" s="359">
        <f t="shared" si="0"/>
        <v>84.067250909326603</v>
      </c>
      <c r="O126" s="359">
        <f t="shared" si="0"/>
        <v>86.309559866608794</v>
      </c>
      <c r="P126" s="359">
        <f t="shared" si="0"/>
        <v>84.181657050058135</v>
      </c>
      <c r="Q126" s="359">
        <f t="shared" si="0"/>
        <v>85.37767760850889</v>
      </c>
      <c r="R126" s="359">
        <f t="shared" si="0"/>
        <v>77.733614529752913</v>
      </c>
      <c r="S126" s="359">
        <f t="shared" si="0"/>
        <v>81.006231359953773</v>
      </c>
      <c r="T126" s="359">
        <f t="shared" si="0"/>
        <v>77.616496449332303</v>
      </c>
      <c r="U126" s="359">
        <f t="shared" si="0"/>
        <v>71.984982000487221</v>
      </c>
      <c r="V126" s="359">
        <f t="shared" si="0"/>
        <v>74.257060192012901</v>
      </c>
      <c r="W126" s="359">
        <f t="shared" si="0"/>
        <v>68.650278988048655</v>
      </c>
      <c r="X126" s="359">
        <f t="shared" si="0"/>
        <v>62.39311414856013</v>
      </c>
      <c r="Y126" s="359">
        <f t="shared" si="0"/>
        <v>66.483443440875277</v>
      </c>
      <c r="Z126" s="359">
        <f t="shared" si="0"/>
        <v>64.458438184126649</v>
      </c>
      <c r="AA126" s="359">
        <f t="shared" si="0"/>
        <v>65.887932043358646</v>
      </c>
      <c r="AB126" s="359">
        <f t="shared" si="0"/>
        <v>62.627936745975894</v>
      </c>
      <c r="AC126" s="359">
        <f t="shared" si="0"/>
        <v>62.977863680660462</v>
      </c>
      <c r="AD126" s="359">
        <f t="shared" si="0"/>
        <v>62.549790172242673</v>
      </c>
      <c r="AE126" s="359">
        <f t="shared" ref="AE126:AH126" si="1">SUM(AE117:AE125)</f>
        <v>61.303518117806661</v>
      </c>
      <c r="AF126" s="359">
        <f t="shared" si="1"/>
        <v>52.285677543838929</v>
      </c>
      <c r="AG126" s="359">
        <f t="shared" si="1"/>
        <v>56.154485899439308</v>
      </c>
      <c r="AH126" s="359">
        <f t="shared" si="1"/>
        <v>58.562695664346876</v>
      </c>
      <c r="AI126" s="359">
        <f t="shared" ref="AI126" si="2">SUM(AI117:AI125)</f>
        <v>55.643864378345249</v>
      </c>
      <c r="AJ126" s="28"/>
    </row>
    <row r="127" spans="1:57" x14ac:dyDescent="0.4">
      <c r="A127" s="196" t="s">
        <v>1063</v>
      </c>
      <c r="B127" s="363"/>
      <c r="C127" s="363"/>
      <c r="D127" s="363"/>
      <c r="E127" s="363"/>
      <c r="F127" s="363"/>
      <c r="G127" s="363"/>
      <c r="H127" s="363"/>
      <c r="I127" s="363"/>
      <c r="J127" s="363"/>
      <c r="K127" s="363"/>
      <c r="L127" s="363"/>
      <c r="M127" s="363"/>
      <c r="N127" s="363"/>
      <c r="O127" s="363"/>
      <c r="P127" s="363"/>
      <c r="Q127" s="363"/>
      <c r="R127" s="363"/>
      <c r="S127" s="363"/>
      <c r="T127" s="363"/>
      <c r="U127" s="363"/>
      <c r="V127" s="363"/>
      <c r="W127" s="363"/>
      <c r="X127" s="363"/>
      <c r="Y127" s="363"/>
      <c r="Z127" s="363"/>
      <c r="AA127" s="363"/>
      <c r="AB127" s="363"/>
      <c r="AC127" s="363"/>
      <c r="AD127" s="363"/>
      <c r="AE127" s="363"/>
      <c r="AF127" s="363"/>
      <c r="AG127" s="363"/>
      <c r="AH127" s="363"/>
      <c r="AI127" s="363"/>
      <c r="AJ127" s="28"/>
    </row>
    <row r="128" spans="1:57" x14ac:dyDescent="0.4">
      <c r="A128" s="493"/>
      <c r="B128" s="363"/>
      <c r="C128" s="363"/>
      <c r="D128" s="363"/>
      <c r="E128" s="363"/>
      <c r="F128" s="363"/>
      <c r="G128" s="363"/>
      <c r="H128" s="363"/>
      <c r="I128" s="363"/>
      <c r="J128" s="363"/>
      <c r="K128" s="363"/>
      <c r="L128" s="363"/>
      <c r="M128" s="363"/>
      <c r="N128" s="363"/>
      <c r="O128" s="363"/>
      <c r="P128" s="363"/>
      <c r="Q128" s="363"/>
      <c r="R128" s="363"/>
      <c r="S128" s="363"/>
      <c r="T128" s="363"/>
      <c r="U128" s="363"/>
      <c r="V128" s="363"/>
      <c r="W128" s="363"/>
      <c r="X128" s="363"/>
      <c r="Y128" s="363"/>
      <c r="Z128" s="363"/>
      <c r="AA128" s="363"/>
      <c r="AB128" s="363"/>
      <c r="AC128" s="363"/>
      <c r="AD128" s="363"/>
      <c r="AE128" s="363"/>
      <c r="AF128" s="363"/>
      <c r="AG128" s="363"/>
      <c r="AH128" s="363"/>
      <c r="AI128" s="363"/>
      <c r="AJ128" s="28"/>
    </row>
    <row r="129" spans="1:40" ht="17" x14ac:dyDescent="0.45">
      <c r="A129" s="88" t="s">
        <v>1029</v>
      </c>
      <c r="B129" s="363"/>
      <c r="C129" s="363"/>
      <c r="D129" s="363"/>
      <c r="E129" s="363"/>
      <c r="F129" s="363"/>
      <c r="G129" s="363"/>
      <c r="H129" s="363"/>
      <c r="I129" s="363"/>
      <c r="J129" s="363"/>
      <c r="K129" s="363"/>
      <c r="L129" s="363"/>
      <c r="M129" s="363"/>
      <c r="N129" s="363"/>
      <c r="O129" s="363"/>
      <c r="P129" s="363"/>
      <c r="Q129" s="363"/>
      <c r="R129" s="363"/>
      <c r="S129" s="363"/>
      <c r="T129" s="363"/>
      <c r="U129" s="363"/>
      <c r="V129" s="363"/>
      <c r="W129" s="363"/>
      <c r="X129" s="363"/>
      <c r="Y129" s="363"/>
      <c r="Z129" s="363"/>
      <c r="AA129" s="363"/>
      <c r="AB129" s="363"/>
      <c r="AC129" s="363"/>
      <c r="AD129" s="363"/>
      <c r="AE129" s="363"/>
      <c r="AF129" s="363"/>
      <c r="AG129" s="363"/>
      <c r="AH129" s="363"/>
      <c r="AI129" s="363"/>
      <c r="AJ129" s="28"/>
    </row>
    <row r="130" spans="1:40" s="86" customFormat="1" ht="16.5" thickBot="1" x14ac:dyDescent="0.45">
      <c r="A130" s="1224" t="s">
        <v>670</v>
      </c>
      <c r="B130" s="1225" t="s">
        <v>391</v>
      </c>
      <c r="C130" s="1225" t="s">
        <v>392</v>
      </c>
      <c r="D130" s="1225" t="s">
        <v>393</v>
      </c>
      <c r="E130" s="1225" t="s">
        <v>394</v>
      </c>
      <c r="F130" s="1225" t="s">
        <v>395</v>
      </c>
      <c r="G130" s="1225" t="s">
        <v>396</v>
      </c>
      <c r="H130" s="1225" t="s">
        <v>397</v>
      </c>
      <c r="I130" s="1225" t="s">
        <v>398</v>
      </c>
      <c r="J130" s="1225" t="s">
        <v>399</v>
      </c>
      <c r="K130" s="1225" t="s">
        <v>400</v>
      </c>
      <c r="L130" s="1225" t="s">
        <v>401</v>
      </c>
      <c r="M130" s="1225" t="s">
        <v>402</v>
      </c>
      <c r="N130" s="1225" t="s">
        <v>403</v>
      </c>
      <c r="O130" s="1225" t="s">
        <v>404</v>
      </c>
      <c r="P130" s="1225" t="s">
        <v>405</v>
      </c>
      <c r="Q130" s="1225" t="s">
        <v>406</v>
      </c>
      <c r="R130" s="1225" t="s">
        <v>407</v>
      </c>
      <c r="S130" s="1225" t="s">
        <v>408</v>
      </c>
      <c r="T130" s="1225" t="s">
        <v>409</v>
      </c>
      <c r="U130" s="1225" t="s">
        <v>410</v>
      </c>
      <c r="V130" s="1225" t="s">
        <v>411</v>
      </c>
      <c r="W130" s="1225" t="s">
        <v>412</v>
      </c>
      <c r="X130" s="1225" t="s">
        <v>413</v>
      </c>
      <c r="Y130" s="1225" t="s">
        <v>414</v>
      </c>
      <c r="Z130" s="1225" t="s">
        <v>415</v>
      </c>
      <c r="AA130" s="1225" t="s">
        <v>416</v>
      </c>
      <c r="AB130" s="1225" t="s">
        <v>417</v>
      </c>
      <c r="AC130" s="1225" t="s">
        <v>418</v>
      </c>
      <c r="AD130" s="1225" t="s">
        <v>419</v>
      </c>
      <c r="AE130" s="1225" t="s">
        <v>420</v>
      </c>
      <c r="AF130" s="1225" t="s">
        <v>421</v>
      </c>
      <c r="AG130" s="1225" t="s">
        <v>422</v>
      </c>
      <c r="AH130" s="1225" t="s">
        <v>423</v>
      </c>
      <c r="AI130" s="1225" t="s">
        <v>424</v>
      </c>
    </row>
    <row r="131" spans="1:40" x14ac:dyDescent="0.4">
      <c r="A131" s="28" t="str">
        <f>'Stationary CH4 and N2O'!A42</f>
        <v>Residential</v>
      </c>
      <c r="B131" s="363">
        <f>'Stationary CH4 and N2O'!B78</f>
        <v>0.17554522475000001</v>
      </c>
      <c r="C131" s="363">
        <f>'Stationary CH4 and N2O'!C78</f>
        <v>0.17788976950000004</v>
      </c>
      <c r="D131" s="363">
        <f>'Stationary CH4 and N2O'!D78</f>
        <v>0.19158834499999994</v>
      </c>
      <c r="E131" s="363">
        <f>'Stationary CH4 and N2O'!E78</f>
        <v>0.19633268725</v>
      </c>
      <c r="F131" s="363">
        <f>'Stationary CH4 and N2O'!F78</f>
        <v>0.18773556149999998</v>
      </c>
      <c r="G131" s="363">
        <f>'Stationary CH4 and N2O'!G78</f>
        <v>0.18322357924999996</v>
      </c>
      <c r="H131" s="363">
        <f>'Stationary CH4 and N2O'!H78</f>
        <v>0.18746267324999999</v>
      </c>
      <c r="I131" s="363">
        <f>'Stationary CH4 and N2O'!I78</f>
        <v>0.14596146899999995</v>
      </c>
      <c r="J131" s="363">
        <f>'Stationary CH4 and N2O'!J78</f>
        <v>0.13106362149999998</v>
      </c>
      <c r="K131" s="363">
        <f>'Stationary CH4 and N2O'!K78</f>
        <v>0.1360629065</v>
      </c>
      <c r="L131" s="363">
        <f>'Stationary CH4 and N2O'!L78</f>
        <v>0.14773084999999997</v>
      </c>
      <c r="M131" s="363">
        <f>'Stationary CH4 and N2O'!M78</f>
        <v>0.12960206674999997</v>
      </c>
      <c r="N131" s="363">
        <f>'Stationary CH4 and N2O'!N78</f>
        <v>0.13195689124999999</v>
      </c>
      <c r="O131" s="363">
        <f>'Stationary CH4 and N2O'!O78</f>
        <v>0.13636771899999997</v>
      </c>
      <c r="P131" s="363">
        <f>'Stationary CH4 and N2O'!P78</f>
        <v>0.13400201324999997</v>
      </c>
      <c r="Q131" s="363">
        <f>'Stationary CH4 and N2O'!Q78</f>
        <v>6.9318095499999996E-2</v>
      </c>
      <c r="R131" s="363">
        <f>'Stationary CH4 and N2O'!R78</f>
        <v>6.0035696249999992E-2</v>
      </c>
      <c r="S131" s="363">
        <f>'Stationary CH4 and N2O'!S78</f>
        <v>6.4219326999999993E-2</v>
      </c>
      <c r="T131" s="363">
        <f>'Stationary CH4 and N2O'!T78</f>
        <v>6.8679364249999986E-2</v>
      </c>
      <c r="U131" s="363">
        <f>'Stationary CH4 and N2O'!U78</f>
        <v>0.11141301849999997</v>
      </c>
      <c r="V131" s="363">
        <f>'Stationary CH4 and N2O'!V78</f>
        <v>0.11619132399999997</v>
      </c>
      <c r="W131" s="363">
        <f>'Stationary CH4 and N2O'!W78</f>
        <v>0.11379180574999997</v>
      </c>
      <c r="X131" s="363">
        <f>'Stationary CH4 and N2O'!X78</f>
        <v>9.5961719499999987E-2</v>
      </c>
      <c r="Y131" s="363">
        <f>'Stationary CH4 and N2O'!Y78</f>
        <v>0.11691266899999998</v>
      </c>
      <c r="Z131" s="363">
        <f>'Stationary CH4 and N2O'!Z78</f>
        <v>0.12185968524999999</v>
      </c>
      <c r="AA131" s="363">
        <f>'Stationary CH4 and N2O'!AA78</f>
        <v>0.11309021799999999</v>
      </c>
      <c r="AB131" s="363">
        <f>'Stationary CH4 and N2O'!AB78</f>
        <v>9.1454188999999991E-2</v>
      </c>
      <c r="AC131" s="363">
        <f>'Stationary CH4 and N2O'!AC78</f>
        <v>9.36847445E-2</v>
      </c>
      <c r="AD131" s="363">
        <f>'Stationary CH4 and N2O'!AD78</f>
        <v>9.6435323499999989E-2</v>
      </c>
      <c r="AE131" s="363">
        <f>'Stationary CH4 and N2O'!AE78</f>
        <v>0.11064475774999999</v>
      </c>
      <c r="AF131" s="363">
        <f>'Stationary CH4 and N2O'!AF78</f>
        <v>0.10108987599999998</v>
      </c>
      <c r="AG131" s="363">
        <f>'Stationary CH4 and N2O'!AG78</f>
        <v>0.10445729925</v>
      </c>
      <c r="AH131" s="363">
        <f>'Stationary CH4 and N2O'!AH78</f>
        <v>0.12332667824999997</v>
      </c>
      <c r="AI131" s="363">
        <f>'Stationary CH4 and N2O'!AI78</f>
        <v>0.10759052499999998</v>
      </c>
      <c r="AJ131" s="28"/>
      <c r="AK131" s="328"/>
    </row>
    <row r="132" spans="1:40" x14ac:dyDescent="0.4">
      <c r="A132" s="28" t="str">
        <f>'Stationary CH4 and N2O'!A45</f>
        <v>Commercial</v>
      </c>
      <c r="B132" s="363">
        <f>'Stationary CH4 and N2O'!B81</f>
        <v>3.9177636249999995E-2</v>
      </c>
      <c r="C132" s="363">
        <f>'Stationary CH4 and N2O'!C81</f>
        <v>4.2314598249999995E-2</v>
      </c>
      <c r="D132" s="363">
        <f>'Stationary CH4 and N2O'!D81</f>
        <v>4.1561888499999991E-2</v>
      </c>
      <c r="E132" s="363">
        <f>'Stationary CH4 and N2O'!E81</f>
        <v>4.2577586749999993E-2</v>
      </c>
      <c r="F132" s="363">
        <f>'Stationary CH4 and N2O'!F81</f>
        <v>4.3600681749999995E-2</v>
      </c>
      <c r="G132" s="363">
        <f>'Stationary CH4 and N2O'!G81</f>
        <v>4.4222040999999997E-2</v>
      </c>
      <c r="H132" s="363">
        <f>'Stationary CH4 and N2O'!H81</f>
        <v>4.4452232499999994E-2</v>
      </c>
      <c r="I132" s="363">
        <f>'Stationary CH4 and N2O'!I81</f>
        <v>4.2709136999999994E-2</v>
      </c>
      <c r="J132" s="363">
        <f>'Stationary CH4 and N2O'!J81</f>
        <v>3.6890897749999992E-2</v>
      </c>
      <c r="K132" s="363">
        <f>'Stationary CH4 and N2O'!K81</f>
        <v>3.2649490499999996E-2</v>
      </c>
      <c r="L132" s="363">
        <f>'Stationary CH4 and N2O'!L81</f>
        <v>3.5957996499999999E-2</v>
      </c>
      <c r="M132" s="363">
        <f>'Stationary CH4 and N2O'!M81</f>
        <v>3.0062046499999995E-2</v>
      </c>
      <c r="N132" s="363">
        <f>'Stationary CH4 and N2O'!N81</f>
        <v>3.0546943499999996E-2</v>
      </c>
      <c r="O132" s="363">
        <f>'Stationary CH4 and N2O'!O81</f>
        <v>3.5501653749999994E-2</v>
      </c>
      <c r="P132" s="363">
        <f>'Stationary CH4 and N2O'!P81</f>
        <v>3.361841225E-2</v>
      </c>
      <c r="Q132" s="363">
        <f>'Stationary CH4 and N2O'!Q81</f>
        <v>2.3220722956117313E-2</v>
      </c>
      <c r="R132" s="363">
        <f>'Stationary CH4 and N2O'!R81</f>
        <v>1.7667052987004925E-2</v>
      </c>
      <c r="S132" s="363">
        <f>'Stationary CH4 and N2O'!S81</f>
        <v>1.8439023930022589E-2</v>
      </c>
      <c r="T132" s="363">
        <f>'Stationary CH4 and N2O'!T81</f>
        <v>1.8896463256820706E-2</v>
      </c>
      <c r="U132" s="363">
        <f>'Stationary CH4 and N2O'!U81</f>
        <v>2.5534018218213252E-2</v>
      </c>
      <c r="V132" s="363">
        <f>'Stationary CH4 and N2O'!V81</f>
        <v>2.8470562119320569E-2</v>
      </c>
      <c r="W132" s="363">
        <f>'Stationary CH4 and N2O'!W81</f>
        <v>2.6272004448129594E-2</v>
      </c>
      <c r="X132" s="363">
        <f>'Stationary CH4 and N2O'!X81</f>
        <v>2.1831388111690275E-2</v>
      </c>
      <c r="Y132" s="363">
        <f>'Stationary CH4 and N2O'!Y81</f>
        <v>2.6713130959450791E-2</v>
      </c>
      <c r="Z132" s="363">
        <f>'Stationary CH4 and N2O'!Z81</f>
        <v>2.7725331932226257E-2</v>
      </c>
      <c r="AA132" s="363">
        <f>'Stationary CH4 and N2O'!AA81</f>
        <v>2.9315723431362305E-2</v>
      </c>
      <c r="AB132" s="363">
        <f>'Stationary CH4 and N2O'!AB81</f>
        <v>2.6543115475487863E-2</v>
      </c>
      <c r="AC132" s="363">
        <f>'Stationary CH4 and N2O'!AC81</f>
        <v>2.7639681503320218E-2</v>
      </c>
      <c r="AD132" s="363">
        <f>'Stationary CH4 and N2O'!AD81</f>
        <v>2.7206511148869069E-2</v>
      </c>
      <c r="AE132" s="363">
        <f>'Stationary CH4 and N2O'!AE81</f>
        <v>2.9014087682705521E-2</v>
      </c>
      <c r="AF132" s="363">
        <f>'Stationary CH4 and N2O'!AF81</f>
        <v>3.1342184294842701E-2</v>
      </c>
      <c r="AG132" s="363">
        <f>'Stationary CH4 and N2O'!AG81</f>
        <v>3.2191734766105012E-2</v>
      </c>
      <c r="AH132" s="363">
        <f>'Stationary CH4 and N2O'!AH81</f>
        <v>3.3884970269636841E-2</v>
      </c>
      <c r="AI132" s="363">
        <f>'Stationary CH4 and N2O'!AI81</f>
        <v>3.2496180186030253E-2</v>
      </c>
      <c r="AJ132" s="28"/>
      <c r="AK132" s="328"/>
      <c r="AL132" s="483"/>
      <c r="AN132" s="354"/>
    </row>
    <row r="133" spans="1:40" x14ac:dyDescent="0.4">
      <c r="A133" s="28" t="str">
        <f>'Stationary CH4 and N2O'!A48</f>
        <v>Industrial</v>
      </c>
      <c r="B133" s="363">
        <f>'Stationary CH4 and N2O'!B84+'Stationary CH4 and N2O'!B98</f>
        <v>7.8727429561641672E-3</v>
      </c>
      <c r="C133" s="363">
        <f>'Stationary CH4 and N2O'!C84+'Stationary CH4 and N2O'!C98</f>
        <v>7.0850053161631548E-3</v>
      </c>
      <c r="D133" s="363">
        <f>'Stationary CH4 and N2O'!D84+'Stationary CH4 and N2O'!D98</f>
        <v>8.1680511041348786E-3</v>
      </c>
      <c r="E133" s="363">
        <f>'Stationary CH4 and N2O'!E84+'Stationary CH4 and N2O'!E98</f>
        <v>8.3478540224361953E-3</v>
      </c>
      <c r="F133" s="363">
        <f>'Stationary CH4 and N2O'!F84+'Stationary CH4 and N2O'!F98</f>
        <v>7.8104745774210029E-3</v>
      </c>
      <c r="G133" s="363">
        <f>'Stationary CH4 and N2O'!G84+'Stationary CH4 and N2O'!G98</f>
        <v>7.8612157255448824E-3</v>
      </c>
      <c r="H133" s="363">
        <f>'Stationary CH4 and N2O'!H84+'Stationary CH4 and N2O'!H98</f>
        <v>7.8042632384274207E-3</v>
      </c>
      <c r="I133" s="363">
        <f>'Stationary CH4 and N2O'!I84+'Stationary CH4 and N2O'!I98</f>
        <v>8.2980388368445804E-3</v>
      </c>
      <c r="J133" s="363">
        <f>'Stationary CH4 and N2O'!J84+'Stationary CH4 and N2O'!J98</f>
        <v>7.3101425464369308E-3</v>
      </c>
      <c r="K133" s="363">
        <f>'Stationary CH4 and N2O'!K84+'Stationary CH4 and N2O'!K98</f>
        <v>7.6258818873707465E-3</v>
      </c>
      <c r="L133" s="363">
        <f>'Stationary CH4 and N2O'!L84+'Stationary CH4 and N2O'!L98</f>
        <v>7.5513699012525106E-3</v>
      </c>
      <c r="M133" s="363">
        <f>'Stationary CH4 and N2O'!M84+'Stationary CH4 and N2O'!M98</f>
        <v>7.2828328359169315E-3</v>
      </c>
      <c r="N133" s="363">
        <f>'Stationary CH4 and N2O'!N84+'Stationary CH4 and N2O'!N98</f>
        <v>5.8901945211969672E-3</v>
      </c>
      <c r="O133" s="363">
        <f>'Stationary CH4 and N2O'!O84+'Stationary CH4 and N2O'!O98</f>
        <v>5.1660448405779647E-3</v>
      </c>
      <c r="P133" s="363">
        <f>'Stationary CH4 and N2O'!P84+'Stationary CH4 and N2O'!P98</f>
        <v>5.2505320837883526E-3</v>
      </c>
      <c r="Q133" s="363">
        <f>'Stationary CH4 and N2O'!Q84+'Stationary CH4 and N2O'!Q98</f>
        <v>5.469193248087892E-3</v>
      </c>
      <c r="R133" s="363">
        <f>'Stationary CH4 and N2O'!R84+'Stationary CH4 and N2O'!R98</f>
        <v>5.4733488497328668E-3</v>
      </c>
      <c r="S133" s="363">
        <f>'Stationary CH4 and N2O'!S84+'Stationary CH4 and N2O'!S98</f>
        <v>5.4235194825502453E-3</v>
      </c>
      <c r="T133" s="363">
        <f>'Stationary CH4 and N2O'!T84+'Stationary CH4 and N2O'!T98</f>
        <v>5.1098565326238212E-3</v>
      </c>
      <c r="U133" s="363">
        <f>'Stationary CH4 and N2O'!U84+'Stationary CH4 and N2O'!U98</f>
        <v>4.1252810574241095E-3</v>
      </c>
      <c r="V133" s="363">
        <f>'Stationary CH4 and N2O'!V84+'Stationary CH4 and N2O'!V98</f>
        <v>6.0184990949357581E-3</v>
      </c>
      <c r="W133" s="363">
        <f>'Stationary CH4 and N2O'!W84+'Stationary CH4 and N2O'!W98</f>
        <v>7.4357571063748693E-3</v>
      </c>
      <c r="X133" s="363">
        <f>'Stationary CH4 and N2O'!X84+'Stationary CH4 and N2O'!X98</f>
        <v>7.0275865575262428E-3</v>
      </c>
      <c r="Y133" s="363">
        <f>'Stationary CH4 and N2O'!Y84+'Stationary CH4 and N2O'!Y98</f>
        <v>7.0812299603999302E-3</v>
      </c>
      <c r="Z133" s="363">
        <f>'Stationary CH4 and N2O'!Z84+'Stationary CH4 and N2O'!Z98</f>
        <v>6.8605880144304663E-3</v>
      </c>
      <c r="AA133" s="363">
        <f>'Stationary CH4 and N2O'!AA84+'Stationary CH4 and N2O'!AA98</f>
        <v>6.8545025887443156E-3</v>
      </c>
      <c r="AB133" s="363">
        <f>'Stationary CH4 and N2O'!AB84+'Stationary CH4 and N2O'!AB98</f>
        <v>6.5289199408465007E-3</v>
      </c>
      <c r="AC133" s="363">
        <f>'Stationary CH4 and N2O'!AC84+'Stationary CH4 and N2O'!AC98</f>
        <v>3.7537356801519701E-3</v>
      </c>
      <c r="AD133" s="363">
        <f>'Stationary CH4 and N2O'!AD84+'Stationary CH4 and N2O'!AD98</f>
        <v>3.7114284788285147E-3</v>
      </c>
      <c r="AE133" s="363">
        <f>'Stationary CH4 and N2O'!AE84+'Stationary CH4 and N2O'!AE98</f>
        <v>3.7598358027213993E-3</v>
      </c>
      <c r="AF133" s="363">
        <f>'Stationary CH4 and N2O'!AF84+'Stationary CH4 and N2O'!AF98</f>
        <v>3.6314518442684273E-3</v>
      </c>
      <c r="AG133" s="363">
        <f>'Stationary CH4 and N2O'!AG84+'Stationary CH4 and N2O'!AG98</f>
        <v>3.7260100765123248E-3</v>
      </c>
      <c r="AH133" s="363">
        <f>'Stationary CH4 and N2O'!AH84+'Stationary CH4 and N2O'!AH98</f>
        <v>4.0420135219699392E-3</v>
      </c>
      <c r="AI133" s="363">
        <f>'Stationary CH4 and N2O'!AI84+'Stationary CH4 and N2O'!AI98</f>
        <v>3.9698296704444701E-3</v>
      </c>
      <c r="AJ133" s="28"/>
      <c r="AK133" s="328"/>
      <c r="AL133" s="483"/>
      <c r="AN133" s="354"/>
    </row>
    <row r="134" spans="1:40" x14ac:dyDescent="0.4">
      <c r="A134" s="28" t="str">
        <f>'Stationary CH4 and N2O'!A51</f>
        <v>Electric Power</v>
      </c>
      <c r="B134" s="363">
        <f>'Stationary CH4 and N2O'!B87</f>
        <v>1.56693015E-2</v>
      </c>
      <c r="C134" s="363">
        <f>'Stationary CH4 and N2O'!C87</f>
        <v>1.6014031249999998E-2</v>
      </c>
      <c r="D134" s="363">
        <f>'Stationary CH4 and N2O'!D87</f>
        <v>1.5561707249999999E-2</v>
      </c>
      <c r="E134" s="363">
        <f>'Stationary CH4 and N2O'!E87</f>
        <v>1.3937455749999999E-2</v>
      </c>
      <c r="F134" s="363">
        <f>'Stationary CH4 and N2O'!F87</f>
        <v>1.3488590499999998E-2</v>
      </c>
      <c r="G134" s="363">
        <f>'Stationary CH4 and N2O'!G87</f>
        <v>1.1606508749999998E-2</v>
      </c>
      <c r="H134" s="363">
        <f>'Stationary CH4 and N2O'!H87</f>
        <v>1.126862625E-2</v>
      </c>
      <c r="I134" s="363">
        <f>'Stationary CH4 and N2O'!I87</f>
        <v>1.5539340199999996E-2</v>
      </c>
      <c r="J134" s="363">
        <f>'Stationary CH4 and N2O'!J87</f>
        <v>1.7946053090000004E-2</v>
      </c>
      <c r="K134" s="363">
        <f>'Stationary CH4 and N2O'!K87</f>
        <v>1.4511070730000001E-2</v>
      </c>
      <c r="L134" s="363">
        <f>'Stationary CH4 and N2O'!L87</f>
        <v>1.2923773230000001E-2</v>
      </c>
      <c r="M134" s="363">
        <f>'Stationary CH4 and N2O'!M87</f>
        <v>1.287430912E-2</v>
      </c>
      <c r="N134" s="363">
        <f>'Stationary CH4 and N2O'!N87</f>
        <v>1.2206380719999998E-2</v>
      </c>
      <c r="O134" s="363">
        <f>'Stationary CH4 and N2O'!O87</f>
        <v>1.3897390859999997E-2</v>
      </c>
      <c r="P134" s="363">
        <f>'Stationary CH4 and N2O'!P87</f>
        <v>1.313429728E-2</v>
      </c>
      <c r="Q134" s="363">
        <f>'Stationary CH4 and N2O'!Q87</f>
        <v>1.317687555E-2</v>
      </c>
      <c r="R134" s="363">
        <f>'Stationary CH4 and N2O'!R87</f>
        <v>1.026063E-2</v>
      </c>
      <c r="S134" s="363">
        <f>'Stationary CH4 and N2O'!S87</f>
        <v>1.1255835049999999E-2</v>
      </c>
      <c r="T134" s="363">
        <f>'Stationary CH4 and N2O'!T87</f>
        <v>9.566780149999999E-3</v>
      </c>
      <c r="U134" s="363">
        <f>'Stationary CH4 and N2O'!U87</f>
        <v>7.9512880599999988E-3</v>
      </c>
      <c r="V134" s="363">
        <f>'Stationary CH4 and N2O'!V87</f>
        <v>8.0604868800000003E-3</v>
      </c>
      <c r="W134" s="363">
        <f>'Stationary CH4 and N2O'!W87</f>
        <v>7.0176863799999989E-3</v>
      </c>
      <c r="X134" s="363">
        <f>'Stationary CH4 and N2O'!X87</f>
        <v>6.3283390600000003E-3</v>
      </c>
      <c r="Y134" s="363">
        <f>'Stationary CH4 and N2O'!Y87</f>
        <v>6.2410814499999998E-3</v>
      </c>
      <c r="Z134" s="363">
        <f>'Stationary CH4 and N2O'!Z87</f>
        <v>6.5282908200000002E-3</v>
      </c>
      <c r="AA134" s="363">
        <f>'Stationary CH4 and N2O'!AA87</f>
        <v>6.58452541E-3</v>
      </c>
      <c r="AB134" s="363">
        <f>'Stationary CH4 and N2O'!AB87</f>
        <v>6.3738951400000004E-3</v>
      </c>
      <c r="AC134" s="363">
        <f>'Stationary CH4 and N2O'!AC87</f>
        <v>6.2776660200000002E-3</v>
      </c>
      <c r="AD134" s="363">
        <f>'Stationary CH4 and N2O'!AD87</f>
        <v>5.2001732499999988E-3</v>
      </c>
      <c r="AE134" s="363">
        <f>'Stationary CH4 and N2O'!AE87</f>
        <v>4.2864332499999991E-3</v>
      </c>
      <c r="AF134" s="363">
        <f>'Stationary CH4 and N2O'!AF87</f>
        <v>4.2248582399999996E-3</v>
      </c>
      <c r="AG134" s="363">
        <f>'Stationary CH4 and N2O'!AG87</f>
        <v>3.9260757899999997E-3</v>
      </c>
      <c r="AH134" s="363">
        <f>'Stationary CH4 and N2O'!AH87</f>
        <v>4.0668780999999999E-3</v>
      </c>
      <c r="AI134" s="363">
        <f>'Stationary CH4 and N2O'!AI87</f>
        <v>3.3376695299999998E-3</v>
      </c>
      <c r="AJ134" s="28"/>
      <c r="AK134" s="328"/>
      <c r="AL134" s="483"/>
      <c r="AN134" s="354"/>
    </row>
    <row r="135" spans="1:40" x14ac:dyDescent="0.4">
      <c r="A135" s="28" t="s">
        <v>983</v>
      </c>
      <c r="B135" s="363">
        <f>('Solid Waste'!B62+'Solid Waste'!B76)/1000000</f>
        <v>3.2896944712290607E-3</v>
      </c>
      <c r="C135" s="363">
        <f>('Solid Waste'!C62+'Solid Waste'!C76)/1000000</f>
        <v>3.3679737516997023E-3</v>
      </c>
      <c r="D135" s="363">
        <f>('Solid Waste'!D62+'Solid Waste'!D76)/1000000</f>
        <v>4.1287847595281027E-3</v>
      </c>
      <c r="E135" s="363">
        <f>('Solid Waste'!E62+'Solid Waste'!E76)/1000000</f>
        <v>3.5798186538104028E-3</v>
      </c>
      <c r="F135" s="363">
        <f>('Solid Waste'!F62+'Solid Waste'!F76)/1000000</f>
        <v>3.8261329625114038E-3</v>
      </c>
      <c r="G135" s="363">
        <f>('Solid Waste'!G62+'Solid Waste'!G76)/1000000</f>
        <v>3.6399243876602642E-3</v>
      </c>
      <c r="H135" s="363">
        <f>('Solid Waste'!H62+'Solid Waste'!H76)/1000000</f>
        <v>3.9035856511550038E-3</v>
      </c>
      <c r="I135" s="363">
        <f>('Solid Waste'!I62+'Solid Waste'!I76)/1000000</f>
        <v>3.8478153484161732E-3</v>
      </c>
      <c r="J135" s="363">
        <f>('Solid Waste'!J62+'Solid Waste'!J76)/1000000</f>
        <v>2.2414865404348132E-3</v>
      </c>
      <c r="K135" s="363">
        <f>('Solid Waste'!K62+'Solid Waste'!K76)/1000000</f>
        <v>1.7428457391994937E-3</v>
      </c>
      <c r="L135" s="363">
        <f>('Solid Waste'!L62+'Solid Waste'!L76)/1000000</f>
        <v>1.7145648462192837E-3</v>
      </c>
      <c r="M135" s="363">
        <f>('Solid Waste'!M62+'Solid Waste'!M76)/1000000</f>
        <v>1.9454842048770083E-3</v>
      </c>
      <c r="N135" s="363">
        <f>('Solid Waste'!N62+'Solid Waste'!N76)/1000000</f>
        <v>1.6991395782482922E-3</v>
      </c>
      <c r="O135" s="363">
        <f>('Solid Waste'!O62+'Solid Waste'!O76)/1000000</f>
        <v>1.7118043314205381E-3</v>
      </c>
      <c r="P135" s="363">
        <f>('Solid Waste'!P62+'Solid Waste'!P76)/1000000</f>
        <v>1.6928802547038571E-3</v>
      </c>
      <c r="Q135" s="363">
        <f>('Solid Waste'!Q62+'Solid Waste'!Q76)/1000000</f>
        <v>1.7171453454863251E-3</v>
      </c>
      <c r="R135" s="363">
        <f>('Solid Waste'!R62+'Solid Waste'!R76)/1000000</f>
        <v>2.3853803656492538E-3</v>
      </c>
      <c r="S135" s="363">
        <f>('Solid Waste'!S62+'Solid Waste'!S76)/1000000</f>
        <v>2.4523931561475473E-3</v>
      </c>
      <c r="T135" s="363">
        <f>('Solid Waste'!T62+'Solid Waste'!T76)/1000000</f>
        <v>2.554314777305629E-3</v>
      </c>
      <c r="U135" s="363">
        <f>('Solid Waste'!U62+'Solid Waste'!U76)/1000000</f>
        <v>2.6472070105581927E-3</v>
      </c>
      <c r="V135" s="363">
        <f>('Solid Waste'!V62+'Solid Waste'!V76)/1000000</f>
        <v>2.3496019999999999E-2</v>
      </c>
      <c r="W135" s="363">
        <f>('Solid Waste'!W62+'Solid Waste'!W76)/1000000</f>
        <v>2.3588999999999999E-2</v>
      </c>
      <c r="X135" s="363">
        <f>('Solid Waste'!X62+'Solid Waste'!X76)/1000000</f>
        <v>2.3901499999999999E-2</v>
      </c>
      <c r="Y135" s="363">
        <f>('Solid Waste'!Y62+'Solid Waste'!Y76)/1000000</f>
        <v>2.5735250000000001E-2</v>
      </c>
      <c r="Z135" s="363">
        <f>('Solid Waste'!Z62+'Solid Waste'!Z76)/1000000</f>
        <v>2.5750647999999998E-2</v>
      </c>
      <c r="AA135" s="363">
        <f>('Solid Waste'!AA62+'Solid Waste'!AA76)/1000000</f>
        <v>2.5479999999999999E-2</v>
      </c>
      <c r="AB135" s="363">
        <f>('Solid Waste'!AB62+'Solid Waste'!AB76)/1000000</f>
        <v>2.5267358E-2</v>
      </c>
      <c r="AC135" s="363">
        <f>('Solid Waste'!AC62+'Solid Waste'!AC76)/1000000</f>
        <v>2.5188349999999998E-2</v>
      </c>
      <c r="AD135" s="363">
        <f>('Solid Waste'!AD62+'Solid Waste'!AD76)/1000000</f>
        <v>2.5358153999999997E-2</v>
      </c>
      <c r="AE135" s="363">
        <f>('Solid Waste'!AE62+'Solid Waste'!AE76)/1000000</f>
        <v>2.4774931999999996E-2</v>
      </c>
      <c r="AF135" s="363">
        <f>('Solid Waste'!AF62+'Solid Waste'!AF76)/1000000</f>
        <v>2.3303288000000002E-2</v>
      </c>
      <c r="AG135" s="363">
        <f>('Solid Waste'!AG62+'Solid Waste'!AG76)/1000000</f>
        <v>2.4848349999999995E-2</v>
      </c>
      <c r="AH135" s="363">
        <f>('Solid Waste'!AH62+'Solid Waste'!AH76)/1000000</f>
        <v>2.4049496000000004E-2</v>
      </c>
      <c r="AI135" s="363">
        <f>('Solid Waste'!AI62+'Solid Waste'!AI76)/1000000</f>
        <v>2.4105499999999998E-2</v>
      </c>
      <c r="AJ135" s="28"/>
      <c r="AK135" s="328"/>
      <c r="AL135" s="483"/>
      <c r="AN135" s="354"/>
    </row>
    <row r="136" spans="1:40" x14ac:dyDescent="0.4">
      <c r="A136" s="28" t="s">
        <v>15</v>
      </c>
      <c r="B136" s="363">
        <f>'Mobile CH4 and N2O'!B73/1000000</f>
        <v>0.13487797667306803</v>
      </c>
      <c r="C136" s="363">
        <f>'Mobile CH4 and N2O'!C73/1000000</f>
        <v>0.12614760331183733</v>
      </c>
      <c r="D136" s="363">
        <f>'Mobile CH4 and N2O'!D73/1000000</f>
        <v>0.12127463605339153</v>
      </c>
      <c r="E136" s="363">
        <f>'Mobile CH4 and N2O'!E73/1000000</f>
        <v>0.11212060879792646</v>
      </c>
      <c r="F136" s="363">
        <f>'Mobile CH4 and N2O'!F73/1000000</f>
        <v>0.1115332529058605</v>
      </c>
      <c r="G136" s="363">
        <f>'Mobile CH4 and N2O'!G73/1000000</f>
        <v>0.10847444458576416</v>
      </c>
      <c r="H136" s="363">
        <f>'Mobile CH4 and N2O'!H73/1000000</f>
        <v>0.11428099175011003</v>
      </c>
      <c r="I136" s="363">
        <f>'Mobile CH4 and N2O'!I73/1000000</f>
        <v>0.10755132439178958</v>
      </c>
      <c r="J136" s="363">
        <f>'Mobile CH4 and N2O'!J73/1000000</f>
        <v>9.7454713389010558E-2</v>
      </c>
      <c r="K136" s="363">
        <f>'Mobile CH4 and N2O'!K73/1000000</f>
        <v>8.5309902678185348E-2</v>
      </c>
      <c r="L136" s="363">
        <f>'Mobile CH4 and N2O'!L73/1000000</f>
        <v>8.2035882976545127E-2</v>
      </c>
      <c r="M136" s="363">
        <f>'Mobile CH4 and N2O'!M73/1000000</f>
        <v>7.6210210241302839E-2</v>
      </c>
      <c r="N136" s="363">
        <f>'Mobile CH4 and N2O'!N73/1000000</f>
        <v>7.0190453788455981E-2</v>
      </c>
      <c r="O136" s="363">
        <f>'Mobile CH4 and N2O'!O73/1000000</f>
        <v>6.5132354283911092E-2</v>
      </c>
      <c r="P136" s="363">
        <f>'Mobile CH4 and N2O'!P73/1000000</f>
        <v>6.2180365574372364E-2</v>
      </c>
      <c r="Q136" s="363">
        <f>'Mobile CH4 and N2O'!Q73/1000000</f>
        <v>6.2119389164325793E-2</v>
      </c>
      <c r="R136" s="363">
        <f>'Mobile CH4 and N2O'!R73/1000000</f>
        <v>5.8641208432079046E-2</v>
      </c>
      <c r="S136" s="363">
        <f>'Mobile CH4 and N2O'!S73/1000000</f>
        <v>5.3257355657449996E-2</v>
      </c>
      <c r="T136" s="363">
        <f>'Mobile CH4 and N2O'!T73/1000000</f>
        <v>4.9845704508307193E-2</v>
      </c>
      <c r="U136" s="363">
        <f>'Mobile CH4 and N2O'!U73/1000000</f>
        <v>4.6857176690034585E-2</v>
      </c>
      <c r="V136" s="363">
        <f>'Mobile CH4 and N2O'!V73/1000000</f>
        <v>4.5564454516854522E-2</v>
      </c>
      <c r="W136" s="363">
        <f>'Mobile CH4 and N2O'!W73/1000000</f>
        <v>4.5465946200654812E-2</v>
      </c>
      <c r="X136" s="363">
        <f>'Mobile CH4 and N2O'!X73/1000000</f>
        <v>4.0966047512666519E-2</v>
      </c>
      <c r="Y136" s="363">
        <f>'Mobile CH4 and N2O'!Y73/1000000</f>
        <v>4.0489274971579489E-2</v>
      </c>
      <c r="Z136" s="363">
        <f>'Mobile CH4 and N2O'!Z73/1000000</f>
        <v>3.8526966597618291E-2</v>
      </c>
      <c r="AA136" s="363">
        <f>'Mobile CH4 and N2O'!AA73/1000000</f>
        <v>3.2943811885327787E-2</v>
      </c>
      <c r="AB136" s="363">
        <f>'Mobile CH4 and N2O'!AB73/1000000</f>
        <v>3.3910644967054537E-2</v>
      </c>
      <c r="AC136" s="363">
        <f>'Mobile CH4 and N2O'!AC73/1000000</f>
        <v>3.2880565496624124E-2</v>
      </c>
      <c r="AD136" s="363">
        <f>'Mobile CH4 and N2O'!AD73/1000000</f>
        <v>3.0367971833976975E-2</v>
      </c>
      <c r="AE136" s="363">
        <f>'Mobile CH4 and N2O'!AE73/1000000</f>
        <v>3.3435581885481208E-2</v>
      </c>
      <c r="AF136" s="363">
        <f>'Mobile CH4 and N2O'!AF73/1000000</f>
        <v>2.784081357399569E-2</v>
      </c>
      <c r="AG136" s="363">
        <f>'Mobile CH4 and N2O'!AG73/1000000</f>
        <v>3.1285589795506469E-2</v>
      </c>
      <c r="AH136" s="363">
        <f>'Mobile CH4 and N2O'!AH73/1000000</f>
        <v>3.1247623204776604E-2</v>
      </c>
      <c r="AI136" s="363">
        <f>'Mobile CH4 and N2O'!AI73/1000000</f>
        <v>2.9274631292007858E-2</v>
      </c>
      <c r="AJ136" s="28"/>
      <c r="AK136" s="328"/>
      <c r="AL136" s="483"/>
      <c r="AN136" s="354"/>
    </row>
    <row r="137" spans="1:40" x14ac:dyDescent="0.4">
      <c r="A137" s="28" t="s">
        <v>22</v>
      </c>
      <c r="B137" s="363">
        <f>'NG Sum Distribution PostMeter'!C66*$B$189/1000000</f>
        <v>1.8655661887706061</v>
      </c>
      <c r="C137" s="363">
        <f>'NG Sum Distribution PostMeter'!D66*$B$189/1000000</f>
        <v>1.8506966378640823</v>
      </c>
      <c r="D137" s="363">
        <f>'NG Sum Distribution PostMeter'!E66*$B$189/1000000</f>
        <v>1.8375772302978277</v>
      </c>
      <c r="E137" s="363">
        <f>'NG Sum Distribution PostMeter'!F66*$B$189/1000000</f>
        <v>1.7592393700117972</v>
      </c>
      <c r="F137" s="363">
        <f>'NG Sum Distribution PostMeter'!G66*$B$189/1000000</f>
        <v>1.7028649067272885</v>
      </c>
      <c r="G137" s="363">
        <f>'NG Sum Distribution PostMeter'!H66*$B$189/1000000</f>
        <v>1.6689425584369191</v>
      </c>
      <c r="H137" s="363">
        <f>'NG Sum Distribution PostMeter'!I66*$B$189/1000000</f>
        <v>1.5905385503758946</v>
      </c>
      <c r="I137" s="363">
        <f>'NG Sum Distribution PostMeter'!J66*$B$189/1000000</f>
        <v>1.5393009272276919</v>
      </c>
      <c r="J137" s="363">
        <f>'NG Sum Distribution PostMeter'!K66*$B$189/1000000</f>
        <v>1.4801125056209867</v>
      </c>
      <c r="K137" s="363">
        <f>'NG Sum Distribution PostMeter'!L66*$B$189/1000000</f>
        <v>1.4211809516278173</v>
      </c>
      <c r="L137" s="363">
        <f>'NG Sum Distribution PostMeter'!M66*$B$189/1000000</f>
        <v>1.3832387647956992</v>
      </c>
      <c r="M137" s="363">
        <f>'NG Sum Distribution PostMeter'!N66*$B$189/1000000</f>
        <v>1.313270757378195</v>
      </c>
      <c r="N137" s="363">
        <f>'NG Sum Distribution PostMeter'!O66*$B$189/1000000</f>
        <v>1.2759905436855268</v>
      </c>
      <c r="O137" s="363">
        <f>'NG Sum Distribution PostMeter'!P66*$B$189/1000000</f>
        <v>1.2233714279685419</v>
      </c>
      <c r="P137" s="363">
        <f>'NG Sum Distribution PostMeter'!Q66*$B$189/1000000</f>
        <v>1.2081602004917313</v>
      </c>
      <c r="Q137" s="363">
        <f>'NG Sum Distribution PostMeter'!R66*$B$189/1000000</f>
        <v>1.1153939489343565</v>
      </c>
      <c r="R137" s="363">
        <f>'NG Sum Distribution PostMeter'!S66*$B$189/1000000</f>
        <v>1.0760511813442926</v>
      </c>
      <c r="S137" s="363">
        <f>'NG Sum Distribution PostMeter'!T66*$B$189/1000000</f>
        <v>1.032807889518677</v>
      </c>
      <c r="T137" s="363">
        <f>'NG Sum Distribution PostMeter'!U66*$B$189/1000000</f>
        <v>1.0163347987265705</v>
      </c>
      <c r="U137" s="363">
        <f>'NG Sum Distribution PostMeter'!V66*$B$189/1000000</f>
        <v>0.96600872408094329</v>
      </c>
      <c r="V137" s="363">
        <f>'NG Sum Distribution PostMeter'!W66*$B$189/1000000</f>
        <v>0.96820601380727334</v>
      </c>
      <c r="W137" s="363">
        <f>'NG Sum Distribution PostMeter'!X66*$B$189/1000000</f>
        <v>0.79898201706304672</v>
      </c>
      <c r="X137" s="363">
        <f>'NG Sum Distribution PostMeter'!Y66*$B$189/1000000</f>
        <v>0.7988121418015206</v>
      </c>
      <c r="Y137" s="363">
        <f>'NG Sum Distribution PostMeter'!Z66*$B$189/1000000</f>
        <v>0.78391243041660641</v>
      </c>
      <c r="Z137" s="363">
        <f>'NG Sum Distribution PostMeter'!AA66*$B$189/1000000</f>
        <v>0.75886420085410888</v>
      </c>
      <c r="AA137" s="363">
        <f>'NG Sum Distribution PostMeter'!AB66*$B$189/1000000</f>
        <v>0.78806436013320413</v>
      </c>
      <c r="AB137" s="363">
        <f>'NG Sum Distribution PostMeter'!AC66*$B$189/1000000</f>
        <v>0.76768594207415419</v>
      </c>
      <c r="AC137" s="363">
        <f>'NG Sum Distribution PostMeter'!AD66*$B$189/1000000</f>
        <v>0.73437208802783382</v>
      </c>
      <c r="AD137" s="363">
        <f>'NG Sum Distribution PostMeter'!AE66*$B$189/1000000</f>
        <v>0.71970269765815287</v>
      </c>
      <c r="AE137" s="363">
        <f>'NG Sum Distribution PostMeter'!AF66*$B$189/1000000</f>
        <v>0.71488526092405913</v>
      </c>
      <c r="AF137" s="363">
        <f>'NG Sum Distribution PostMeter'!AG66*$B$189/1000000</f>
        <v>0.74112000478251461</v>
      </c>
      <c r="AG137" s="363">
        <f>'NG Sum Distribution PostMeter'!AH66*$B$189/1000000</f>
        <v>0.71271061057690666</v>
      </c>
      <c r="AH137" s="363">
        <f>'NG Sum Distribution PostMeter'!AI66*$B$189/1000000</f>
        <v>0.73746135953364289</v>
      </c>
      <c r="AI137" s="363">
        <f>'NG Sum Distribution PostMeter'!AJ66*$B$189/1000000</f>
        <v>0.7055939941976983</v>
      </c>
      <c r="AJ137" s="28"/>
      <c r="AK137" s="328"/>
      <c r="AL137" s="483"/>
      <c r="AN137" s="354"/>
    </row>
    <row r="138" spans="1:40" x14ac:dyDescent="0.4">
      <c r="A138" s="28" t="s">
        <v>6</v>
      </c>
      <c r="B138" s="363">
        <f>Agriculture!B47</f>
        <v>0.19364782314664009</v>
      </c>
      <c r="C138" s="363">
        <f>Agriculture!C47</f>
        <v>0.18812571027107258</v>
      </c>
      <c r="D138" s="363">
        <f>Agriculture!D47</f>
        <v>0.18759709171804292</v>
      </c>
      <c r="E138" s="363">
        <f>Agriculture!E47</f>
        <v>0.18727145241236376</v>
      </c>
      <c r="F138" s="363">
        <f>Agriculture!F47</f>
        <v>0.17877038988922098</v>
      </c>
      <c r="G138" s="363">
        <f>Agriculture!G47</f>
        <v>0.17279738371161454</v>
      </c>
      <c r="H138" s="363">
        <f>Agriculture!H47</f>
        <v>0.16926969364229741</v>
      </c>
      <c r="I138" s="363">
        <f>Agriculture!I47</f>
        <v>0.16853312219495115</v>
      </c>
      <c r="J138" s="363">
        <f>Agriculture!J47</f>
        <v>0.17010291000362487</v>
      </c>
      <c r="K138" s="363">
        <f>Agriculture!K47</f>
        <v>0.16670487110214308</v>
      </c>
      <c r="L138" s="363">
        <f>Agriculture!L47</f>
        <v>0.15871038622302372</v>
      </c>
      <c r="M138" s="363">
        <f>Agriculture!M47</f>
        <v>0.14015768081693583</v>
      </c>
      <c r="N138" s="363">
        <f>Agriculture!N47</f>
        <v>0.14522906078860071</v>
      </c>
      <c r="O138" s="363">
        <f>Agriculture!O47</f>
        <v>0.14038850041958489</v>
      </c>
      <c r="P138" s="363">
        <f>Agriculture!P47</f>
        <v>0.13099524091882961</v>
      </c>
      <c r="Q138" s="363">
        <f>Agriculture!Q47</f>
        <v>0.13063478456176927</v>
      </c>
      <c r="R138" s="363">
        <f>Agriculture!R47</f>
        <v>0.12964078739050422</v>
      </c>
      <c r="S138" s="363">
        <f>Agriculture!S47</f>
        <v>0.1256838715820035</v>
      </c>
      <c r="T138" s="363">
        <f>Agriculture!T47</f>
        <v>0.12846411531279736</v>
      </c>
      <c r="U138" s="363">
        <f>Agriculture!U47</f>
        <v>0.12505031022912991</v>
      </c>
      <c r="V138" s="363">
        <f>Agriculture!V47</f>
        <v>0.12253199932295608</v>
      </c>
      <c r="W138" s="363">
        <f>Agriculture!W47</f>
        <v>0.11387849088529813</v>
      </c>
      <c r="X138" s="363">
        <f>Agriculture!X47</f>
        <v>0.11191890542121571</v>
      </c>
      <c r="Y138" s="363">
        <f>Agriculture!Y47</f>
        <v>0.10998938859399592</v>
      </c>
      <c r="Z138" s="363">
        <f>Agriculture!Z47</f>
        <v>0.10792816795588726</v>
      </c>
      <c r="AA138" s="363">
        <f>Agriculture!AA47</f>
        <v>0.11042759993794329</v>
      </c>
      <c r="AB138" s="363">
        <f>Agriculture!AB47</f>
        <v>0.1073975843088158</v>
      </c>
      <c r="AC138" s="363">
        <f>Agriculture!AC47</f>
        <v>0.10114147517847505</v>
      </c>
      <c r="AD138" s="363">
        <f>Agriculture!AD47</f>
        <v>0.10268287973416458</v>
      </c>
      <c r="AE138" s="363">
        <f>Agriculture!AE47</f>
        <v>9.6619555634330737E-2</v>
      </c>
      <c r="AF138" s="363">
        <f>Agriculture!AF47</f>
        <v>9.0958272544135604E-2</v>
      </c>
      <c r="AG138" s="363">
        <f>Agriculture!AG47</f>
        <v>9.4423107879375121E-2</v>
      </c>
      <c r="AH138" s="363">
        <f>Agriculture!AH47</f>
        <v>9.4577999180296704E-2</v>
      </c>
      <c r="AI138" s="363">
        <f>Agriculture!AI47</f>
        <v>9.292292744602583E-2</v>
      </c>
      <c r="AJ138" s="28"/>
      <c r="AK138" s="328"/>
      <c r="AL138" s="483"/>
      <c r="AN138" s="354"/>
    </row>
    <row r="139" spans="1:40" x14ac:dyDescent="0.4">
      <c r="A139" s="28" t="s">
        <v>23</v>
      </c>
      <c r="B139" s="363">
        <f>'Solid Waste'!B49</f>
        <v>2.2601835020631844</v>
      </c>
      <c r="C139" s="363">
        <f>'Solid Waste'!C49</f>
        <v>2.3269894666793713</v>
      </c>
      <c r="D139" s="363">
        <f>'Solid Waste'!D49</f>
        <v>2.2262192096728053</v>
      </c>
      <c r="E139" s="363">
        <f>'Solid Waste'!E49</f>
        <v>2.1085588571841871</v>
      </c>
      <c r="F139" s="363">
        <f>'Solid Waste'!F49</f>
        <v>2.0924738403488514</v>
      </c>
      <c r="G139" s="363">
        <f>'Solid Waste'!G49</f>
        <v>2.103652464643941</v>
      </c>
      <c r="H139" s="363">
        <f>'Solid Waste'!H49</f>
        <v>1.7209673343795986</v>
      </c>
      <c r="I139" s="363">
        <f>'Solid Waste'!I49</f>
        <v>1.2539532356920571</v>
      </c>
      <c r="J139" s="363">
        <f>'Solid Waste'!J49</f>
        <v>1.1706352062367344</v>
      </c>
      <c r="K139" s="363">
        <f>'Solid Waste'!K49</f>
        <v>1.1778919344362087</v>
      </c>
      <c r="L139" s="363">
        <f>'Solid Waste'!L49</f>
        <v>0.80462307594293714</v>
      </c>
      <c r="M139" s="363">
        <f>'Solid Waste'!M49</f>
        <v>0.45974826949539027</v>
      </c>
      <c r="N139" s="363">
        <f>'Solid Waste'!N49</f>
        <v>0.83890015757074898</v>
      </c>
      <c r="O139" s="363">
        <f>'Solid Waste'!O49</f>
        <v>1.3235380540079063</v>
      </c>
      <c r="P139" s="363">
        <f>'Solid Waste'!P49</f>
        <v>1.135695870487013</v>
      </c>
      <c r="Q139" s="363">
        <f>'Solid Waste'!Q49</f>
        <v>1.1455078981811242</v>
      </c>
      <c r="R139" s="363">
        <f>'Solid Waste'!R49</f>
        <v>0.961441169770472</v>
      </c>
      <c r="S139" s="363">
        <f>'Solid Waste'!S49</f>
        <v>0.87961171315885189</v>
      </c>
      <c r="T139" s="363">
        <f>'Solid Waste'!T49</f>
        <v>0.88976236768751571</v>
      </c>
      <c r="U139" s="363">
        <f>'Solid Waste'!U49</f>
        <v>0.93481484197799958</v>
      </c>
      <c r="V139" s="363">
        <f>'Solid Waste'!V49</f>
        <v>0.44999630000000002</v>
      </c>
      <c r="W139" s="363">
        <f>'Solid Waste'!W49</f>
        <v>0.46108462380952381</v>
      </c>
      <c r="X139" s="363">
        <f>'Solid Waste'!X49</f>
        <v>0.50753907857142855</v>
      </c>
      <c r="Y139" s="363">
        <f>'Solid Waste'!Y49</f>
        <v>0.40803812317999999</v>
      </c>
      <c r="Z139" s="363">
        <f>'Solid Waste'!Z49</f>
        <v>0.3528539</v>
      </c>
      <c r="AA139" s="363">
        <f>'Solid Waste'!AA49</f>
        <v>0.3609733</v>
      </c>
      <c r="AB139" s="363">
        <f>'Solid Waste'!AB49</f>
        <v>0.32664349999999998</v>
      </c>
      <c r="AC139" s="363">
        <f>'Solid Waste'!AC49</f>
        <v>0.31026300000000001</v>
      </c>
      <c r="AD139" s="363">
        <f>'Solid Waste'!AD49</f>
        <v>0.304452</v>
      </c>
      <c r="AE139" s="363">
        <f>'Solid Waste'!AE49</f>
        <v>0.304172</v>
      </c>
      <c r="AF139" s="363">
        <f>'Solid Waste'!AF49</f>
        <v>0.27229040000000004</v>
      </c>
      <c r="AG139" s="363">
        <f>'Solid Waste'!AG49</f>
        <v>0.17716119999999999</v>
      </c>
      <c r="AH139" s="363">
        <f>'Solid Waste'!AH49</f>
        <v>0.1642256</v>
      </c>
      <c r="AI139" s="363">
        <f>'Solid Waste'!AI49</f>
        <v>0.14990019999999998</v>
      </c>
      <c r="AJ139" s="28"/>
      <c r="AK139" s="328"/>
    </row>
    <row r="140" spans="1:40" ht="15" customHeight="1" x14ac:dyDescent="0.4">
      <c r="A140" s="28" t="s">
        <v>24</v>
      </c>
      <c r="B140" s="363">
        <f>Wastewater!B35</f>
        <v>0.48032331311249982</v>
      </c>
      <c r="C140" s="363">
        <f>Wastewater!C35</f>
        <v>0.52022709604799988</v>
      </c>
      <c r="D140" s="363">
        <f>Wastewater!D35</f>
        <v>0.51977803917599996</v>
      </c>
      <c r="E140" s="363">
        <f>Wastewater!E35</f>
        <v>0.52128790401599989</v>
      </c>
      <c r="F140" s="363">
        <f>Wastewater!F35</f>
        <v>0.52306297084799991</v>
      </c>
      <c r="G140" s="363">
        <f>Wastewater!G35</f>
        <v>0.52574994054000013</v>
      </c>
      <c r="H140" s="363">
        <f>Wastewater!H35</f>
        <v>0.52774962253199997</v>
      </c>
      <c r="I140" s="363">
        <f>Wastewater!I35</f>
        <v>0.5303585406239999</v>
      </c>
      <c r="J140" s="363">
        <f>Wastewater!J35</f>
        <v>0.5328675526679999</v>
      </c>
      <c r="K140" s="363">
        <f>Wastewater!K35</f>
        <v>0.53553535635600003</v>
      </c>
      <c r="L140" s="363">
        <f>Wastewater!L35</f>
        <v>0.2952990252043875</v>
      </c>
      <c r="M140" s="363">
        <f>Wastewater!M35</f>
        <v>0.29737298357008318</v>
      </c>
      <c r="N140" s="363">
        <f>Wastewater!N35</f>
        <v>0.29856920169024265</v>
      </c>
      <c r="O140" s="363">
        <f>Wastewater!O35</f>
        <v>0.29895892170091132</v>
      </c>
      <c r="P140" s="363">
        <f>Wastewater!P35</f>
        <v>0.29877206773366688</v>
      </c>
      <c r="Q140" s="363">
        <f>Wastewater!Q35</f>
        <v>0.29863571786838483</v>
      </c>
      <c r="R140" s="363">
        <f>Wastewater!R35</f>
        <v>0.30012054681658556</v>
      </c>
      <c r="S140" s="363">
        <f>Wastewater!S35</f>
        <v>0.30164500012206114</v>
      </c>
      <c r="T140" s="363">
        <f>Wastewater!T35</f>
        <v>0.30370150347378322</v>
      </c>
      <c r="U140" s="363">
        <f>Wastewater!U35</f>
        <v>0.30602161692036522</v>
      </c>
      <c r="V140" s="363">
        <f>Wastewater!V35</f>
        <v>0.30375472125424513</v>
      </c>
      <c r="W140" s="363">
        <f>Wastewater!W35</f>
        <v>0.30537926427558215</v>
      </c>
      <c r="X140" s="363">
        <f>Wastewater!X35</f>
        <v>0.30700527827738122</v>
      </c>
      <c r="Y140" s="363">
        <f>Wastewater!Y35</f>
        <v>0.30863075151797859</v>
      </c>
      <c r="Z140" s="363">
        <f>Wastewater!Z35</f>
        <v>0.30559615128146161</v>
      </c>
      <c r="AA140" s="363">
        <f>Wastewater!AA35</f>
        <v>0.30719126821157544</v>
      </c>
      <c r="AB140" s="363">
        <f>Wastewater!AB35</f>
        <v>0.30878831662112022</v>
      </c>
      <c r="AC140" s="363">
        <f>Wastewater!AC35</f>
        <v>0.31038370272612481</v>
      </c>
      <c r="AD140" s="363">
        <f>Wastewater!AD35</f>
        <v>0.31197918480969755</v>
      </c>
      <c r="AE140" s="363">
        <f>Wastewater!AE35</f>
        <v>0.31357701518346753</v>
      </c>
      <c r="AF140" s="363">
        <f>Wastewater!AF35</f>
        <v>0.32052787527845111</v>
      </c>
      <c r="AG140" s="363">
        <f>Wastewater!AG35</f>
        <v>0.31884968772864064</v>
      </c>
      <c r="AH140" s="363">
        <f>Wastewater!AH35</f>
        <v>0.31879191230340648</v>
      </c>
      <c r="AI140" s="363">
        <f>Wastewater!AI35</f>
        <v>0.31959146188578752</v>
      </c>
      <c r="AJ140" s="28"/>
      <c r="AK140" s="328"/>
    </row>
    <row r="141" spans="1:40" ht="17" x14ac:dyDescent="0.45">
      <c r="A141" s="160" t="s">
        <v>504</v>
      </c>
      <c r="B141" s="359">
        <f>SUM(B131:B140)</f>
        <v>5.1761534036933918</v>
      </c>
      <c r="C141" s="359">
        <f t="shared" ref="C141:X141" si="3">SUM(C131:C140)</f>
        <v>5.2588578922422258</v>
      </c>
      <c r="D141" s="359">
        <f t="shared" si="3"/>
        <v>5.1534549835317298</v>
      </c>
      <c r="E141" s="359">
        <f t="shared" si="3"/>
        <v>4.9532535948485208</v>
      </c>
      <c r="F141" s="359">
        <f t="shared" si="3"/>
        <v>4.8651668020091536</v>
      </c>
      <c r="G141" s="359">
        <f t="shared" si="3"/>
        <v>4.8301700610314438</v>
      </c>
      <c r="H141" s="359">
        <f t="shared" si="3"/>
        <v>4.377697573569483</v>
      </c>
      <c r="I141" s="359">
        <f t="shared" si="3"/>
        <v>3.8160529505157501</v>
      </c>
      <c r="J141" s="359">
        <f t="shared" si="3"/>
        <v>3.6466250893452283</v>
      </c>
      <c r="K141" s="359">
        <f t="shared" si="3"/>
        <v>3.5792152115569245</v>
      </c>
      <c r="L141" s="359">
        <f t="shared" si="3"/>
        <v>2.9297856896200645</v>
      </c>
      <c r="M141" s="359">
        <f t="shared" si="3"/>
        <v>2.4685266409127014</v>
      </c>
      <c r="N141" s="359">
        <f t="shared" si="3"/>
        <v>2.8111789670930203</v>
      </c>
      <c r="O141" s="359">
        <f t="shared" si="3"/>
        <v>3.2440338711628542</v>
      </c>
      <c r="P141" s="359">
        <f t="shared" si="3"/>
        <v>3.0235018803241052</v>
      </c>
      <c r="Q141" s="359">
        <f t="shared" si="3"/>
        <v>2.8651937713096518</v>
      </c>
      <c r="R141" s="359">
        <f t="shared" si="3"/>
        <v>2.6217170022063203</v>
      </c>
      <c r="S141" s="359">
        <f t="shared" si="3"/>
        <v>2.4947959286577639</v>
      </c>
      <c r="T141" s="359">
        <f t="shared" si="3"/>
        <v>2.4929152686757243</v>
      </c>
      <c r="U141" s="359">
        <f t="shared" si="3"/>
        <v>2.5304234827446681</v>
      </c>
      <c r="V141" s="359">
        <f t="shared" si="3"/>
        <v>2.0722903809955855</v>
      </c>
      <c r="W141" s="359">
        <f t="shared" si="3"/>
        <v>1.9028965959186102</v>
      </c>
      <c r="X141" s="359">
        <f t="shared" si="3"/>
        <v>1.9212919848134291</v>
      </c>
      <c r="Y141" s="359">
        <f t="shared" ref="Y141:AD141" si="4">SUM(Y131:Y140)</f>
        <v>1.833743330050011</v>
      </c>
      <c r="Z141" s="359">
        <f t="shared" si="4"/>
        <v>1.7524939307057326</v>
      </c>
      <c r="AA141" s="359">
        <f t="shared" si="4"/>
        <v>1.7809253095981572</v>
      </c>
      <c r="AB141" s="359">
        <f t="shared" si="4"/>
        <v>1.7005934655274793</v>
      </c>
      <c r="AC141" s="359">
        <f t="shared" si="4"/>
        <v>1.6455850091325299</v>
      </c>
      <c r="AD141" s="359">
        <f t="shared" si="4"/>
        <v>1.6270963244136896</v>
      </c>
      <c r="AE141" s="359">
        <f t="shared" ref="AE141:AG141" si="5">SUM(AE131:AE140)</f>
        <v>1.6351694601127658</v>
      </c>
      <c r="AF141" s="359">
        <f t="shared" si="5"/>
        <v>1.616329024558208</v>
      </c>
      <c r="AG141" s="359">
        <f t="shared" si="5"/>
        <v>1.5035796658630463</v>
      </c>
      <c r="AH141" s="359">
        <f>SUM(AH131:AH140)</f>
        <v>1.5356745303637294</v>
      </c>
      <c r="AI141" s="359">
        <f t="shared" ref="AI141" si="6">SUM(AI131:AI140)</f>
        <v>1.4687829192079942</v>
      </c>
      <c r="AJ141" s="28"/>
      <c r="AK141" s="328"/>
    </row>
    <row r="142" spans="1:40" x14ac:dyDescent="0.4">
      <c r="A142" s="28" t="s">
        <v>1063</v>
      </c>
      <c r="B142" s="363"/>
      <c r="C142" s="363"/>
      <c r="D142" s="363"/>
      <c r="E142" s="363"/>
      <c r="F142" s="363"/>
      <c r="G142" s="363"/>
      <c r="H142" s="363"/>
      <c r="I142" s="363"/>
      <c r="J142" s="363"/>
      <c r="K142" s="363"/>
      <c r="L142" s="363"/>
      <c r="M142" s="363"/>
      <c r="N142" s="363"/>
      <c r="O142" s="363"/>
      <c r="P142" s="363"/>
      <c r="Q142" s="363"/>
      <c r="R142" s="363"/>
      <c r="S142" s="363"/>
      <c r="T142" s="363"/>
      <c r="U142" s="363"/>
      <c r="V142" s="363"/>
      <c r="W142" s="363"/>
      <c r="X142" s="363"/>
      <c r="Y142" s="363"/>
      <c r="Z142" s="363"/>
      <c r="AA142" s="363"/>
      <c r="AB142" s="363"/>
      <c r="AC142" s="363"/>
      <c r="AD142" s="363"/>
      <c r="AE142" s="363"/>
      <c r="AF142" s="363"/>
      <c r="AG142" s="363"/>
      <c r="AH142" s="363"/>
      <c r="AI142" s="363"/>
      <c r="AJ142" s="28"/>
      <c r="AK142" s="328"/>
    </row>
    <row r="143" spans="1:40" x14ac:dyDescent="0.4">
      <c r="A143" s="493"/>
      <c r="B143" s="363"/>
      <c r="C143" s="363"/>
      <c r="D143" s="363"/>
      <c r="E143" s="363"/>
      <c r="F143" s="363"/>
      <c r="G143" s="363"/>
      <c r="H143" s="363"/>
      <c r="I143" s="363"/>
      <c r="J143" s="363"/>
      <c r="K143" s="363"/>
      <c r="L143" s="363"/>
      <c r="M143" s="363"/>
      <c r="N143" s="363"/>
      <c r="O143" s="363"/>
      <c r="P143" s="363"/>
      <c r="Q143" s="363"/>
      <c r="R143" s="363"/>
      <c r="S143" s="363"/>
      <c r="T143" s="363"/>
      <c r="U143" s="363"/>
      <c r="V143" s="363"/>
      <c r="W143" s="363"/>
      <c r="X143" s="363"/>
      <c r="Y143" s="363"/>
      <c r="Z143" s="363"/>
      <c r="AA143" s="363"/>
      <c r="AB143" s="363"/>
      <c r="AC143" s="363"/>
      <c r="AD143" s="363"/>
      <c r="AE143" s="363"/>
      <c r="AF143" s="363"/>
      <c r="AG143" s="363"/>
      <c r="AH143" s="363"/>
      <c r="AI143" s="363"/>
      <c r="AJ143" s="28"/>
      <c r="AK143" s="328"/>
    </row>
    <row r="144" spans="1:40" ht="17" x14ac:dyDescent="0.45">
      <c r="A144" s="88" t="s">
        <v>1027</v>
      </c>
      <c r="B144" s="363"/>
      <c r="C144" s="363"/>
      <c r="D144" s="363"/>
      <c r="E144" s="363"/>
      <c r="F144" s="363"/>
      <c r="G144" s="363"/>
      <c r="H144" s="363"/>
      <c r="I144" s="363"/>
      <c r="J144" s="363"/>
      <c r="K144" s="363"/>
      <c r="L144" s="363"/>
      <c r="M144" s="363"/>
      <c r="N144" s="363"/>
      <c r="O144" s="363"/>
      <c r="P144" s="363"/>
      <c r="Q144" s="363"/>
      <c r="R144" s="363"/>
      <c r="S144" s="363"/>
      <c r="T144" s="363"/>
      <c r="U144" s="363"/>
      <c r="V144" s="363"/>
      <c r="W144" s="363"/>
      <c r="X144" s="363"/>
      <c r="Y144" s="363"/>
      <c r="Z144" s="363"/>
      <c r="AA144" s="363"/>
      <c r="AB144" s="363"/>
      <c r="AC144" s="363"/>
      <c r="AD144" s="363"/>
      <c r="AE144" s="363"/>
      <c r="AF144" s="363"/>
      <c r="AG144" s="363"/>
      <c r="AH144" s="363"/>
      <c r="AI144" s="363"/>
      <c r="AJ144" s="28"/>
      <c r="AK144" s="328"/>
    </row>
    <row r="145" spans="1:40" s="86" customFormat="1" ht="16.5" thickBot="1" x14ac:dyDescent="0.45">
      <c r="A145" s="1222" t="s">
        <v>670</v>
      </c>
      <c r="B145" s="1223" t="s">
        <v>391</v>
      </c>
      <c r="C145" s="1223" t="s">
        <v>392</v>
      </c>
      <c r="D145" s="1223" t="s">
        <v>393</v>
      </c>
      <c r="E145" s="1223" t="s">
        <v>394</v>
      </c>
      <c r="F145" s="1223" t="s">
        <v>395</v>
      </c>
      <c r="G145" s="1223" t="s">
        <v>396</v>
      </c>
      <c r="H145" s="1223" t="s">
        <v>397</v>
      </c>
      <c r="I145" s="1223" t="s">
        <v>398</v>
      </c>
      <c r="J145" s="1223" t="s">
        <v>399</v>
      </c>
      <c r="K145" s="1223" t="s">
        <v>400</v>
      </c>
      <c r="L145" s="1223" t="s">
        <v>401</v>
      </c>
      <c r="M145" s="1223" t="s">
        <v>402</v>
      </c>
      <c r="N145" s="1223" t="s">
        <v>403</v>
      </c>
      <c r="O145" s="1223" t="s">
        <v>404</v>
      </c>
      <c r="P145" s="1223" t="s">
        <v>405</v>
      </c>
      <c r="Q145" s="1223" t="s">
        <v>406</v>
      </c>
      <c r="R145" s="1223" t="s">
        <v>407</v>
      </c>
      <c r="S145" s="1223" t="s">
        <v>408</v>
      </c>
      <c r="T145" s="1223" t="s">
        <v>409</v>
      </c>
      <c r="U145" s="1223" t="s">
        <v>410</v>
      </c>
      <c r="V145" s="1223" t="s">
        <v>411</v>
      </c>
      <c r="W145" s="1223" t="s">
        <v>412</v>
      </c>
      <c r="X145" s="1223" t="s">
        <v>413</v>
      </c>
      <c r="Y145" s="1223" t="s">
        <v>414</v>
      </c>
      <c r="Z145" s="1223" t="s">
        <v>415</v>
      </c>
      <c r="AA145" s="1223" t="s">
        <v>416</v>
      </c>
      <c r="AB145" s="1223" t="s">
        <v>417</v>
      </c>
      <c r="AC145" s="1223" t="s">
        <v>418</v>
      </c>
      <c r="AD145" s="1223" t="s">
        <v>419</v>
      </c>
      <c r="AE145" s="1223" t="s">
        <v>420</v>
      </c>
      <c r="AF145" s="1223" t="s">
        <v>421</v>
      </c>
      <c r="AG145" s="1223" t="s">
        <v>422</v>
      </c>
      <c r="AH145" s="1223" t="s">
        <v>423</v>
      </c>
      <c r="AI145" s="1223" t="s">
        <v>424</v>
      </c>
    </row>
    <row r="146" spans="1:40" x14ac:dyDescent="0.4">
      <c r="A146" s="28" t="str">
        <f>'Stationary CH4 and N2O'!A42</f>
        <v>Residential</v>
      </c>
      <c r="B146" s="363">
        <f>'Stationary CH4 and N2O'!B77</f>
        <v>4.5917890239999988E-2</v>
      </c>
      <c r="C146" s="363">
        <f>'Stationary CH4 and N2O'!C77</f>
        <v>4.5307249499999994E-2</v>
      </c>
      <c r="D146" s="363">
        <f>'Stationary CH4 and N2O'!D77</f>
        <v>4.971481551999999E-2</v>
      </c>
      <c r="E146" s="363">
        <f>'Stationary CH4 and N2O'!E77</f>
        <v>5.0596505139999984E-2</v>
      </c>
      <c r="F146" s="363">
        <f>'Stationary CH4 and N2O'!F77</f>
        <v>4.933890937999999E-2</v>
      </c>
      <c r="G146" s="363">
        <f>'Stationary CH4 and N2O'!G77</f>
        <v>4.6910510359999991E-2</v>
      </c>
      <c r="H146" s="363">
        <f>'Stationary CH4 and N2O'!H77</f>
        <v>4.6404565959999991E-2</v>
      </c>
      <c r="I146" s="363">
        <f>'Stationary CH4 and N2O'!I77</f>
        <v>3.975857591999999E-2</v>
      </c>
      <c r="J146" s="363">
        <f>'Stationary CH4 and N2O'!J77</f>
        <v>3.6152147139999993E-2</v>
      </c>
      <c r="K146" s="363">
        <f>'Stationary CH4 and N2O'!K77</f>
        <v>3.767082665999999E-2</v>
      </c>
      <c r="L146" s="363">
        <f>'Stationary CH4 and N2O'!L77</f>
        <v>4.1927270919999995E-2</v>
      </c>
      <c r="M146" s="363">
        <f>'Stationary CH4 and N2O'!M77</f>
        <v>4.0406633539999993E-2</v>
      </c>
      <c r="N146" s="363">
        <f>'Stationary CH4 and N2O'!N77</f>
        <v>4.0248267399999989E-2</v>
      </c>
      <c r="O146" s="363">
        <f>'Stationary CH4 and N2O'!O77</f>
        <v>4.0487528619999991E-2</v>
      </c>
      <c r="P146" s="363">
        <f>'Stationary CH4 and N2O'!P77</f>
        <v>3.8758350839999997E-2</v>
      </c>
      <c r="Q146" s="363">
        <f>'Stationary CH4 and N2O'!Q77</f>
        <v>2.7945306109999998E-2</v>
      </c>
      <c r="R146" s="363">
        <f>'Stationary CH4 and N2O'!R77</f>
        <v>2.4063201999999992E-2</v>
      </c>
      <c r="S146" s="363">
        <f>'Stationary CH4 and N2O'!S77</f>
        <v>2.4921111219999993E-2</v>
      </c>
      <c r="T146" s="363">
        <f>'Stationary CH4 and N2O'!T77</f>
        <v>2.5725596489999995E-2</v>
      </c>
      <c r="U146" s="363">
        <f>'Stationary CH4 and N2O'!U77</f>
        <v>3.1276224950000001E-2</v>
      </c>
      <c r="V146" s="363">
        <f>'Stationary CH4 and N2O'!V77</f>
        <v>3.2176330969999993E-2</v>
      </c>
      <c r="W146" s="363">
        <f>'Stationary CH4 and N2O'!W77</f>
        <v>3.1588153469999998E-2</v>
      </c>
      <c r="X146" s="363">
        <f>'Stationary CH4 and N2O'!X77</f>
        <v>2.6550082030000002E-2</v>
      </c>
      <c r="Y146" s="363">
        <f>'Stationary CH4 and N2O'!Y77</f>
        <v>3.0741426699999998E-2</v>
      </c>
      <c r="Z146" s="363">
        <f>'Stationary CH4 and N2O'!Z77</f>
        <v>3.3182119709999992E-2</v>
      </c>
      <c r="AA146" s="363">
        <f>'Stationary CH4 and N2O'!AA77</f>
        <v>3.1611381079999994E-2</v>
      </c>
      <c r="AB146" s="363">
        <f>'Stationary CH4 and N2O'!AB77</f>
        <v>2.5405911029999992E-2</v>
      </c>
      <c r="AC146" s="363">
        <f>'Stationary CH4 and N2O'!AC77</f>
        <v>2.6766516449999996E-2</v>
      </c>
      <c r="AD146" s="363">
        <f>'Stationary CH4 and N2O'!AD77</f>
        <v>2.8194602479999997E-2</v>
      </c>
      <c r="AE146" s="363">
        <f>'Stationary CH4 and N2O'!AE77</f>
        <v>3.0629457669999992E-2</v>
      </c>
      <c r="AF146" s="363">
        <f>'Stationary CH4 and N2O'!AF77</f>
        <v>2.7667661E-2</v>
      </c>
      <c r="AG146" s="363">
        <f>'Stationary CH4 and N2O'!AG77</f>
        <v>2.8653783229999993E-2</v>
      </c>
      <c r="AH146" s="363">
        <f>'Stationary CH4 and N2O'!AH77</f>
        <v>3.1573657259999999E-2</v>
      </c>
      <c r="AI146" s="363">
        <f>'Stationary CH4 and N2O'!AI77</f>
        <v>2.8928691209999993E-2</v>
      </c>
      <c r="AJ146" s="28"/>
      <c r="AK146" s="328"/>
    </row>
    <row r="147" spans="1:40" x14ac:dyDescent="0.4">
      <c r="A147" s="28" t="str">
        <f>'Stationary CH4 and N2O'!A45</f>
        <v>Commercial</v>
      </c>
      <c r="B147" s="363">
        <f>'Stationary CH4 and N2O'!B80</f>
        <v>1.7459787219999998E-2</v>
      </c>
      <c r="C147" s="363">
        <f>'Stationary CH4 and N2O'!C80</f>
        <v>1.8995366319999998E-2</v>
      </c>
      <c r="D147" s="363">
        <f>'Stationary CH4 and N2O'!D80</f>
        <v>1.7514631139999997E-2</v>
      </c>
      <c r="E147" s="363">
        <f>'Stationary CH4 and N2O'!E80</f>
        <v>1.5742106279999998E-2</v>
      </c>
      <c r="F147" s="363">
        <f>'Stationary CH4 and N2O'!F80</f>
        <v>1.5752128019999999E-2</v>
      </c>
      <c r="G147" s="363">
        <f>'Stationary CH4 and N2O'!G80</f>
        <v>1.6254365299999997E-2</v>
      </c>
      <c r="H147" s="363">
        <f>'Stationary CH4 and N2O'!H80</f>
        <v>1.5220326159999997E-2</v>
      </c>
      <c r="I147" s="363">
        <f>'Stationary CH4 and N2O'!I80</f>
        <v>1.4817111299999998E-2</v>
      </c>
      <c r="J147" s="363">
        <f>'Stationary CH4 and N2O'!J80</f>
        <v>1.2826024299999999E-2</v>
      </c>
      <c r="K147" s="363">
        <f>'Stationary CH4 and N2O'!K80</f>
        <v>1.0733101759999999E-2</v>
      </c>
      <c r="L147" s="363">
        <f>'Stationary CH4 and N2O'!L80</f>
        <v>1.3812663559999999E-2</v>
      </c>
      <c r="M147" s="363">
        <f>'Stationary CH4 and N2O'!M80</f>
        <v>1.1020263499999997E-2</v>
      </c>
      <c r="N147" s="363">
        <f>'Stationary CH4 and N2O'!N80</f>
        <v>1.1823573159999998E-2</v>
      </c>
      <c r="O147" s="363">
        <f>'Stationary CH4 and N2O'!O80</f>
        <v>1.4761280999999998E-2</v>
      </c>
      <c r="P147" s="363">
        <f>'Stationary CH4 and N2O'!P80</f>
        <v>1.5637451659999999E-2</v>
      </c>
      <c r="Q147" s="363">
        <f>'Stationary CH4 and N2O'!Q80</f>
        <v>1.292140729643314E-2</v>
      </c>
      <c r="R147" s="363">
        <f>'Stationary CH4 and N2O'!R80</f>
        <v>9.3378826831631689E-3</v>
      </c>
      <c r="S147" s="363">
        <f>'Stationary CH4 and N2O'!S80</f>
        <v>9.1655424515551063E-3</v>
      </c>
      <c r="T147" s="363">
        <f>'Stationary CH4 and N2O'!T80</f>
        <v>8.6231428131900486E-3</v>
      </c>
      <c r="U147" s="363">
        <f>'Stationary CH4 and N2O'!U80</f>
        <v>1.0064609999669535E-2</v>
      </c>
      <c r="V147" s="363">
        <f>'Stationary CH4 and N2O'!V80</f>
        <v>1.2078737435780551E-2</v>
      </c>
      <c r="W147" s="363">
        <f>'Stationary CH4 and N2O'!W80</f>
        <v>1.0330833415856321E-2</v>
      </c>
      <c r="X147" s="363">
        <f>'Stationary CH4 and N2O'!X80</f>
        <v>8.2301132604665796E-3</v>
      </c>
      <c r="Y147" s="363">
        <f>'Stationary CH4 and N2O'!Y80</f>
        <v>9.4496570871615178E-3</v>
      </c>
      <c r="Z147" s="363">
        <f>'Stationary CH4 and N2O'!Z80</f>
        <v>9.8799037263947957E-3</v>
      </c>
      <c r="AA147" s="363">
        <f>'Stationary CH4 and N2O'!AA80</f>
        <v>1.0922616042995017E-2</v>
      </c>
      <c r="AB147" s="363">
        <f>'Stationary CH4 and N2O'!AB80</f>
        <v>9.432159834761554E-3</v>
      </c>
      <c r="AC147" s="363">
        <f>'Stationary CH4 and N2O'!AC80</f>
        <v>9.857170416042272E-3</v>
      </c>
      <c r="AD147" s="363">
        <f>'Stationary CH4 and N2O'!AD80</f>
        <v>9.9701373256807571E-3</v>
      </c>
      <c r="AE147" s="363">
        <f>'Stationary CH4 and N2O'!AE80</f>
        <v>1.0336713708058012E-2</v>
      </c>
      <c r="AF147" s="363">
        <f>'Stationary CH4 and N2O'!AF80</f>
        <v>1.0156094930732416E-2</v>
      </c>
      <c r="AG147" s="363">
        <f>'Stationary CH4 and N2O'!AG80</f>
        <v>1.1140774630244162E-2</v>
      </c>
      <c r="AH147" s="363">
        <f>'Stationary CH4 and N2O'!AH80</f>
        <v>1.1470754813583783E-2</v>
      </c>
      <c r="AI147" s="363">
        <f>'Stationary CH4 and N2O'!AI80</f>
        <v>1.1167178066101699E-2</v>
      </c>
      <c r="AJ147" s="28"/>
      <c r="AK147" s="328"/>
    </row>
    <row r="148" spans="1:40" x14ac:dyDescent="0.4">
      <c r="A148" s="28" t="str">
        <f>'Stationary CH4 and N2O'!A48</f>
        <v>Industrial</v>
      </c>
      <c r="B148" s="363">
        <f>'Stationary CH4 and N2O'!B83+'Stationary CH4 and N2O'!B97</f>
        <v>1.4131042393452437E-2</v>
      </c>
      <c r="C148" s="363">
        <f>'Stationary CH4 and N2O'!C83+'Stationary CH4 and N2O'!C97</f>
        <v>1.1798719047612063E-2</v>
      </c>
      <c r="D148" s="363">
        <f>'Stationary CH4 and N2O'!D83+'Stationary CH4 and N2O'!D97</f>
        <v>1.3981592148201697E-2</v>
      </c>
      <c r="E148" s="363">
        <f>'Stationary CH4 and N2O'!E83+'Stationary CH4 and N2O'!E97</f>
        <v>1.4383048774321845E-2</v>
      </c>
      <c r="F148" s="363">
        <f>'Stationary CH4 and N2O'!F83+'Stationary CH4 and N2O'!F97</f>
        <v>1.3243259798291301E-2</v>
      </c>
      <c r="G148" s="363">
        <f>'Stationary CH4 and N2O'!G83+'Stationary CH4 and N2O'!G97</f>
        <v>1.2900280240725721E-2</v>
      </c>
      <c r="H148" s="363">
        <f>'Stationary CH4 and N2O'!H83+'Stationary CH4 and N2O'!H97</f>
        <v>1.2860582151410097E-2</v>
      </c>
      <c r="I148" s="363">
        <f>'Stationary CH4 and N2O'!I83+'Stationary CH4 and N2O'!I97</f>
        <v>1.3583672526152798E-2</v>
      </c>
      <c r="J148" s="363">
        <f>'Stationary CH4 and N2O'!J83+'Stationary CH4 and N2O'!J97</f>
        <v>1.1959765118774161E-2</v>
      </c>
      <c r="K148" s="363">
        <f>'Stationary CH4 and N2O'!K83+'Stationary CH4 and N2O'!K97</f>
        <v>1.2089303684920694E-2</v>
      </c>
      <c r="L148" s="363">
        <f>'Stationary CH4 and N2O'!L83+'Stationary CH4 and N2O'!L97</f>
        <v>1.2037363500875758E-2</v>
      </c>
      <c r="M148" s="363">
        <f>'Stationary CH4 and N2O'!M83+'Stationary CH4 and N2O'!M97</f>
        <v>1.2135733100120335E-2</v>
      </c>
      <c r="N148" s="363">
        <f>'Stationary CH4 and N2O'!N83+'Stationary CH4 and N2O'!N97</f>
        <v>9.6167330617361862E-3</v>
      </c>
      <c r="O148" s="363">
        <f>'Stationary CH4 and N2O'!O83+'Stationary CH4 and N2O'!O97</f>
        <v>9.022496454110825E-3</v>
      </c>
      <c r="P148" s="363">
        <f>'Stationary CH4 and N2O'!P83+'Stationary CH4 and N2O'!P97</f>
        <v>9.0945846823994956E-3</v>
      </c>
      <c r="Q148" s="363">
        <f>'Stationary CH4 and N2O'!Q83+'Stationary CH4 and N2O'!Q97</f>
        <v>9.4306639920072582E-3</v>
      </c>
      <c r="R148" s="363">
        <f>'Stationary CH4 and N2O'!R83+'Stationary CH4 and N2O'!R97</f>
        <v>9.4533686237641239E-3</v>
      </c>
      <c r="S148" s="363">
        <f>'Stationary CH4 and N2O'!S83+'Stationary CH4 and N2O'!S97</f>
        <v>9.1393633571863944E-3</v>
      </c>
      <c r="T148" s="363">
        <f>'Stationary CH4 and N2O'!T83+'Stationary CH4 and N2O'!T97</f>
        <v>8.5473600798076348E-3</v>
      </c>
      <c r="U148" s="363">
        <f>'Stationary CH4 and N2O'!U83+'Stationary CH4 and N2O'!U97</f>
        <v>6.6950594278552458E-3</v>
      </c>
      <c r="V148" s="363">
        <f>'Stationary CH4 and N2O'!V83+'Stationary CH4 and N2O'!V97</f>
        <v>9.8233150264161254E-3</v>
      </c>
      <c r="W148" s="363">
        <f>'Stationary CH4 and N2O'!W83+'Stationary CH4 and N2O'!W97</f>
        <v>1.2090165123953049E-2</v>
      </c>
      <c r="X148" s="363">
        <f>'Stationary CH4 and N2O'!X83+'Stationary CH4 and N2O'!X97</f>
        <v>1.1250646045110993E-2</v>
      </c>
      <c r="Y148" s="363">
        <f>'Stationary CH4 and N2O'!Y83+'Stationary CH4 and N2O'!Y97</f>
        <v>1.1294841342125054E-2</v>
      </c>
      <c r="Z148" s="363">
        <f>'Stationary CH4 and N2O'!Z83+'Stationary CH4 and N2O'!Z97</f>
        <v>1.093149803757865E-2</v>
      </c>
      <c r="AA148" s="363">
        <f>'Stationary CH4 and N2O'!AA83+'Stationary CH4 and N2O'!AA97</f>
        <v>1.0991207329667489E-2</v>
      </c>
      <c r="AB148" s="363">
        <f>'Stationary CH4 and N2O'!AB83+'Stationary CH4 and N2O'!AB97</f>
        <v>1.0392812129476485E-2</v>
      </c>
      <c r="AC148" s="363">
        <f>'Stationary CH4 and N2O'!AC83+'Stationary CH4 and N2O'!AC97</f>
        <v>6.0226165029398119E-3</v>
      </c>
      <c r="AD148" s="363">
        <f>'Stationary CH4 and N2O'!AD83+'Stationary CH4 and N2O'!AD97</f>
        <v>5.9091424146074734E-3</v>
      </c>
      <c r="AE148" s="363">
        <f>'Stationary CH4 and N2O'!AE83+'Stationary CH4 and N2O'!AE97</f>
        <v>5.9493758465305555E-3</v>
      </c>
      <c r="AF148" s="363">
        <f>'Stationary CH4 and N2O'!AF83+'Stationary CH4 and N2O'!AF97</f>
        <v>5.7599800512178742E-3</v>
      </c>
      <c r="AG148" s="363">
        <f>'Stationary CH4 and N2O'!AG83+'Stationary CH4 and N2O'!AG97</f>
        <v>5.9459999147150298E-3</v>
      </c>
      <c r="AH148" s="363">
        <f>'Stationary CH4 and N2O'!AH83+'Stationary CH4 and N2O'!AH97</f>
        <v>6.4566722812285137E-3</v>
      </c>
      <c r="AI148" s="363">
        <f>'Stationary CH4 and N2O'!AI83+'Stationary CH4 and N2O'!AI97</f>
        <v>6.3736271006569452E-3</v>
      </c>
      <c r="AJ148" s="28"/>
      <c r="AK148" s="328"/>
    </row>
    <row r="149" spans="1:40" x14ac:dyDescent="0.4">
      <c r="A149" s="28" t="str">
        <f>'Stationary CH4 and N2O'!A51</f>
        <v>Electric Power</v>
      </c>
      <c r="B149" s="363">
        <f>'Stationary CH4 and N2O'!B86</f>
        <v>7.8214987199999988E-2</v>
      </c>
      <c r="C149" s="363">
        <f>'Stationary CH4 and N2O'!C86</f>
        <v>8.0808928199999977E-2</v>
      </c>
      <c r="D149" s="363">
        <f>'Stationary CH4 and N2O'!D86</f>
        <v>7.5352592899999987E-2</v>
      </c>
      <c r="E149" s="363">
        <f>'Stationary CH4 and N2O'!E86</f>
        <v>6.7173708740000004E-2</v>
      </c>
      <c r="F149" s="363">
        <f>'Stationary CH4 and N2O'!F86</f>
        <v>6.6989053039999982E-2</v>
      </c>
      <c r="G149" s="363">
        <f>'Stationary CH4 and N2O'!G86</f>
        <v>6.3268731639999992E-2</v>
      </c>
      <c r="H149" s="363">
        <f>'Stationary CH4 and N2O'!H86</f>
        <v>6.6510543264999999E-2</v>
      </c>
      <c r="I149" s="363">
        <f>'Stationary CH4 and N2O'!I86</f>
        <v>8.0656856415999997E-2</v>
      </c>
      <c r="J149" s="363">
        <f>'Stationary CH4 and N2O'!J86</f>
        <v>8.176536438519999E-2</v>
      </c>
      <c r="K149" s="363">
        <f>'Stationary CH4 and N2O'!K86</f>
        <v>7.659398239189999E-2</v>
      </c>
      <c r="L149" s="363">
        <f>'Stationary CH4 and N2O'!L86</f>
        <v>7.3115124431899992E-2</v>
      </c>
      <c r="M149" s="363">
        <f>'Stationary CH4 and N2O'!M86</f>
        <v>7.1260801298599977E-2</v>
      </c>
      <c r="N149" s="363">
        <f>'Stationary CH4 and N2O'!N86</f>
        <v>7.1432957686600004E-2</v>
      </c>
      <c r="O149" s="363">
        <f>'Stationary CH4 and N2O'!O86</f>
        <v>7.1238774300800001E-2</v>
      </c>
      <c r="P149" s="363">
        <f>'Stationary CH4 and N2O'!P86</f>
        <v>6.80834552984E-2</v>
      </c>
      <c r="Q149" s="363">
        <f>'Stationary CH4 and N2O'!Q86</f>
        <v>7.3876555093999985E-2</v>
      </c>
      <c r="R149" s="363">
        <f>'Stationary CH4 and N2O'!R86</f>
        <v>6.3625319929999993E-2</v>
      </c>
      <c r="S149" s="363">
        <f>'Stationary CH4 and N2O'!S86</f>
        <v>6.8698711968999987E-2</v>
      </c>
      <c r="T149" s="363">
        <f>'Stationary CH4 and N2O'!T86</f>
        <v>6.0880237501999994E-2</v>
      </c>
      <c r="U149" s="363">
        <f>'Stationary CH4 and N2O'!U86</f>
        <v>5.1477328801800004E-2</v>
      </c>
      <c r="V149" s="363">
        <f>'Stationary CH4 and N2O'!V86</f>
        <v>4.7443401201399997E-2</v>
      </c>
      <c r="W149" s="363">
        <f>'Stationary CH4 and N2O'!W86</f>
        <v>2.9138240131400001E-2</v>
      </c>
      <c r="X149" s="363">
        <f>'Stationary CH4 and N2O'!X86</f>
        <v>2.0343217071799997E-2</v>
      </c>
      <c r="Y149" s="363">
        <f>'Stationary CH4 and N2O'!Y86</f>
        <v>2.8207791810999996E-2</v>
      </c>
      <c r="Z149" s="363">
        <f>'Stationary CH4 and N2O'!Z86</f>
        <v>2.4583695564599998E-2</v>
      </c>
      <c r="AA149" s="363">
        <f>'Stationary CH4 and N2O'!AA86</f>
        <v>2.1759399044799996E-2</v>
      </c>
      <c r="AB149" s="363">
        <f>'Stationary CH4 and N2O'!AB86</f>
        <v>2.0412107609199995E-2</v>
      </c>
      <c r="AC149" s="363">
        <f>'Stationary CH4 and N2O'!AC86</f>
        <v>1.6455033940599998E-2</v>
      </c>
      <c r="AD149" s="363">
        <f>'Stationary CH4 and N2O'!AD86</f>
        <v>1.0484336574999999E-2</v>
      </c>
      <c r="AE149" s="363">
        <f>'Stationary CH4 and N2O'!AE86</f>
        <v>8.7161736899999988E-3</v>
      </c>
      <c r="AF149" s="363">
        <f>'Stationary CH4 and N2O'!AF86</f>
        <v>8.660073372199999E-3</v>
      </c>
      <c r="AG149" s="363">
        <f>'Stationary CH4 and N2O'!AG86</f>
        <v>7.8466080211999998E-3</v>
      </c>
      <c r="AH149" s="363">
        <f>'Stationary CH4 and N2O'!AH86</f>
        <v>7.7702445079999988E-3</v>
      </c>
      <c r="AI149" s="363">
        <f>'Stationary CH4 and N2O'!AI86</f>
        <v>5.9874058083999992E-3</v>
      </c>
      <c r="AJ149" s="28"/>
      <c r="AK149" s="328"/>
    </row>
    <row r="150" spans="1:40" x14ac:dyDescent="0.4">
      <c r="A150" s="28" t="s">
        <v>5</v>
      </c>
      <c r="B150" s="363">
        <f>'Industrial Process'!B48/1000000</f>
        <v>0</v>
      </c>
      <c r="C150" s="363">
        <f>'Industrial Process'!C48/1000000</f>
        <v>8.6512066184279562E-2</v>
      </c>
      <c r="D150" s="363">
        <f>'Industrial Process'!D48/1000000</f>
        <v>8.0639996051633855E-2</v>
      </c>
      <c r="E150" s="363">
        <f>'Industrial Process'!E48/1000000</f>
        <v>9.1013398689123212E-2</v>
      </c>
      <c r="F150" s="363">
        <f>'Industrial Process'!F48/1000000</f>
        <v>9.0524850533941589E-2</v>
      </c>
      <c r="G150" s="363">
        <f>'Industrial Process'!G48/1000000</f>
        <v>9.0370120970871923E-2</v>
      </c>
      <c r="H150" s="363">
        <f>'Industrial Process'!H48/1000000</f>
        <v>8.9982645152109672E-2</v>
      </c>
      <c r="I150" s="363">
        <f>'Industrial Process'!I48/1000000</f>
        <v>9.5513070611131914E-2</v>
      </c>
      <c r="J150" s="363">
        <f>'Industrial Process'!J48/1000000</f>
        <v>9.4944275337907461E-2</v>
      </c>
      <c r="K150" s="363">
        <f>'Industrial Process'!K48/1000000</f>
        <v>9.4790054715288036E-2</v>
      </c>
      <c r="L150" s="363">
        <f>'Industrial Process'!L48/1000000</f>
        <v>9.4716149389234658E-2</v>
      </c>
      <c r="M150" s="363">
        <f>'Industrial Process'!M48/1000000</f>
        <v>9.3766316156895874E-2</v>
      </c>
      <c r="N150" s="363">
        <f>'Industrial Process'!N48/1000000</f>
        <v>8.3944724303467E-2</v>
      </c>
      <c r="O150" s="363">
        <f>'Industrial Process'!O48/1000000</f>
        <v>8.3705193644816558E-2</v>
      </c>
      <c r="P150" s="363">
        <f>'Industrial Process'!P48/1000000</f>
        <v>8.3153673656456942E-2</v>
      </c>
      <c r="Q150" s="363">
        <f>'Industrial Process'!Q48/1000000</f>
        <v>8.2692353909666463E-2</v>
      </c>
      <c r="R150" s="363">
        <f>'Industrial Process'!R48/1000000</f>
        <v>8.2754075776202779E-2</v>
      </c>
      <c r="S150" s="363">
        <f>'Industrial Process'!S48/1000000</f>
        <v>8.3122605334381233E-2</v>
      </c>
      <c r="T150" s="363">
        <f>'Industrial Process'!T48/1000000</f>
        <v>8.2523283093433791E-2</v>
      </c>
      <c r="U150" s="363">
        <f>'Industrial Process'!U48/1000000</f>
        <v>8.1705868262835546E-2</v>
      </c>
      <c r="V150" s="363">
        <f>'Industrial Process'!V48/1000000</f>
        <v>8.1977609053125122E-2</v>
      </c>
      <c r="W150" s="363">
        <f>'Industrial Process'!W48/1000000</f>
        <v>8.4371851631650813E-2</v>
      </c>
      <c r="X150" s="363">
        <f>'Industrial Process'!X48/1000000</f>
        <v>8.2636113759954777E-2</v>
      </c>
      <c r="Y150" s="363">
        <f>'Industrial Process'!Y48/1000000</f>
        <v>8.2039019868257304E-2</v>
      </c>
      <c r="Z150" s="363">
        <f>'Industrial Process'!Z48/1000000</f>
        <v>8.3293330647875793E-2</v>
      </c>
      <c r="AA150" s="363">
        <f>'Industrial Process'!AA48/1000000</f>
        <v>8.1520848219758579E-2</v>
      </c>
      <c r="AB150" s="363">
        <f>'Industrial Process'!AB48/1000000</f>
        <v>8.07818226458238E-2</v>
      </c>
      <c r="AC150" s="363">
        <f>'Industrial Process'!AC48/1000000</f>
        <v>8.0785013728343638E-2</v>
      </c>
      <c r="AD150" s="363">
        <f>'Industrial Process'!AD48/1000000</f>
        <v>8.0481802147618048E-2</v>
      </c>
      <c r="AE150" s="363">
        <f>'Industrial Process'!AE48/1000000</f>
        <v>8.0037333602807889E-2</v>
      </c>
      <c r="AF150" s="363">
        <f>'Industrial Process'!AF48/1000000</f>
        <v>7.9784790708161635E-2</v>
      </c>
      <c r="AG150" s="363">
        <f>'Industrial Process'!AG48/1000000</f>
        <v>8.0161665691486653E-2</v>
      </c>
      <c r="AH150" s="363">
        <f>'Industrial Process'!AH48/1000000</f>
        <v>8.0341497769797612E-2</v>
      </c>
      <c r="AI150" s="363">
        <f>'Industrial Process'!AI48/1000000</f>
        <v>8.0132215898059592E-2</v>
      </c>
      <c r="AJ150" s="28"/>
      <c r="AK150" s="328"/>
    </row>
    <row r="151" spans="1:40" x14ac:dyDescent="0.4">
      <c r="A151" s="28" t="s">
        <v>983</v>
      </c>
      <c r="B151" s="363">
        <f>('Solid Waste'!B63+'Solid Waste'!B77)/1000000</f>
        <v>3.5949401560400891E-2</v>
      </c>
      <c r="C151" s="363">
        <f>('Solid Waste'!C63+'Solid Waste'!C77)/1000000</f>
        <v>3.7605465119051149E-2</v>
      </c>
      <c r="D151" s="363">
        <f>('Solid Waste'!D63+'Solid Waste'!D77)/1000000</f>
        <v>3.9709178233937471E-2</v>
      </c>
      <c r="E151" s="363">
        <f>('Solid Waste'!E63+'Solid Waste'!E77)/1000000</f>
        <v>4.0948046013550017E-2</v>
      </c>
      <c r="F151" s="363">
        <f>('Solid Waste'!F63+'Solid Waste'!F77)/1000000</f>
        <v>4.2963787706839833E-2</v>
      </c>
      <c r="G151" s="363">
        <f>('Solid Waste'!G63+'Solid Waste'!G77)/1000000</f>
        <v>4.1792313742675856E-2</v>
      </c>
      <c r="H151" s="363">
        <f>('Solid Waste'!H63+'Solid Waste'!H77)/1000000</f>
        <v>4.4292444804419108E-2</v>
      </c>
      <c r="I151" s="363">
        <f>('Solid Waste'!I63+'Solid Waste'!I77)/1000000</f>
        <v>4.3567908382801973E-2</v>
      </c>
      <c r="J151" s="363">
        <f>('Solid Waste'!J63+'Solid Waste'!J77)/1000000</f>
        <v>4.190614094495744E-2</v>
      </c>
      <c r="K151" s="363">
        <f>('Solid Waste'!K63+'Solid Waste'!K77)/1000000</f>
        <v>4.0574837828144902E-2</v>
      </c>
      <c r="L151" s="363">
        <f>('Solid Waste'!L63+'Solid Waste'!L77)/1000000</f>
        <v>4.2149026017334661E-2</v>
      </c>
      <c r="M151" s="363">
        <f>('Solid Waste'!M63+'Solid Waste'!M77)/1000000</f>
        <v>4.3154268603580452E-2</v>
      </c>
      <c r="N151" s="363">
        <f>('Solid Waste'!N63+'Solid Waste'!N77)/1000000</f>
        <v>4.1921690860370543E-2</v>
      </c>
      <c r="O151" s="363">
        <f>('Solid Waste'!O63+'Solid Waste'!O77)/1000000</f>
        <v>4.2469246894513861E-2</v>
      </c>
      <c r="P151" s="363">
        <f>('Solid Waste'!P63+'Solid Waste'!P77)/1000000</f>
        <v>4.1987449044720411E-2</v>
      </c>
      <c r="Q151" s="363">
        <f>('Solid Waste'!Q63+'Solid Waste'!Q77)/1000000</f>
        <v>4.2377589866921063E-2</v>
      </c>
      <c r="R151" s="363">
        <f>('Solid Waste'!R63+'Solid Waste'!R77)/1000000</f>
        <v>4.333280256368531E-2</v>
      </c>
      <c r="S151" s="363">
        <f>('Solid Waste'!S63+'Solid Waste'!S77)/1000000</f>
        <v>4.1578456784550397E-2</v>
      </c>
      <c r="T151" s="363">
        <f>('Solid Waste'!T63+'Solid Waste'!T77)/1000000</f>
        <v>4.5059552682703376E-2</v>
      </c>
      <c r="U151" s="363">
        <f>('Solid Waste'!U63+'Solid Waste'!U77)/1000000</f>
        <v>4.4560465072743506E-2</v>
      </c>
      <c r="V151" s="363">
        <f>('Solid Waste'!V63+'Solid Waste'!V77)/1000000</f>
        <v>3.5849970000000002E-2</v>
      </c>
      <c r="W151" s="363">
        <f>('Solid Waste'!W63+'Solid Waste'!W77)/1000000</f>
        <v>3.6069299999999999E-2</v>
      </c>
      <c r="X151" s="363">
        <f>('Solid Waste'!X63+'Solid Waste'!X77)/1000000</f>
        <v>3.6054300000000004E-2</v>
      </c>
      <c r="Y151" s="363">
        <f>('Solid Waste'!Y63+'Solid Waste'!Y77)/1000000</f>
        <v>3.9425384000000008E-2</v>
      </c>
      <c r="Z151" s="363">
        <f>('Solid Waste'!Z63+'Solid Waste'!Z77)/1000000</f>
        <v>3.9561898000000005E-2</v>
      </c>
      <c r="AA151" s="363">
        <f>('Solid Waste'!AA63+'Solid Waste'!AA77)/1000000</f>
        <v>3.9070508000000004E-2</v>
      </c>
      <c r="AB151" s="363">
        <f>('Solid Waste'!AB63+'Solid Waste'!AB77)/1000000</f>
        <v>3.8712384000000002E-2</v>
      </c>
      <c r="AC151" s="363">
        <f>('Solid Waste'!AC63+'Solid Waste'!AC77)/1000000</f>
        <v>3.8581198000000004E-2</v>
      </c>
      <c r="AD151" s="363">
        <f>('Solid Waste'!AD63+'Solid Waste'!AD77)/1000000</f>
        <v>3.8857443999999998E-2</v>
      </c>
      <c r="AE151" s="363">
        <f>('Solid Waste'!AE63+'Solid Waste'!AE77)/1000000</f>
        <v>3.7999893999999992E-2</v>
      </c>
      <c r="AF151" s="363">
        <f>('Solid Waste'!AF63+'Solid Waste'!AF77)/1000000</f>
        <v>3.5801962E-2</v>
      </c>
      <c r="AG151" s="363">
        <f>('Solid Waste'!AG63+'Solid Waste'!AG77)/1000000</f>
        <v>3.8258695999999995E-2</v>
      </c>
      <c r="AH151" s="363">
        <f>('Solid Waste'!AH63+'Solid Waste'!AH77)/1000000</f>
        <v>3.7439196000000001E-2</v>
      </c>
      <c r="AI151" s="363">
        <f>('Solid Waste'!AI63+'Solid Waste'!AI77)/1000000</f>
        <v>3.7713092000000004E-2</v>
      </c>
      <c r="AJ151" s="28"/>
      <c r="AK151" s="328"/>
      <c r="AL151" s="483"/>
      <c r="AN151" s="354"/>
    </row>
    <row r="152" spans="1:40" x14ac:dyDescent="0.4">
      <c r="A152" s="28" t="s">
        <v>23</v>
      </c>
      <c r="B152" s="363" t="str">
        <f>'Solid Waste'!B39</f>
        <v>N/A</v>
      </c>
      <c r="C152" s="363" t="str">
        <f>'Solid Waste'!C39</f>
        <v>N/A</v>
      </c>
      <c r="D152" s="363" t="str">
        <f>'Solid Waste'!D39</f>
        <v>N/A</v>
      </c>
      <c r="E152" s="363" t="str">
        <f>'Solid Waste'!E39</f>
        <v>N/A</v>
      </c>
      <c r="F152" s="363" t="str">
        <f>'Solid Waste'!F39</f>
        <v>N/A</v>
      </c>
      <c r="G152" s="363" t="str">
        <f>'Solid Waste'!G39</f>
        <v>N/A</v>
      </c>
      <c r="H152" s="363" t="str">
        <f>'Solid Waste'!H39</f>
        <v>N/A</v>
      </c>
      <c r="I152" s="363" t="str">
        <f>'Solid Waste'!I39</f>
        <v>N/A</v>
      </c>
      <c r="J152" s="363" t="str">
        <f>'Solid Waste'!J39</f>
        <v>N/A</v>
      </c>
      <c r="K152" s="363" t="str">
        <f>'Solid Waste'!K39</f>
        <v>N/A</v>
      </c>
      <c r="L152" s="363" t="str">
        <f>'Solid Waste'!L39</f>
        <v>N/A</v>
      </c>
      <c r="M152" s="363" t="str">
        <f>'Solid Waste'!M39</f>
        <v>N/A</v>
      </c>
      <c r="N152" s="363" t="str">
        <f>'Solid Waste'!N39</f>
        <v>N/A</v>
      </c>
      <c r="O152" s="363" t="str">
        <f>'Solid Waste'!O39</f>
        <v>N/A</v>
      </c>
      <c r="P152" s="363" t="str">
        <f>'Solid Waste'!P39</f>
        <v>N/A</v>
      </c>
      <c r="Q152" s="363" t="str">
        <f>'Solid Waste'!Q39</f>
        <v>N/A</v>
      </c>
      <c r="R152" s="363" t="str">
        <f>'Solid Waste'!R39</f>
        <v>N/A</v>
      </c>
      <c r="S152" s="363" t="str">
        <f>'Solid Waste'!S39</f>
        <v>N/A</v>
      </c>
      <c r="T152" s="363" t="str">
        <f>'Solid Waste'!T39</f>
        <v>N/A</v>
      </c>
      <c r="U152" s="363" t="str">
        <f>'Solid Waste'!U39</f>
        <v>N/A</v>
      </c>
      <c r="V152" s="363">
        <f>'Solid Waste'!V39</f>
        <v>1.8445E-3</v>
      </c>
      <c r="W152" s="363">
        <f>'Solid Waste'!W39</f>
        <v>2.878E-4</v>
      </c>
      <c r="X152" s="363">
        <f>'Solid Waste'!X39</f>
        <v>3.658E-4</v>
      </c>
      <c r="Y152" s="363">
        <f>'Solid Waste'!Y39</f>
        <v>3.6720938000000001E-4</v>
      </c>
      <c r="Z152" s="363">
        <f>'Solid Waste'!Z39</f>
        <v>3.2930000000000004E-4</v>
      </c>
      <c r="AA152" s="363">
        <f>'Solid Waste'!AA39</f>
        <v>8.7599999999999988E-5</v>
      </c>
      <c r="AB152" s="363">
        <f>'Solid Waste'!AB39</f>
        <v>1.1129999999999999E-4</v>
      </c>
      <c r="AC152" s="363">
        <f>'Solid Waste'!AC39</f>
        <v>1.0640000000000001E-4</v>
      </c>
      <c r="AD152" s="363">
        <f>'Solid Waste'!AD39</f>
        <v>1.03E-4</v>
      </c>
      <c r="AE152" s="363">
        <f>'Solid Waste'!AE39</f>
        <v>9.3999999999999994E-5</v>
      </c>
      <c r="AF152" s="363">
        <f>'Solid Waste'!AF39</f>
        <v>1.0180000000000001E-4</v>
      </c>
      <c r="AG152" s="363">
        <f>'Solid Waste'!AG39</f>
        <v>1.015E-4</v>
      </c>
      <c r="AH152" s="363">
        <f>'Solid Waste'!AH39</f>
        <v>9.5199999999999997E-5</v>
      </c>
      <c r="AI152" s="363">
        <f>'Solid Waste'!AI39</f>
        <v>8.7300000000000008E-5</v>
      </c>
      <c r="AJ152" s="28"/>
      <c r="AK152" s="328"/>
      <c r="AL152" s="483"/>
      <c r="AN152" s="354"/>
    </row>
    <row r="153" spans="1:40" x14ac:dyDescent="0.4">
      <c r="A153" s="28" t="s">
        <v>15</v>
      </c>
      <c r="B153" s="363">
        <f>'Mobile CH4 and N2O'!B102/1000000</f>
        <v>0.94042969926652131</v>
      </c>
      <c r="C153" s="363">
        <f>'Mobile CH4 and N2O'!C102/1000000</f>
        <v>0.95718070417084877</v>
      </c>
      <c r="D153" s="363">
        <f>'Mobile CH4 and N2O'!D102/1000000</f>
        <v>0.99349981768698803</v>
      </c>
      <c r="E153" s="363">
        <f>'Mobile CH4 and N2O'!E102/1000000</f>
        <v>0.97528365828476216</v>
      </c>
      <c r="F153" s="363">
        <f>'Mobile CH4 and N2O'!F102/1000000</f>
        <v>1.0261439910709922</v>
      </c>
      <c r="G153" s="363">
        <f>'Mobile CH4 and N2O'!G102/1000000</f>
        <v>1.0523225444835502</v>
      </c>
      <c r="H153" s="363">
        <f>'Mobile CH4 and N2O'!H102/1000000</f>
        <v>1.1000740972505845</v>
      </c>
      <c r="I153" s="363">
        <f>'Mobile CH4 and N2O'!I102/1000000</f>
        <v>1.0983093276268416</v>
      </c>
      <c r="J153" s="363">
        <f>'Mobile CH4 and N2O'!J102/1000000</f>
        <v>1.1024305601051254</v>
      </c>
      <c r="K153" s="363">
        <f>'Mobile CH4 and N2O'!K102/1000000</f>
        <v>1.0368495369478887</v>
      </c>
      <c r="L153" s="363">
        <f>'Mobile CH4 and N2O'!L102/1000000</f>
        <v>1.0108412164547531</v>
      </c>
      <c r="M153" s="363">
        <f>'Mobile CH4 and N2O'!M102/1000000</f>
        <v>0.96294238079410477</v>
      </c>
      <c r="N153" s="363">
        <f>'Mobile CH4 and N2O'!N102/1000000</f>
        <v>0.90512651620790219</v>
      </c>
      <c r="O153" s="363">
        <f>'Mobile CH4 and N2O'!O102/1000000</f>
        <v>0.86561918201869115</v>
      </c>
      <c r="P153" s="363">
        <f>'Mobile CH4 and N2O'!P102/1000000</f>
        <v>0.81110821118726084</v>
      </c>
      <c r="Q153" s="363">
        <f>'Mobile CH4 and N2O'!Q102/1000000</f>
        <v>0.76483095102972021</v>
      </c>
      <c r="R153" s="363">
        <f>'Mobile CH4 and N2O'!R102/1000000</f>
        <v>0.75466183810210707</v>
      </c>
      <c r="S153" s="363">
        <f>'Mobile CH4 and N2O'!S102/1000000</f>
        <v>0.65890082343545109</v>
      </c>
      <c r="T153" s="363">
        <f>'Mobile CH4 and N2O'!T102/1000000</f>
        <v>0.61871786389594752</v>
      </c>
      <c r="U153" s="363">
        <f>'Mobile CH4 and N2O'!U102/1000000</f>
        <v>0.55308303379694479</v>
      </c>
      <c r="V153" s="363">
        <f>'Mobile CH4 and N2O'!V102/1000000</f>
        <v>0.5371799726292481</v>
      </c>
      <c r="W153" s="363">
        <f>'Mobile CH4 and N2O'!W102/1000000</f>
        <v>0.52847404759398531</v>
      </c>
      <c r="X153" s="363">
        <f>'Mobile CH4 and N2O'!X102/1000000</f>
        <v>0.47859412030416021</v>
      </c>
      <c r="Y153" s="363">
        <f>'Mobile CH4 and N2O'!Y102/1000000</f>
        <v>0.45466121454592706</v>
      </c>
      <c r="Z153" s="363">
        <f>'Mobile CH4 and N2O'!Z102/1000000</f>
        <v>0.42618783820849893</v>
      </c>
      <c r="AA153" s="363">
        <f>'Mobile CH4 and N2O'!AA102/1000000</f>
        <v>0.3570635060760049</v>
      </c>
      <c r="AB153" s="363">
        <f>'Mobile CH4 and N2O'!AB102/1000000</f>
        <v>0.34522303921971254</v>
      </c>
      <c r="AC153" s="363">
        <f>'Mobile CH4 and N2O'!AC102/1000000</f>
        <v>0.3208044301971345</v>
      </c>
      <c r="AD153" s="363">
        <f>'Mobile CH4 and N2O'!AD102/1000000</f>
        <v>0.29088756805459126</v>
      </c>
      <c r="AE153" s="363">
        <f>'Mobile CH4 and N2O'!AE102/1000000</f>
        <v>0.3252485601887169</v>
      </c>
      <c r="AF153" s="363">
        <f>'Mobile CH4 and N2O'!AF102/1000000</f>
        <v>0.2723925328301624</v>
      </c>
      <c r="AG153" s="363">
        <f>'Mobile CH4 and N2O'!AG102/1000000</f>
        <v>0.27442207026690141</v>
      </c>
      <c r="AH153" s="363">
        <f>'Mobile CH4 and N2O'!AH102/1000000</f>
        <v>0.289969273264159</v>
      </c>
      <c r="AI153" s="363">
        <f>'Mobile CH4 and N2O'!AI102/1000000</f>
        <v>0.2797398583008387</v>
      </c>
      <c r="AJ153" s="28"/>
      <c r="AK153" s="328"/>
      <c r="AL153" s="483"/>
      <c r="AN153" s="354"/>
    </row>
    <row r="154" spans="1:40" x14ac:dyDescent="0.4">
      <c r="A154" s="28" t="s">
        <v>26</v>
      </c>
      <c r="B154" s="363">
        <f>Agriculture!B48</f>
        <v>0.25245294585933248</v>
      </c>
      <c r="C154" s="363">
        <f>Agriculture!C48</f>
        <v>0.2276748834885759</v>
      </c>
      <c r="D154" s="363">
        <f>Agriculture!D48</f>
        <v>0.23251116430206367</v>
      </c>
      <c r="E154" s="363">
        <f>Agriculture!E48</f>
        <v>0.21797474482989096</v>
      </c>
      <c r="F154" s="363">
        <f>Agriculture!F48</f>
        <v>0.23136492259910554</v>
      </c>
      <c r="G154" s="363">
        <f>Agriculture!G48</f>
        <v>0.22813769186366192</v>
      </c>
      <c r="H154" s="363">
        <f>Agriculture!H48</f>
        <v>0.21303085362467608</v>
      </c>
      <c r="I154" s="363">
        <f>Agriculture!I48</f>
        <v>0.210293201967784</v>
      </c>
      <c r="J154" s="363">
        <f>Agriculture!J48</f>
        <v>0.21172184433918079</v>
      </c>
      <c r="K154" s="363">
        <f>Agriculture!K48</f>
        <v>0.21940179030256191</v>
      </c>
      <c r="L154" s="363">
        <f>Agriculture!L48</f>
        <v>0.21538890027668642</v>
      </c>
      <c r="M154" s="363">
        <f>Agriculture!M48</f>
        <v>0.2084492716434615</v>
      </c>
      <c r="N154" s="363">
        <f>Agriculture!N48</f>
        <v>0.22582514717464938</v>
      </c>
      <c r="O154" s="363">
        <f>Agriculture!O48</f>
        <v>0.20538298886844275</v>
      </c>
      <c r="P154" s="363">
        <f>Agriculture!P48</f>
        <v>0.20272013437271591</v>
      </c>
      <c r="Q154" s="363">
        <f>Agriculture!Q48</f>
        <v>0.20695385928991772</v>
      </c>
      <c r="R154" s="363">
        <f>Agriculture!R48</f>
        <v>0.20457148903786743</v>
      </c>
      <c r="S154" s="363">
        <f>Agriculture!S48</f>
        <v>0.18867225143689445</v>
      </c>
      <c r="T154" s="363">
        <f>Agriculture!T48</f>
        <v>0.19512210080668033</v>
      </c>
      <c r="U154" s="363">
        <f>Agriculture!U48</f>
        <v>0.18727028804429899</v>
      </c>
      <c r="V154" s="363">
        <f>Agriculture!V48</f>
        <v>0.18477690278487491</v>
      </c>
      <c r="W154" s="363">
        <f>Agriculture!W48</f>
        <v>0.18945896686949254</v>
      </c>
      <c r="X154" s="363">
        <f>Agriculture!X48</f>
        <v>0.18363894609438997</v>
      </c>
      <c r="Y154" s="363">
        <f>Agriculture!Y48</f>
        <v>0.18271780533323154</v>
      </c>
      <c r="Z154" s="363">
        <f>Agriculture!Z48</f>
        <v>0.17226162877818765</v>
      </c>
      <c r="AA154" s="363">
        <f>Agriculture!AA48</f>
        <v>0.17906828842750927</v>
      </c>
      <c r="AB154" s="363">
        <f>Agriculture!AB48</f>
        <v>0.15889213981986369</v>
      </c>
      <c r="AC154" s="363">
        <f>Agriculture!AC48</f>
        <v>0.18359938835078363</v>
      </c>
      <c r="AD154" s="363">
        <f>Agriculture!AD48</f>
        <v>0.16962973941650661</v>
      </c>
      <c r="AE154" s="363">
        <f>Agriculture!AE48</f>
        <v>0.16690409531299946</v>
      </c>
      <c r="AF154" s="363">
        <f>Agriculture!AF48</f>
        <v>0.16167055319027038</v>
      </c>
      <c r="AG154" s="363">
        <f>Agriculture!AG48</f>
        <v>0.16414901146076524</v>
      </c>
      <c r="AH154" s="363">
        <f>Agriculture!AH48</f>
        <v>0.16181899238413336</v>
      </c>
      <c r="AI154" s="363">
        <f>Agriculture!AI48</f>
        <v>0.16302593314879782</v>
      </c>
      <c r="AJ154" s="28"/>
      <c r="AK154" s="328"/>
      <c r="AL154" s="483"/>
      <c r="AN154" s="354"/>
    </row>
    <row r="155" spans="1:40" x14ac:dyDescent="0.4">
      <c r="A155" s="28" t="s">
        <v>24</v>
      </c>
      <c r="B155" s="363">
        <f>Wastewater!B36</f>
        <v>0.18122741030105799</v>
      </c>
      <c r="C155" s="363">
        <f>Wastewater!C36</f>
        <v>0.13685131582196558</v>
      </c>
      <c r="D155" s="363">
        <f>Wastewater!D36</f>
        <v>0.13789038401122017</v>
      </c>
      <c r="E155" s="363">
        <f>Wastewater!E36</f>
        <v>0.13814161801325001</v>
      </c>
      <c r="F155" s="363">
        <f>Wastewater!F36</f>
        <v>0.1407904719956673</v>
      </c>
      <c r="G155" s="363">
        <f>Wastewater!G36</f>
        <v>0.14047200821907316</v>
      </c>
      <c r="H155" s="363">
        <f>Wastewater!H36</f>
        <v>0.14201733345614834</v>
      </c>
      <c r="I155" s="363">
        <f>Wastewater!I36</f>
        <v>0.14154358980099166</v>
      </c>
      <c r="J155" s="363">
        <f>Wastewater!J36</f>
        <v>0.1435482760129069</v>
      </c>
      <c r="K155" s="363">
        <f>Wastewater!K36</f>
        <v>0.14669867857732383</v>
      </c>
      <c r="L155" s="363">
        <f>Wastewater!L36</f>
        <v>0.13724669762543037</v>
      </c>
      <c r="M155" s="363">
        <f>Wastewater!M36</f>
        <v>0.14031091803426723</v>
      </c>
      <c r="N155" s="363">
        <f>Wastewater!N36</f>
        <v>0.13750133296223838</v>
      </c>
      <c r="O155" s="363">
        <f>Wastewater!O36</f>
        <v>0.13768081236147198</v>
      </c>
      <c r="P155" s="363">
        <f>Wastewater!P36</f>
        <v>0.13886087030184319</v>
      </c>
      <c r="Q155" s="363">
        <f>Wastewater!Q36</f>
        <v>0.15201657574147243</v>
      </c>
      <c r="R155" s="363">
        <f>Wastewater!R36</f>
        <v>0.14210558742539106</v>
      </c>
      <c r="S155" s="363">
        <f>Wastewater!S36</f>
        <v>0.1432213562596332</v>
      </c>
      <c r="T155" s="363">
        <f>Wastewater!T36</f>
        <v>0.13989674780201619</v>
      </c>
      <c r="U155" s="363">
        <f>Wastewater!U36</f>
        <v>0.14182735159591114</v>
      </c>
      <c r="V155" s="363">
        <f>Wastewater!V36</f>
        <v>0.10692658875003828</v>
      </c>
      <c r="W155" s="363">
        <f>Wastewater!W36</f>
        <v>0.11053732814670433</v>
      </c>
      <c r="X155" s="363">
        <f>Wastewater!X36</f>
        <v>0.10722656031356345</v>
      </c>
      <c r="Y155" s="363">
        <f>Wastewater!Y36</f>
        <v>0.10783184158392389</v>
      </c>
      <c r="Z155" s="363">
        <f>Wastewater!Z36</f>
        <v>0.11060562483599516</v>
      </c>
      <c r="AA155" s="363">
        <f>Wastewater!AA36</f>
        <v>0.11151127934726791</v>
      </c>
      <c r="AB155" s="363">
        <f>Wastewater!AB36</f>
        <v>0.11246571472071676</v>
      </c>
      <c r="AC155" s="363">
        <f>Wastewater!AC36</f>
        <v>0.1013752239134358</v>
      </c>
      <c r="AD155" s="363">
        <f>Wastewater!AD36</f>
        <v>0.10358943539630652</v>
      </c>
      <c r="AE155" s="363">
        <f>Wastewater!AE36</f>
        <v>0.1039177477908225</v>
      </c>
      <c r="AF155" s="363">
        <f>Wastewater!AF36</f>
        <v>0.1043386834888289</v>
      </c>
      <c r="AG155" s="363">
        <f>Wastewater!AG36</f>
        <v>0.10052830938235693</v>
      </c>
      <c r="AH155" s="363">
        <f>Wastewater!AH36</f>
        <v>0.10048056851063271</v>
      </c>
      <c r="AI155" s="363">
        <f>Wastewater!AI36</f>
        <v>0.10075618833430272</v>
      </c>
      <c r="AJ155" s="28"/>
      <c r="AK155" s="328"/>
      <c r="AL155" s="483"/>
      <c r="AN155" s="354"/>
    </row>
    <row r="156" spans="1:40" ht="17" x14ac:dyDescent="0.45">
      <c r="A156" s="160" t="s">
        <v>712</v>
      </c>
      <c r="B156" s="359">
        <f>SUM(B146:B155)</f>
        <v>1.5657831640407651</v>
      </c>
      <c r="C156" s="359">
        <f>SUM(C146:C155)</f>
        <v>1.6027346978523331</v>
      </c>
      <c r="D156" s="359">
        <f>SUM(D146:D155)</f>
        <v>1.640814171994045</v>
      </c>
      <c r="E156" s="359">
        <f t="shared" ref="E156:X156" si="7">SUM(E146:E155)</f>
        <v>1.6112568347648981</v>
      </c>
      <c r="F156" s="359">
        <f t="shared" si="7"/>
        <v>1.6771113741448378</v>
      </c>
      <c r="G156" s="359">
        <f t="shared" si="7"/>
        <v>1.6924285668205588</v>
      </c>
      <c r="H156" s="359">
        <f t="shared" si="7"/>
        <v>1.7303933918243477</v>
      </c>
      <c r="I156" s="359">
        <f t="shared" si="7"/>
        <v>1.738043314551704</v>
      </c>
      <c r="J156" s="359">
        <f t="shared" si="7"/>
        <v>1.7372543976840522</v>
      </c>
      <c r="K156" s="359">
        <f t="shared" si="7"/>
        <v>1.6754021128680283</v>
      </c>
      <c r="L156" s="359">
        <f t="shared" si="7"/>
        <v>1.641234412176215</v>
      </c>
      <c r="M156" s="359">
        <f t="shared" si="7"/>
        <v>1.5834465866710299</v>
      </c>
      <c r="N156" s="359">
        <f t="shared" si="7"/>
        <v>1.5274409428169635</v>
      </c>
      <c r="O156" s="359">
        <f t="shared" si="7"/>
        <v>1.470367504162847</v>
      </c>
      <c r="P156" s="359">
        <f t="shared" si="7"/>
        <v>1.4094041810437967</v>
      </c>
      <c r="Q156" s="359">
        <f t="shared" si="7"/>
        <v>1.3730452623301383</v>
      </c>
      <c r="R156" s="359">
        <f t="shared" si="7"/>
        <v>1.333905566142181</v>
      </c>
      <c r="S156" s="359">
        <f t="shared" si="7"/>
        <v>1.2274202222486517</v>
      </c>
      <c r="T156" s="359">
        <f t="shared" si="7"/>
        <v>1.1850958851657787</v>
      </c>
      <c r="U156" s="359">
        <f t="shared" si="7"/>
        <v>1.1079602299520588</v>
      </c>
      <c r="V156" s="359">
        <f t="shared" si="7"/>
        <v>1.050077327850883</v>
      </c>
      <c r="W156" s="359">
        <f t="shared" si="7"/>
        <v>1.0323466863830424</v>
      </c>
      <c r="X156" s="359">
        <f t="shared" si="7"/>
        <v>0.95488989887944598</v>
      </c>
      <c r="Y156" s="359">
        <f t="shared" ref="Y156:AD156" si="8">SUM(Y146:Y155)</f>
        <v>0.94673619165162648</v>
      </c>
      <c r="Z156" s="359">
        <f t="shared" si="8"/>
        <v>0.91081683750913089</v>
      </c>
      <c r="AA156" s="359">
        <f t="shared" si="8"/>
        <v>0.84360663356800303</v>
      </c>
      <c r="AB156" s="359">
        <f>SUM(AB146:AB155)</f>
        <v>0.80182939100955486</v>
      </c>
      <c r="AC156" s="359">
        <f t="shared" si="8"/>
        <v>0.78435299149927962</v>
      </c>
      <c r="AD156" s="359">
        <f t="shared" si="8"/>
        <v>0.73810720781031058</v>
      </c>
      <c r="AE156" s="359">
        <f t="shared" ref="AE156:AH156" si="9">SUM(AE146:AE155)</f>
        <v>0.76983335180993528</v>
      </c>
      <c r="AF156" s="359">
        <f t="shared" si="9"/>
        <v>0.70633413157157365</v>
      </c>
      <c r="AG156" s="359">
        <f t="shared" si="9"/>
        <v>0.71120841859766937</v>
      </c>
      <c r="AH156" s="359">
        <f t="shared" si="9"/>
        <v>0.72741605679153498</v>
      </c>
      <c r="AI156" s="359">
        <f>SUM(AI146:AI155)</f>
        <v>0.71391148986715747</v>
      </c>
      <c r="AJ156" s="28"/>
      <c r="AK156" s="328"/>
    </row>
    <row r="157" spans="1:40" x14ac:dyDescent="0.4">
      <c r="A157" s="28" t="s">
        <v>1063</v>
      </c>
      <c r="B157" s="363"/>
      <c r="C157" s="363"/>
      <c r="D157" s="363"/>
      <c r="E157" s="363"/>
      <c r="F157" s="363"/>
      <c r="G157" s="363"/>
      <c r="H157" s="363"/>
      <c r="I157" s="363"/>
      <c r="J157" s="363"/>
      <c r="K157" s="363"/>
      <c r="L157" s="363"/>
      <c r="M157" s="363"/>
      <c r="N157" s="363"/>
      <c r="O157" s="363"/>
      <c r="P157" s="363"/>
      <c r="Q157" s="363"/>
      <c r="R157" s="363"/>
      <c r="S157" s="363"/>
      <c r="T157" s="363"/>
      <c r="U157" s="363"/>
      <c r="V157" s="363"/>
      <c r="W157" s="363"/>
      <c r="X157" s="363"/>
      <c r="Y157" s="363"/>
      <c r="Z157" s="363"/>
      <c r="AA157" s="363"/>
      <c r="AB157" s="363"/>
      <c r="AC157" s="363"/>
      <c r="AD157" s="363"/>
      <c r="AE157" s="363"/>
      <c r="AF157" s="363"/>
      <c r="AG157" s="363"/>
      <c r="AH157" s="363"/>
      <c r="AI157" s="363"/>
      <c r="AJ157" s="28"/>
      <c r="AK157" s="328"/>
      <c r="AL157" s="483"/>
      <c r="AN157" s="354"/>
    </row>
    <row r="158" spans="1:40" x14ac:dyDescent="0.4">
      <c r="A158" s="493"/>
      <c r="B158" s="363"/>
      <c r="C158" s="363"/>
      <c r="D158" s="363"/>
      <c r="E158" s="363"/>
      <c r="F158" s="363"/>
      <c r="G158" s="363"/>
      <c r="H158" s="363"/>
      <c r="I158" s="363"/>
      <c r="J158" s="363"/>
      <c r="K158" s="363"/>
      <c r="L158" s="363"/>
      <c r="M158" s="363"/>
      <c r="N158" s="363"/>
      <c r="O158" s="363"/>
      <c r="P158" s="363"/>
      <c r="Q158" s="363"/>
      <c r="R158" s="363"/>
      <c r="S158" s="363"/>
      <c r="T158" s="363"/>
      <c r="U158" s="363"/>
      <c r="V158" s="363"/>
      <c r="W158" s="363"/>
      <c r="X158" s="363"/>
      <c r="Y158" s="363"/>
      <c r="Z158" s="363"/>
      <c r="AA158" s="363"/>
      <c r="AB158" s="363"/>
      <c r="AC158" s="363"/>
      <c r="AD158" s="363"/>
      <c r="AE158" s="363"/>
      <c r="AF158" s="363"/>
      <c r="AG158" s="363"/>
      <c r="AH158" s="363"/>
      <c r="AI158" s="363"/>
      <c r="AJ158" s="28"/>
      <c r="AK158" s="328"/>
      <c r="AL158" s="483"/>
      <c r="AN158" s="354"/>
    </row>
    <row r="159" spans="1:40" ht="17" x14ac:dyDescent="0.45">
      <c r="A159" s="88" t="s">
        <v>1020</v>
      </c>
      <c r="B159" s="363"/>
      <c r="C159" s="363"/>
      <c r="D159" s="363"/>
      <c r="E159" s="363"/>
      <c r="F159" s="363"/>
      <c r="G159" s="363"/>
      <c r="H159" s="363"/>
      <c r="I159" s="363"/>
      <c r="J159" s="363"/>
      <c r="K159" s="363"/>
      <c r="L159" s="363"/>
      <c r="M159" s="363"/>
      <c r="N159" s="363"/>
      <c r="O159" s="363"/>
      <c r="P159" s="363"/>
      <c r="Q159" s="363"/>
      <c r="R159" s="363"/>
      <c r="S159" s="363"/>
      <c r="T159" s="363"/>
      <c r="U159" s="363"/>
      <c r="V159" s="363"/>
      <c r="W159" s="363"/>
      <c r="X159" s="363"/>
      <c r="Y159" s="363"/>
      <c r="Z159" s="363"/>
      <c r="AA159" s="363"/>
      <c r="AB159" s="363"/>
      <c r="AC159" s="363"/>
      <c r="AD159" s="363"/>
      <c r="AE159" s="363"/>
      <c r="AF159" s="363"/>
      <c r="AG159" s="363"/>
      <c r="AH159" s="363"/>
      <c r="AI159" s="363"/>
      <c r="AJ159" s="28"/>
      <c r="AK159" s="328"/>
      <c r="AL159" s="483"/>
      <c r="AN159" s="354"/>
    </row>
    <row r="160" spans="1:40" s="86" customFormat="1" ht="16.5" thickBot="1" x14ac:dyDescent="0.45">
      <c r="A160" s="1228" t="s">
        <v>670</v>
      </c>
      <c r="B160" s="1229" t="s">
        <v>391</v>
      </c>
      <c r="C160" s="1229" t="s">
        <v>392</v>
      </c>
      <c r="D160" s="1229" t="s">
        <v>393</v>
      </c>
      <c r="E160" s="1229" t="s">
        <v>394</v>
      </c>
      <c r="F160" s="1229" t="s">
        <v>395</v>
      </c>
      <c r="G160" s="1229" t="s">
        <v>396</v>
      </c>
      <c r="H160" s="1229" t="s">
        <v>397</v>
      </c>
      <c r="I160" s="1229" t="s">
        <v>398</v>
      </c>
      <c r="J160" s="1229" t="s">
        <v>399</v>
      </c>
      <c r="K160" s="1229" t="s">
        <v>400</v>
      </c>
      <c r="L160" s="1229" t="s">
        <v>401</v>
      </c>
      <c r="M160" s="1229" t="s">
        <v>402</v>
      </c>
      <c r="N160" s="1229" t="s">
        <v>403</v>
      </c>
      <c r="O160" s="1229" t="s">
        <v>404</v>
      </c>
      <c r="P160" s="1229" t="s">
        <v>405</v>
      </c>
      <c r="Q160" s="1229" t="s">
        <v>406</v>
      </c>
      <c r="R160" s="1229" t="s">
        <v>407</v>
      </c>
      <c r="S160" s="1229" t="s">
        <v>408</v>
      </c>
      <c r="T160" s="1229" t="s">
        <v>409</v>
      </c>
      <c r="U160" s="1229" t="s">
        <v>410</v>
      </c>
      <c r="V160" s="1229" t="s">
        <v>411</v>
      </c>
      <c r="W160" s="1229" t="s">
        <v>412</v>
      </c>
      <c r="X160" s="1229" t="s">
        <v>413</v>
      </c>
      <c r="Y160" s="1229" t="s">
        <v>414</v>
      </c>
      <c r="Z160" s="1229" t="s">
        <v>415</v>
      </c>
      <c r="AA160" s="1229" t="s">
        <v>416</v>
      </c>
      <c r="AB160" s="1229" t="s">
        <v>417</v>
      </c>
      <c r="AC160" s="1229" t="s">
        <v>418</v>
      </c>
      <c r="AD160" s="1229" t="s">
        <v>419</v>
      </c>
      <c r="AE160" s="1229" t="s">
        <v>420</v>
      </c>
      <c r="AF160" s="1229" t="s">
        <v>421</v>
      </c>
      <c r="AG160" s="1229" t="s">
        <v>422</v>
      </c>
      <c r="AH160" s="1229" t="s">
        <v>423</v>
      </c>
      <c r="AI160" s="1229" t="s">
        <v>424</v>
      </c>
    </row>
    <row r="161" spans="1:53" x14ac:dyDescent="0.4">
      <c r="A161" s="28" t="str">
        <f>'Industrial Process'!A56</f>
        <v>Electrical Equipment</v>
      </c>
      <c r="B161" s="363">
        <f>'Industrial Process'!B56/1000000</f>
        <v>0.38789975619760453</v>
      </c>
      <c r="C161" s="363">
        <f>'Industrial Process'!C56/1000000</f>
        <v>0.15040000000000001</v>
      </c>
      <c r="D161" s="363">
        <f>'Industrial Process'!D56/1000000</f>
        <v>0.14899000000000001</v>
      </c>
      <c r="E161" s="363">
        <f>'Industrial Process'!E56/1000000</f>
        <v>0.14429</v>
      </c>
      <c r="F161" s="363">
        <f>'Industrial Process'!F56/1000000</f>
        <v>0.13583000000000001</v>
      </c>
      <c r="G161" s="363">
        <f>'Industrial Process'!G56/1000000</f>
        <v>0.12454999999999999</v>
      </c>
      <c r="H161" s="363">
        <f>'Industrial Process'!H56/1000000</f>
        <v>0.11421000000000001</v>
      </c>
      <c r="I161" s="363">
        <f>'Industrial Process'!I56/1000000</f>
        <v>0.105045</v>
      </c>
      <c r="J161" s="363">
        <f>'Industrial Process'!J56/1000000</f>
        <v>8.8830000000000006E-2</v>
      </c>
      <c r="K161" s="363">
        <f>'Industrial Process'!K56/1000000</f>
        <v>8.9300000000000004E-2</v>
      </c>
      <c r="L161" s="363">
        <f>'Industrial Process'!L56/1000000</f>
        <v>8.5775000000000004E-2</v>
      </c>
      <c r="M161" s="363">
        <f>'Industrial Process'!M56/1000000</f>
        <v>8.4599999999999995E-2</v>
      </c>
      <c r="N161" s="363">
        <f>'Industrial Process'!N56/1000000</f>
        <v>7.8490000000000004E-2</v>
      </c>
      <c r="O161" s="363">
        <f>'Industrial Process'!O56/1000000</f>
        <v>7.6609999999999998E-2</v>
      </c>
      <c r="P161" s="363">
        <f>'Industrial Process'!P56/1000000</f>
        <v>7.4730000000000005E-2</v>
      </c>
      <c r="Q161" s="363">
        <f>'Industrial Process'!Q56/1000000</f>
        <v>7.1910000000000002E-2</v>
      </c>
      <c r="R161" s="363">
        <f>'Industrial Process'!R56/1000000</f>
        <v>6.6269999999999996E-2</v>
      </c>
      <c r="S161" s="363">
        <f>'Industrial Process'!S56/1000000</f>
        <v>6.2509999999999996E-2</v>
      </c>
      <c r="T161" s="363">
        <f>'Industrial Process'!T56/1000000</f>
        <v>5.9924999999999999E-2</v>
      </c>
      <c r="U161" s="363">
        <f>'Industrial Process'!U56/1000000</f>
        <v>5.5225000000000003E-2</v>
      </c>
      <c r="V161" s="363">
        <f>'Industrial Process'!V56/1000000</f>
        <v>4.6530000000000002E-2</v>
      </c>
      <c r="W161" s="363">
        <f>'Industrial Process'!W56/1000000</f>
        <v>4.4179999999999997E-2</v>
      </c>
      <c r="X161" s="363">
        <f>'Industrial Process'!X56/1000000</f>
        <v>3.8539999999999998E-2</v>
      </c>
      <c r="Y161" s="363">
        <f>'Industrial Process'!Y56/1000000</f>
        <v>3.5720000000000002E-2</v>
      </c>
      <c r="Z161" s="363">
        <f>'Industrial Process'!Z56/1000000</f>
        <v>3.619E-2</v>
      </c>
      <c r="AA161" s="363">
        <f>'Industrial Process'!AA56/1000000</f>
        <v>3.243E-2</v>
      </c>
      <c r="AB161" s="363">
        <f>'Industrial Process'!AB56/1000000</f>
        <v>3.1725000000000003E-2</v>
      </c>
      <c r="AC161" s="363">
        <f>'Industrial Process'!AC56/1000000</f>
        <v>3.1725000000000003E-2</v>
      </c>
      <c r="AD161" s="363">
        <f>'Industrial Process'!AD56/1000000</f>
        <v>3.243E-2</v>
      </c>
      <c r="AE161" s="363">
        <f>'Industrial Process'!AE56/1000000</f>
        <v>3.4544999999999999E-2</v>
      </c>
      <c r="AF161" s="363">
        <f>'Industrial Process'!AF56/1000000</f>
        <v>3.3605000000000003E-2</v>
      </c>
      <c r="AG161" s="363">
        <f>'Industrial Process'!AG56/1000000</f>
        <v>3.5485000000000003E-2</v>
      </c>
      <c r="AH161" s="363">
        <f>'Industrial Process'!AH56/1000000</f>
        <v>3.4075000000000001E-2</v>
      </c>
      <c r="AI161" s="363">
        <f>'Industrial Process'!AI56/1000000</f>
        <v>3.3840000000000002E-2</v>
      </c>
      <c r="AJ161" s="28"/>
      <c r="AK161" s="328"/>
      <c r="AL161" s="483"/>
      <c r="AN161" s="354"/>
    </row>
    <row r="162" spans="1:53" x14ac:dyDescent="0.4">
      <c r="A162" s="28" t="str">
        <f>'Industrial Process'!A53</f>
        <v>Micro-Electro-Mechanical Devices</v>
      </c>
      <c r="B162" s="363" t="s">
        <v>369</v>
      </c>
      <c r="C162" s="363">
        <f>'Industrial Process'!C53/1000000</f>
        <v>1.6364135714285721E-4</v>
      </c>
      <c r="D162" s="363">
        <f>'Industrial Process'!D53/1000000</f>
        <v>3.2728271428571432E-4</v>
      </c>
      <c r="E162" s="363">
        <f>'Industrial Process'!E53/1000000</f>
        <v>4.909240714285714E-4</v>
      </c>
      <c r="F162" s="363">
        <f>'Industrial Process'!F53/1000000</f>
        <v>6.5456542857142864E-4</v>
      </c>
      <c r="G162" s="363">
        <f>'Industrial Process'!G53/1000000</f>
        <v>8.1820678571428577E-4</v>
      </c>
      <c r="H162" s="363">
        <f>'Industrial Process'!H53/1000000</f>
        <v>9.8184814285714279E-4</v>
      </c>
      <c r="I162" s="363">
        <f>'Industrial Process'!I53/1000000</f>
        <v>1.1454895000000001E-3</v>
      </c>
      <c r="J162" s="363">
        <f>'Industrial Process'!J53/1000000</f>
        <v>1.3091308571428573E-3</v>
      </c>
      <c r="K162" s="363">
        <f>'Industrial Process'!K53/1000000</f>
        <v>1.4727722142857144E-3</v>
      </c>
      <c r="L162" s="363">
        <f>'Industrial Process'!L53/1000000</f>
        <v>1.636413571428572E-3</v>
      </c>
      <c r="M162" s="363">
        <f>'Industrial Process'!M53/1000000</f>
        <v>1.800054928571428E-3</v>
      </c>
      <c r="N162" s="363">
        <f>'Industrial Process'!N53/1000000</f>
        <v>1.9636962857142856E-3</v>
      </c>
      <c r="O162" s="363">
        <f>'Industrial Process'!O53/1000000</f>
        <v>2.1273376428571425E-3</v>
      </c>
      <c r="P162" s="363">
        <f>'Industrial Process'!P53/1000000</f>
        <v>2.2909789999999998E-3</v>
      </c>
      <c r="Q162" s="363">
        <f>'Industrial Process'!Q53/1000000</f>
        <v>2.4546203571428572E-3</v>
      </c>
      <c r="R162" s="363">
        <f>'Industrial Process'!R53/1000000</f>
        <v>2.618261714285715E-3</v>
      </c>
      <c r="S162" s="363">
        <f>'Industrial Process'!S53/1000000</f>
        <v>2.781903071428571E-3</v>
      </c>
      <c r="T162" s="363">
        <f>'Industrial Process'!T53/1000000</f>
        <v>2.9455444285714288E-3</v>
      </c>
      <c r="U162" s="363">
        <f>'Industrial Process'!U53/1000000</f>
        <v>3.1091857857142853E-3</v>
      </c>
      <c r="V162" s="363">
        <f>'Industrial Process'!V53/1000000</f>
        <v>3.2728271428571431E-3</v>
      </c>
      <c r="W162" s="363">
        <f>'Industrial Process'!W53/1000000</f>
        <v>3.4364685E-3</v>
      </c>
      <c r="X162" s="363">
        <f>'Industrial Process'!X53/1000000</f>
        <v>6.5313817999999996E-3</v>
      </c>
      <c r="Y162" s="363">
        <f>'Industrial Process'!Y53/1000000</f>
        <v>3.2220270000000001E-3</v>
      </c>
      <c r="Z162" s="363">
        <f>'Industrial Process'!Z53/1000000</f>
        <v>2.8764900000000002E-3</v>
      </c>
      <c r="AA162" s="363">
        <f>'Industrial Process'!AA53/1000000</f>
        <v>2.9949580000000003E-3</v>
      </c>
      <c r="AB162" s="363">
        <f>'Industrial Process'!AB53/1000000</f>
        <v>3.3405940000000001E-3</v>
      </c>
      <c r="AC162" s="363">
        <f>'Industrial Process'!AC53/1000000</f>
        <v>3.4004080000000002E-3</v>
      </c>
      <c r="AD162" s="363">
        <f>'Industrial Process'!AD53/1000000</f>
        <v>5.8286259999999999E-3</v>
      </c>
      <c r="AE162" s="363">
        <f>'Industrial Process'!AE53/1000000</f>
        <v>8.5352089999999985E-3</v>
      </c>
      <c r="AF162" s="363">
        <f>'Industrial Process'!AF53/1000000</f>
        <v>8.9923800000000012E-3</v>
      </c>
      <c r="AG162" s="363">
        <f>'Industrial Process'!AG53/1000000</f>
        <v>1.0436013000000001E-2</v>
      </c>
      <c r="AH162" s="363">
        <f>'Industrial Process'!AH53/1000000</f>
        <v>9.9901940000000009E-3</v>
      </c>
      <c r="AI162" s="363">
        <f>'Industrial Process'!AI53/1000000</f>
        <v>8.564216999999999E-3</v>
      </c>
      <c r="AJ162" s="28"/>
      <c r="AK162" s="328"/>
      <c r="AL162" s="483"/>
      <c r="AN162" s="354"/>
    </row>
    <row r="163" spans="1:53" x14ac:dyDescent="0.4">
      <c r="A163" s="28" t="str">
        <f>'Industrial Process'!A54</f>
        <v>Photovoltaics</v>
      </c>
      <c r="B163" s="363" t="s">
        <v>369</v>
      </c>
      <c r="C163" s="363">
        <f>'Industrial Process'!C54/1000000</f>
        <v>0</v>
      </c>
      <c r="D163" s="363">
        <f>'Industrial Process'!D54/1000000</f>
        <v>0</v>
      </c>
      <c r="E163" s="363">
        <f>'Industrial Process'!E54/1000000</f>
        <v>0</v>
      </c>
      <c r="F163" s="363">
        <f>'Industrial Process'!F54/1000000</f>
        <v>0</v>
      </c>
      <c r="G163" s="363">
        <f>'Industrial Process'!G54/1000000</f>
        <v>0</v>
      </c>
      <c r="H163" s="363">
        <f>'Industrial Process'!H54/1000000</f>
        <v>0</v>
      </c>
      <c r="I163" s="363">
        <f>'Industrial Process'!I54/1000000</f>
        <v>0</v>
      </c>
      <c r="J163" s="363">
        <f>'Industrial Process'!J54/1000000</f>
        <v>0</v>
      </c>
      <c r="K163" s="363">
        <f>'Industrial Process'!K54/1000000</f>
        <v>0</v>
      </c>
      <c r="L163" s="363">
        <f>'Industrial Process'!L54/1000000</f>
        <v>0</v>
      </c>
      <c r="M163" s="363">
        <f>'Industrial Process'!M54/1000000</f>
        <v>0</v>
      </c>
      <c r="N163" s="363">
        <f>'Industrial Process'!N54/1000000</f>
        <v>0</v>
      </c>
      <c r="O163" s="363">
        <f>'Industrial Process'!O54/1000000</f>
        <v>0</v>
      </c>
      <c r="P163" s="363">
        <f>'Industrial Process'!P54/1000000</f>
        <v>0</v>
      </c>
      <c r="Q163" s="363">
        <f>'Industrial Process'!Q54/1000000</f>
        <v>0</v>
      </c>
      <c r="R163" s="363">
        <f>'Industrial Process'!R54/1000000</f>
        <v>2.3276671049999998E-4</v>
      </c>
      <c r="S163" s="363">
        <f>'Industrial Process'!S54/1000000</f>
        <v>6.5950567975000011E-4</v>
      </c>
      <c r="T163" s="363">
        <f>'Industrial Process'!T54/1000000</f>
        <v>1.9203253616250004E-3</v>
      </c>
      <c r="U163" s="363">
        <f>'Industrial Process'!U54/1000000</f>
        <v>5.6251955037500004E-3</v>
      </c>
      <c r="V163" s="363">
        <f>'Industrial Process'!V54/1000000</f>
        <v>5.4313924314446154E-3</v>
      </c>
      <c r="W163" s="363">
        <f>'Industrial Process'!W54/1000000</f>
        <v>5.0413330833869383E-3</v>
      </c>
      <c r="X163" s="363">
        <f>'Industrial Process'!X54/1000000</f>
        <v>4.8475300110815541E-3</v>
      </c>
      <c r="Y163" s="363">
        <f>'Industrial Process'!Y54/1000000</f>
        <v>5.0437862868338438E-3</v>
      </c>
      <c r="Z163" s="363">
        <f>'Industrial Process'!Z54/1000000</f>
        <v>5.1596055500068919E-3</v>
      </c>
      <c r="AA163" s="363">
        <f>'Industrial Process'!AA54/1000000</f>
        <v>3.6309609964041956E-3</v>
      </c>
      <c r="AB163" s="363">
        <f>'Industrial Process'!AB54/1000000</f>
        <v>3.6309609964041952E-3</v>
      </c>
      <c r="AC163" s="363">
        <f>'Industrial Process'!AC54/1000000</f>
        <v>5.0437862868338429E-3</v>
      </c>
      <c r="AD163" s="363">
        <f>'Industrial Process'!AD54/1000000</f>
        <v>5.0437862868338429E-3</v>
      </c>
      <c r="AE163" s="363">
        <f>'Industrial Process'!AE54/1000000</f>
        <v>5.0437862868338429E-3</v>
      </c>
      <c r="AF163" s="363">
        <f>'Industrial Process'!AF54/1000000</f>
        <v>9.8128137876144785E-4</v>
      </c>
      <c r="AG163" s="363">
        <f>'Industrial Process'!AG54/1000000</f>
        <v>9.8128137876144785E-4</v>
      </c>
      <c r="AH163" s="363">
        <f>'Industrial Process'!AH54/1000000</f>
        <v>9.8128137876144785E-4</v>
      </c>
      <c r="AI163" s="363">
        <f>'Industrial Process'!AI54/1000000</f>
        <v>9.8128137876144785E-4</v>
      </c>
      <c r="AJ163" s="28"/>
      <c r="AK163" s="328"/>
      <c r="AL163" s="483"/>
      <c r="AN163" s="354"/>
    </row>
    <row r="164" spans="1:53" x14ac:dyDescent="0.4">
      <c r="A164" s="28" t="str">
        <f>'Industrial Process'!A55</f>
        <v>Semiconductor Manufacture</v>
      </c>
      <c r="B164" s="363">
        <f>'Industrial Process'!B55/1000000</f>
        <v>8.8073545482425117E-2</v>
      </c>
      <c r="C164" s="363">
        <f>'Industrial Process'!C55/1000000</f>
        <v>6.8687375672581139E-2</v>
      </c>
      <c r="D164" s="363">
        <f>'Industrial Process'!D55/1000000</f>
        <v>6.8687375672581139E-2</v>
      </c>
      <c r="E164" s="363">
        <f>'Industrial Process'!E55/1000000</f>
        <v>8.5859219590726413E-2</v>
      </c>
      <c r="F164" s="363">
        <f>'Industrial Process'!F55/1000000</f>
        <v>9.4445141549799036E-2</v>
      </c>
      <c r="G164" s="363">
        <f>'Industrial Process'!G55/1000000</f>
        <v>0.11868550870854423</v>
      </c>
      <c r="H164" s="363">
        <f>'Industrial Process'!H55/1000000</f>
        <v>0.1317958492288781</v>
      </c>
      <c r="I164" s="363">
        <f>'Industrial Process'!I55/1000000</f>
        <v>0.13928186075055354</v>
      </c>
      <c r="J164" s="363">
        <f>'Industrial Process'!J55/1000000</f>
        <v>0.17078407838269841</v>
      </c>
      <c r="K164" s="363">
        <f>'Industrial Process'!K55/1000000</f>
        <v>0.17330476234678943</v>
      </c>
      <c r="L164" s="363">
        <f>'Industrial Process'!L55/1000000</f>
        <v>0.14608970036657434</v>
      </c>
      <c r="M164" s="363">
        <f>'Industrial Process'!M55/1000000</f>
        <v>0.10380302786908729</v>
      </c>
      <c r="N164" s="363">
        <f>'Industrial Process'!N55/1000000</f>
        <v>0.10678466505575596</v>
      </c>
      <c r="O164" s="363">
        <f>'Industrial Process'!O55/1000000</f>
        <v>0.10237203470196257</v>
      </c>
      <c r="P164" s="363">
        <f>'Industrial Process'!P55/1000000</f>
        <v>9.6836086763931101E-2</v>
      </c>
      <c r="Q164" s="363">
        <f>'Industrial Process'!Q55/1000000</f>
        <v>9.1604045373279305E-2</v>
      </c>
      <c r="R164" s="363">
        <f>'Industrial Process'!R55/1000000</f>
        <v>0.10006023805140754</v>
      </c>
      <c r="S164" s="363">
        <f>'Industrial Process'!S55/1000000</f>
        <v>9.1343210095773758E-2</v>
      </c>
      <c r="T164" s="363">
        <f>'Industrial Process'!T55/1000000</f>
        <v>8.4723448373459909E-2</v>
      </c>
      <c r="U164" s="363">
        <f>'Industrial Process'!U55/1000000</f>
        <v>6.0982813009592615E-2</v>
      </c>
      <c r="V164" s="363">
        <f>'Industrial Process'!V55/1000000</f>
        <v>7.9237951781557361E-2</v>
      </c>
      <c r="W164" s="363">
        <f>'Industrial Process'!W55/1000000</f>
        <v>0.10732824258206997</v>
      </c>
      <c r="X164" s="363">
        <f>'Industrial Process'!X55/1000000</f>
        <v>9.9448690769326428E-2</v>
      </c>
      <c r="Y164" s="363">
        <f>'Industrial Process'!Y55/1000000</f>
        <v>8.4397571332260182E-2</v>
      </c>
      <c r="Z164" s="363">
        <f>'Industrial Process'!Z55/1000000</f>
        <v>8.2231850991114103E-2</v>
      </c>
      <c r="AA164" s="363">
        <f>'Industrial Process'!AA55/1000000</f>
        <v>7.5731365477471418E-2</v>
      </c>
      <c r="AB164" s="363">
        <f>'Industrial Process'!AB55/1000000</f>
        <v>7.4323330776261534E-2</v>
      </c>
      <c r="AC164" s="363">
        <f>'Industrial Process'!AC55/1000000</f>
        <v>7.8446746126000721E-2</v>
      </c>
      <c r="AD164" s="363">
        <f>'Industrial Process'!AD55/1000000</f>
        <v>7.2250736409737587E-2</v>
      </c>
      <c r="AE164" s="363">
        <f>'Industrial Process'!AE55/1000000</f>
        <v>6.1995193872062003E-2</v>
      </c>
      <c r="AF164" s="363">
        <f>'Industrial Process'!AF55/1000000</f>
        <v>4.2663984536608975E-2</v>
      </c>
      <c r="AG164" s="363">
        <f>'Industrial Process'!AG55/1000000</f>
        <v>5.4598892611646431E-2</v>
      </c>
      <c r="AH164" s="363">
        <f>'Industrial Process'!AH55/1000000</f>
        <v>5.6432113461140458E-2</v>
      </c>
      <c r="AI164" s="363">
        <f>'Industrial Process'!AI55/1000000</f>
        <v>4.3496332942007221E-2</v>
      </c>
      <c r="AJ164" s="28"/>
      <c r="AK164" s="328"/>
      <c r="AL164" s="483"/>
      <c r="AN164" s="354"/>
    </row>
    <row r="165" spans="1:53" x14ac:dyDescent="0.4">
      <c r="A165" s="28" t="str">
        <f>'Industrial Process'!A57</f>
        <v>SF6 and PFCs from other product use</v>
      </c>
      <c r="B165" s="363" t="s">
        <v>369</v>
      </c>
      <c r="C165" s="363">
        <f>'Industrial Process'!C57/1000000</f>
        <v>9.1039363622645343E-3</v>
      </c>
      <c r="D165" s="363">
        <f>'Industrial Process'!D57/1000000</f>
        <v>9.1039363622645343E-3</v>
      </c>
      <c r="E165" s="363">
        <f>'Industrial Process'!E57/1000000</f>
        <v>9.1039363622645343E-3</v>
      </c>
      <c r="F165" s="363">
        <f>'Industrial Process'!F57/1000000</f>
        <v>9.1039363622645343E-3</v>
      </c>
      <c r="G165" s="363">
        <f>'Industrial Process'!G57/1000000</f>
        <v>9.1039363622645343E-3</v>
      </c>
      <c r="H165" s="363">
        <f>'Industrial Process'!H57/1000000</f>
        <v>9.1039363622645343E-3</v>
      </c>
      <c r="I165" s="363">
        <f>'Industrial Process'!I57/1000000</f>
        <v>9.1039363622645343E-3</v>
      </c>
      <c r="J165" s="363">
        <f>'Industrial Process'!J57/1000000</f>
        <v>9.1039363622645343E-3</v>
      </c>
      <c r="K165" s="363">
        <f>'Industrial Process'!K57/1000000</f>
        <v>9.1039363622645343E-3</v>
      </c>
      <c r="L165" s="363">
        <f>'Industrial Process'!L57/1000000</f>
        <v>9.1039363622645343E-3</v>
      </c>
      <c r="M165" s="363">
        <f>'Industrial Process'!M57/1000000</f>
        <v>9.1039363622645343E-3</v>
      </c>
      <c r="N165" s="363">
        <f>'Industrial Process'!N57/1000000</f>
        <v>9.1039363622645343E-3</v>
      </c>
      <c r="O165" s="363">
        <f>'Industrial Process'!O57/1000000</f>
        <v>9.1039363622645343E-3</v>
      </c>
      <c r="P165" s="363">
        <f>'Industrial Process'!P57/1000000</f>
        <v>9.1039363622645343E-3</v>
      </c>
      <c r="Q165" s="363">
        <f>'Industrial Process'!Q57/1000000</f>
        <v>4.9732930686197996E-2</v>
      </c>
      <c r="R165" s="363">
        <f>'Industrial Process'!R57/1000000</f>
        <v>4.9732930686197996E-2</v>
      </c>
      <c r="S165" s="363">
        <f>'Industrial Process'!S57/1000000</f>
        <v>5.0080730686197991E-2</v>
      </c>
      <c r="T165" s="363">
        <f>'Industrial Process'!T57/1000000</f>
        <v>9.1505850951920029E-2</v>
      </c>
      <c r="U165" s="363">
        <f>'Industrial Process'!U57/1000000</f>
        <v>6.5866948715557427E-2</v>
      </c>
      <c r="V165" s="363">
        <f>'Industrial Process'!V57/1000000</f>
        <v>4.119575708032959E-2</v>
      </c>
      <c r="W165" s="363">
        <f>'Industrial Process'!W57/1000000</f>
        <v>3.0597540115038409E-2</v>
      </c>
      <c r="X165" s="363">
        <f>'Industrial Process'!X57/1000000</f>
        <v>2.5765658268994039E-2</v>
      </c>
      <c r="Y165" s="363">
        <f>'Industrial Process'!Y57/1000000</f>
        <v>3.4929934991987772E-2</v>
      </c>
      <c r="Z165" s="363">
        <f>'Industrial Process'!Z57/1000000</f>
        <v>3.2695292722439775E-2</v>
      </c>
      <c r="AA165" s="363">
        <f>'Industrial Process'!AA57/1000000</f>
        <v>3.4762987764429681E-2</v>
      </c>
      <c r="AB165" s="363">
        <f>'Industrial Process'!AB57/1000000</f>
        <v>4.0587736950441974E-2</v>
      </c>
      <c r="AC165" s="363">
        <f>'Industrial Process'!AC57/1000000</f>
        <v>2.2966660626530414E-2</v>
      </c>
      <c r="AD165" s="363">
        <f>'Industrial Process'!AD57/1000000</f>
        <v>3.1500224436429761E-2</v>
      </c>
      <c r="AE165" s="363">
        <f>'Industrial Process'!AE57/1000000</f>
        <v>1.8436830248303358E-2</v>
      </c>
      <c r="AF165" s="363">
        <f>'Industrial Process'!AF57/1000000</f>
        <v>1.988603854618809E-2</v>
      </c>
      <c r="AG165" s="363">
        <f>'Industrial Process'!AG57/1000000</f>
        <v>3.181503381524757E-2</v>
      </c>
      <c r="AH165" s="363">
        <f>'Industrial Process'!AH57/1000000</f>
        <v>2.5651493256536147E-2</v>
      </c>
      <c r="AI165" s="363">
        <f>'Industrial Process'!AI57/1000000</f>
        <v>1.5539194825619397E-2</v>
      </c>
      <c r="AJ165" s="28"/>
      <c r="AK165" s="328"/>
      <c r="AL165" s="483"/>
      <c r="AN165" s="354"/>
    </row>
    <row r="166" spans="1:53" x14ac:dyDescent="0.4">
      <c r="A166" s="28" t="str">
        <f>'Industrial Process'!A58</f>
        <v>Substitution of Ozone Depleting Substances</v>
      </c>
      <c r="B166" s="363">
        <f>'Industrial Process'!B58/1000000</f>
        <v>5.4099844792000005E-3</v>
      </c>
      <c r="C166" s="363">
        <f>'Industrial Process'!C58/1000000</f>
        <v>1.2456725928918428E-2</v>
      </c>
      <c r="D166" s="363">
        <f>'Industrial Process'!D58/1000000</f>
        <v>3.0509953018260268E-2</v>
      </c>
      <c r="E166" s="363">
        <f>'Industrial Process'!E58/1000000</f>
        <v>9.5349548969635795E-2</v>
      </c>
      <c r="F166" s="363">
        <f>'Industrial Process'!F58/1000000</f>
        <v>0.22864032793701461</v>
      </c>
      <c r="G166" s="363">
        <f>'Industrial Process'!G58/1000000</f>
        <v>0.50324444906125565</v>
      </c>
      <c r="H166" s="363">
        <f>'Industrial Process'!H58/1000000</f>
        <v>0.71329043101121559</v>
      </c>
      <c r="I166" s="363">
        <f>'Industrial Process'!I58/1000000</f>
        <v>0.90981376063792474</v>
      </c>
      <c r="J166" s="363">
        <f>'Industrial Process'!J58/1000000</f>
        <v>1.0514312798421779</v>
      </c>
      <c r="K166" s="363">
        <f>'Industrial Process'!K58/1000000</f>
        <v>1.1950754627345945</v>
      </c>
      <c r="L166" s="363">
        <f>'Industrial Process'!L58/1000000</f>
        <v>1.3146361249262182</v>
      </c>
      <c r="M166" s="363">
        <f>'Industrial Process'!M58/1000000</f>
        <v>1.4303274014756053</v>
      </c>
      <c r="N166" s="363">
        <f>'Industrial Process'!N58/1000000</f>
        <v>1.5153649915778933</v>
      </c>
      <c r="O166" s="363">
        <f>'Industrial Process'!O58/1000000</f>
        <v>1.5917099985965057</v>
      </c>
      <c r="P166" s="363">
        <f>'Industrial Process'!P58/1000000</f>
        <v>1.6509303100036388</v>
      </c>
      <c r="Q166" s="363">
        <f>'Industrial Process'!Q58/1000000</f>
        <v>1.7231731184963863</v>
      </c>
      <c r="R166" s="363">
        <f>'Industrial Process'!R58/1000000</f>
        <v>1.8308076928199013</v>
      </c>
      <c r="S166" s="363">
        <f>'Industrial Process'!S58/1000000</f>
        <v>1.9570017674197022</v>
      </c>
      <c r="T166" s="363">
        <f>'Industrial Process'!T58/1000000</f>
        <v>2.1094862459690829</v>
      </c>
      <c r="U166" s="363">
        <f>'Industrial Process'!U58/1000000</f>
        <v>2.6590095271709338</v>
      </c>
      <c r="V166" s="363">
        <f>'Industrial Process'!V58/1000000</f>
        <v>2.2597988369627764</v>
      </c>
      <c r="W166" s="363">
        <f>'Industrial Process'!W58/1000000</f>
        <v>2.2708428574691961</v>
      </c>
      <c r="X166" s="363">
        <f>'Industrial Process'!X58/1000000</f>
        <v>2.6031911555602658</v>
      </c>
      <c r="Y166" s="363">
        <f>'Industrial Process'!Y58/1000000</f>
        <v>3.2742537401804706</v>
      </c>
      <c r="Z166" s="363">
        <f>'Industrial Process'!Z58/1000000</f>
        <v>3.6942114882698167</v>
      </c>
      <c r="AA166" s="363">
        <f>'Industrial Process'!AA58/1000000</f>
        <v>3.2104104472265025</v>
      </c>
      <c r="AB166" s="363">
        <f>'Industrial Process'!AB58/1000000</f>
        <v>3.2756330705315864</v>
      </c>
      <c r="AC166" s="363">
        <f>'Industrial Process'!AC58/1000000</f>
        <v>2.7811078029878629</v>
      </c>
      <c r="AD166" s="363">
        <f>'Industrial Process'!AD58/1000000</f>
        <v>3.264582590080308</v>
      </c>
      <c r="AE166" s="363">
        <f>'Industrial Process'!AE58/1000000</f>
        <v>3.1527951508113641</v>
      </c>
      <c r="AF166" s="363">
        <f>'Industrial Process'!AF58/1000000</f>
        <v>3.553206468307883</v>
      </c>
      <c r="AG166" s="363">
        <f>'Industrial Process'!AG58/1000000</f>
        <v>3.4826192950711334</v>
      </c>
      <c r="AH166" s="363">
        <f>'Industrial Process'!AH58/1000000</f>
        <v>2.9370750188921164</v>
      </c>
      <c r="AI166" s="363">
        <f>'Industrial Process'!AI58/1000000</f>
        <v>3.164009787859476</v>
      </c>
      <c r="AJ166" s="494"/>
      <c r="AK166" s="328"/>
      <c r="AL166" s="483"/>
      <c r="AN166" s="354"/>
    </row>
    <row r="167" spans="1:53" ht="17" x14ac:dyDescent="0.45">
      <c r="A167" s="160" t="s">
        <v>984</v>
      </c>
      <c r="B167" s="1176">
        <f>B161+B164+B166</f>
        <v>0.48138328615922965</v>
      </c>
      <c r="C167" s="359">
        <f>SUM(C161:C166)</f>
        <v>0.24081167932090694</v>
      </c>
      <c r="D167" s="359">
        <f t="shared" ref="D167:AI167" si="10">SUM(D161:D166)</f>
        <v>0.25761854776739168</v>
      </c>
      <c r="E167" s="359">
        <f t="shared" si="10"/>
        <v>0.33509362899405526</v>
      </c>
      <c r="F167" s="359">
        <f t="shared" si="10"/>
        <v>0.46867397127764959</v>
      </c>
      <c r="G167" s="359">
        <f t="shared" si="10"/>
        <v>0.75640210091777871</v>
      </c>
      <c r="H167" s="359">
        <f t="shared" si="10"/>
        <v>0.96938206474521538</v>
      </c>
      <c r="I167" s="359">
        <f t="shared" si="10"/>
        <v>1.1643900472507429</v>
      </c>
      <c r="J167" s="359">
        <f t="shared" si="10"/>
        <v>1.3214584254442836</v>
      </c>
      <c r="K167" s="359">
        <f t="shared" si="10"/>
        <v>1.4682569336579343</v>
      </c>
      <c r="L167" s="359">
        <f t="shared" si="10"/>
        <v>1.5572411752264856</v>
      </c>
      <c r="M167" s="359">
        <f t="shared" si="10"/>
        <v>1.6296344206355287</v>
      </c>
      <c r="N167" s="359">
        <f t="shared" si="10"/>
        <v>1.7117072892816281</v>
      </c>
      <c r="O167" s="359">
        <f t="shared" si="10"/>
        <v>1.7819233073035901</v>
      </c>
      <c r="P167" s="359">
        <f t="shared" si="10"/>
        <v>1.8338913121298344</v>
      </c>
      <c r="Q167" s="359">
        <f t="shared" si="10"/>
        <v>1.9388747149130066</v>
      </c>
      <c r="R167" s="359">
        <f t="shared" si="10"/>
        <v>2.0497218899822927</v>
      </c>
      <c r="S167" s="359">
        <f t="shared" si="10"/>
        <v>2.1643771169528527</v>
      </c>
      <c r="T167" s="359">
        <f t="shared" si="10"/>
        <v>2.3505064150846593</v>
      </c>
      <c r="U167" s="359">
        <f t="shared" si="10"/>
        <v>2.8498186701855479</v>
      </c>
      <c r="V167" s="359">
        <f t="shared" si="10"/>
        <v>2.435466765398965</v>
      </c>
      <c r="W167" s="359">
        <f t="shared" si="10"/>
        <v>2.4614264417496914</v>
      </c>
      <c r="X167" s="359">
        <f t="shared" si="10"/>
        <v>2.7783244164096677</v>
      </c>
      <c r="Y167" s="359">
        <f t="shared" si="10"/>
        <v>3.4375670597915522</v>
      </c>
      <c r="Z167" s="359">
        <f t="shared" si="10"/>
        <v>3.8533647275333776</v>
      </c>
      <c r="AA167" s="359">
        <f t="shared" si="10"/>
        <v>3.3599607194648078</v>
      </c>
      <c r="AB167" s="359">
        <f t="shared" si="10"/>
        <v>3.4292406932546942</v>
      </c>
      <c r="AC167" s="359">
        <f t="shared" si="10"/>
        <v>2.9226904040272279</v>
      </c>
      <c r="AD167" s="359">
        <f t="shared" si="10"/>
        <v>3.4116359632133091</v>
      </c>
      <c r="AE167" s="359">
        <f t="shared" si="10"/>
        <v>3.2813511702185632</v>
      </c>
      <c r="AF167" s="359">
        <f t="shared" si="10"/>
        <v>3.6593351527694415</v>
      </c>
      <c r="AG167" s="359">
        <f t="shared" si="10"/>
        <v>3.6159355158767887</v>
      </c>
      <c r="AH167" s="359">
        <f t="shared" si="10"/>
        <v>3.0642051009885547</v>
      </c>
      <c r="AI167" s="359">
        <f t="shared" si="10"/>
        <v>3.2664308140058642</v>
      </c>
      <c r="AJ167" s="28"/>
      <c r="AK167" s="328"/>
      <c r="AL167" s="483"/>
      <c r="AN167" s="354"/>
    </row>
    <row r="168" spans="1:53" x14ac:dyDescent="0.4">
      <c r="A168" s="28" t="s">
        <v>1063</v>
      </c>
      <c r="B168" s="363"/>
      <c r="C168" s="363"/>
      <c r="D168" s="363"/>
      <c r="E168" s="363"/>
      <c r="F168" s="363"/>
      <c r="G168" s="363"/>
      <c r="H168" s="363"/>
      <c r="I168" s="363"/>
      <c r="J168" s="363"/>
      <c r="K168" s="363"/>
      <c r="L168" s="363"/>
      <c r="M168" s="363"/>
      <c r="N168" s="363"/>
      <c r="O168" s="363"/>
      <c r="P168" s="363"/>
      <c r="Q168" s="363"/>
      <c r="R168" s="363"/>
      <c r="S168" s="363"/>
      <c r="T168" s="363"/>
      <c r="U168" s="363"/>
      <c r="V168" s="363"/>
      <c r="W168" s="363"/>
      <c r="X168" s="363"/>
      <c r="Y168" s="363"/>
      <c r="Z168" s="363"/>
      <c r="AA168" s="363"/>
      <c r="AB168" s="363"/>
      <c r="AC168" s="363"/>
      <c r="AD168" s="363"/>
      <c r="AE168" s="363"/>
      <c r="AF168" s="363"/>
      <c r="AG168" s="363"/>
      <c r="AH168" s="363"/>
      <c r="AI168" s="363"/>
      <c r="AJ168" s="28"/>
      <c r="AK168" s="328"/>
      <c r="AL168" s="483"/>
      <c r="AN168" s="354"/>
    </row>
    <row r="169" spans="1:53" x14ac:dyDescent="0.4">
      <c r="A169" s="493"/>
      <c r="B169" s="363"/>
      <c r="C169" s="363"/>
      <c r="D169" s="363"/>
      <c r="E169" s="363"/>
      <c r="F169" s="363"/>
      <c r="G169" s="363"/>
      <c r="H169" s="363"/>
      <c r="I169" s="363"/>
      <c r="J169" s="363"/>
      <c r="K169" s="363"/>
      <c r="L169" s="363"/>
      <c r="M169" s="363"/>
      <c r="N169" s="363"/>
      <c r="O169" s="363"/>
      <c r="P169" s="363"/>
      <c r="Q169" s="363"/>
      <c r="R169" s="363"/>
      <c r="S169" s="363"/>
      <c r="T169" s="363"/>
      <c r="U169" s="363"/>
      <c r="V169" s="363"/>
      <c r="W169" s="363"/>
      <c r="X169" s="363"/>
      <c r="Y169" s="363"/>
      <c r="Z169" s="363"/>
      <c r="AA169" s="363"/>
      <c r="AB169" s="363"/>
      <c r="AC169" s="363"/>
      <c r="AD169" s="363"/>
      <c r="AE169" s="363"/>
      <c r="AF169" s="363"/>
      <c r="AG169" s="363"/>
      <c r="AH169" s="363"/>
      <c r="AI169" s="363"/>
      <c r="AJ169" s="28"/>
      <c r="AK169" s="328"/>
      <c r="AL169" s="483"/>
      <c r="AN169" s="354"/>
    </row>
    <row r="170" spans="1:53" ht="17" x14ac:dyDescent="0.45">
      <c r="A170" s="108" t="s">
        <v>1550</v>
      </c>
      <c r="B170" s="363"/>
      <c r="C170" s="363"/>
      <c r="D170" s="363"/>
      <c r="E170" s="363"/>
      <c r="F170" s="363"/>
      <c r="G170" s="363"/>
      <c r="H170" s="363"/>
      <c r="I170" s="363"/>
      <c r="J170" s="363"/>
      <c r="K170" s="363"/>
      <c r="L170" s="363"/>
      <c r="M170" s="363"/>
      <c r="N170" s="363"/>
      <c r="O170" s="363"/>
      <c r="P170" s="363"/>
      <c r="Q170" s="363"/>
      <c r="R170" s="363"/>
      <c r="S170" s="363"/>
      <c r="T170" s="363"/>
      <c r="U170" s="363"/>
      <c r="V170" s="363"/>
      <c r="W170" s="363"/>
      <c r="X170" s="363"/>
      <c r="Y170" s="363"/>
      <c r="Z170" s="363"/>
      <c r="AA170" s="363"/>
      <c r="AB170" s="363"/>
      <c r="AC170" s="363"/>
      <c r="AD170" s="363"/>
      <c r="AE170" s="363"/>
      <c r="AF170" s="363"/>
      <c r="AG170" s="363"/>
      <c r="AH170" s="363"/>
      <c r="AI170" s="363"/>
      <c r="AJ170" s="28"/>
      <c r="AK170" s="328"/>
      <c r="AL170" s="483"/>
      <c r="AN170" s="354"/>
    </row>
    <row r="171" spans="1:53" s="1" customFormat="1" x14ac:dyDescent="0.4">
      <c r="A171" s="165" t="s">
        <v>690</v>
      </c>
      <c r="B171" s="1002" t="s">
        <v>391</v>
      </c>
      <c r="C171" s="1002" t="s">
        <v>392</v>
      </c>
      <c r="D171" s="1002" t="s">
        <v>393</v>
      </c>
      <c r="E171" s="1002" t="s">
        <v>394</v>
      </c>
      <c r="F171" s="1002" t="s">
        <v>395</v>
      </c>
      <c r="G171" s="1002" t="s">
        <v>396</v>
      </c>
      <c r="H171" s="1002" t="s">
        <v>397</v>
      </c>
      <c r="I171" s="1002" t="s">
        <v>398</v>
      </c>
      <c r="J171" s="1002" t="s">
        <v>399</v>
      </c>
      <c r="K171" s="1002" t="s">
        <v>400</v>
      </c>
      <c r="L171" s="1002" t="s">
        <v>401</v>
      </c>
      <c r="M171" s="1002" t="s">
        <v>402</v>
      </c>
      <c r="N171" s="1002" t="s">
        <v>403</v>
      </c>
      <c r="O171" s="1002" t="s">
        <v>404</v>
      </c>
      <c r="P171" s="1002" t="s">
        <v>405</v>
      </c>
      <c r="Q171" s="1002" t="s">
        <v>406</v>
      </c>
      <c r="R171" s="1002" t="s">
        <v>407</v>
      </c>
      <c r="S171" s="1002" t="s">
        <v>408</v>
      </c>
      <c r="T171" s="1002" t="s">
        <v>409</v>
      </c>
      <c r="U171" s="1002" t="s">
        <v>410</v>
      </c>
      <c r="V171" s="1002" t="s">
        <v>411</v>
      </c>
      <c r="W171" s="1002" t="s">
        <v>412</v>
      </c>
      <c r="X171" s="1002" t="s">
        <v>413</v>
      </c>
      <c r="Y171" s="1002" t="s">
        <v>414</v>
      </c>
      <c r="Z171" s="1002" t="s">
        <v>415</v>
      </c>
      <c r="AA171" s="1002" t="s">
        <v>416</v>
      </c>
      <c r="AB171" s="1002" t="s">
        <v>417</v>
      </c>
      <c r="AC171" s="1002" t="s">
        <v>418</v>
      </c>
      <c r="AD171" s="1002" t="s">
        <v>419</v>
      </c>
      <c r="AE171" s="1002" t="s">
        <v>420</v>
      </c>
      <c r="AF171" s="1002" t="s">
        <v>421</v>
      </c>
      <c r="AG171" s="1002" t="s">
        <v>422</v>
      </c>
      <c r="AH171" s="1002" t="s">
        <v>423</v>
      </c>
      <c r="AI171" s="1002" t="s">
        <v>424</v>
      </c>
      <c r="AJ171" s="28"/>
      <c r="AK171" s="28"/>
      <c r="AL171" s="28"/>
      <c r="AM171" s="28"/>
      <c r="AN171" s="28"/>
      <c r="AO171" s="28"/>
      <c r="AP171" s="28"/>
      <c r="AQ171" s="28"/>
      <c r="AR171" s="28"/>
      <c r="AS171" s="28"/>
      <c r="AT171" s="28"/>
      <c r="AU171" s="28"/>
      <c r="AV171" s="28"/>
      <c r="AW171" s="28"/>
      <c r="AX171" s="28"/>
      <c r="AY171" s="28"/>
      <c r="AZ171" s="28"/>
      <c r="BA171" s="28"/>
    </row>
    <row r="172" spans="1:53" ht="17" x14ac:dyDescent="0.45">
      <c r="A172" s="199" t="s">
        <v>505</v>
      </c>
      <c r="B172" s="496">
        <f>B126</f>
        <v>83.895847239273991</v>
      </c>
      <c r="C172" s="496">
        <f t="shared" ref="C172:AI172" si="11">C126</f>
        <v>82.439280973406937</v>
      </c>
      <c r="D172" s="496">
        <f t="shared" si="11"/>
        <v>84.075436428388443</v>
      </c>
      <c r="E172" s="496">
        <f t="shared" si="11"/>
        <v>81.359861789517367</v>
      </c>
      <c r="F172" s="496">
        <f t="shared" si="11"/>
        <v>81.794739723416455</v>
      </c>
      <c r="G172" s="496">
        <f t="shared" si="11"/>
        <v>79.382444176503583</v>
      </c>
      <c r="H172" s="496">
        <f t="shared" si="11"/>
        <v>79.693729182225709</v>
      </c>
      <c r="I172" s="496">
        <f t="shared" si="11"/>
        <v>85.657983627594589</v>
      </c>
      <c r="J172" s="496">
        <f t="shared" si="11"/>
        <v>83.89332227117734</v>
      </c>
      <c r="K172" s="496">
        <f t="shared" si="11"/>
        <v>81.498922285744428</v>
      </c>
      <c r="L172" s="496">
        <f t="shared" si="11"/>
        <v>83.093517920381245</v>
      </c>
      <c r="M172" s="496">
        <f t="shared" si="11"/>
        <v>82.968576597891371</v>
      </c>
      <c r="N172" s="496">
        <f t="shared" si="11"/>
        <v>84.067250909326603</v>
      </c>
      <c r="O172" s="496">
        <f t="shared" si="11"/>
        <v>86.309559866608794</v>
      </c>
      <c r="P172" s="496">
        <f t="shared" si="11"/>
        <v>84.181657050058135</v>
      </c>
      <c r="Q172" s="496">
        <f t="shared" si="11"/>
        <v>85.37767760850889</v>
      </c>
      <c r="R172" s="496">
        <f t="shared" si="11"/>
        <v>77.733614529752913</v>
      </c>
      <c r="S172" s="496">
        <f t="shared" si="11"/>
        <v>81.006231359953773</v>
      </c>
      <c r="T172" s="496">
        <f t="shared" si="11"/>
        <v>77.616496449332303</v>
      </c>
      <c r="U172" s="496">
        <f t="shared" si="11"/>
        <v>71.984982000487221</v>
      </c>
      <c r="V172" s="496">
        <f t="shared" si="11"/>
        <v>74.257060192012901</v>
      </c>
      <c r="W172" s="496">
        <f t="shared" si="11"/>
        <v>68.650278988048655</v>
      </c>
      <c r="X172" s="496">
        <f t="shared" si="11"/>
        <v>62.39311414856013</v>
      </c>
      <c r="Y172" s="496">
        <f t="shared" si="11"/>
        <v>66.483443440875277</v>
      </c>
      <c r="Z172" s="496">
        <f t="shared" si="11"/>
        <v>64.458438184126649</v>
      </c>
      <c r="AA172" s="496">
        <f t="shared" si="11"/>
        <v>65.887932043358646</v>
      </c>
      <c r="AB172" s="496">
        <f t="shared" si="11"/>
        <v>62.627936745975894</v>
      </c>
      <c r="AC172" s="496">
        <f t="shared" si="11"/>
        <v>62.977863680660462</v>
      </c>
      <c r="AD172" s="496">
        <f t="shared" si="11"/>
        <v>62.549790172242673</v>
      </c>
      <c r="AE172" s="496">
        <f t="shared" si="11"/>
        <v>61.303518117806661</v>
      </c>
      <c r="AF172" s="496">
        <f t="shared" si="11"/>
        <v>52.285677543838929</v>
      </c>
      <c r="AG172" s="496">
        <f t="shared" si="11"/>
        <v>56.154485899439308</v>
      </c>
      <c r="AH172" s="496">
        <f t="shared" si="11"/>
        <v>58.562695664346876</v>
      </c>
      <c r="AI172" s="496">
        <f t="shared" si="11"/>
        <v>55.643864378345249</v>
      </c>
      <c r="AJ172" s="28"/>
    </row>
    <row r="173" spans="1:53" ht="17" x14ac:dyDescent="0.45">
      <c r="A173" s="144" t="s">
        <v>506</v>
      </c>
      <c r="B173" s="359">
        <f>B141</f>
        <v>5.1761534036933918</v>
      </c>
      <c r="C173" s="359">
        <f t="shared" ref="C173:AI173" si="12">C141</f>
        <v>5.2588578922422258</v>
      </c>
      <c r="D173" s="359">
        <f t="shared" si="12"/>
        <v>5.1534549835317298</v>
      </c>
      <c r="E173" s="359">
        <f t="shared" si="12"/>
        <v>4.9532535948485208</v>
      </c>
      <c r="F173" s="359">
        <f t="shared" si="12"/>
        <v>4.8651668020091536</v>
      </c>
      <c r="G173" s="359">
        <f t="shared" si="12"/>
        <v>4.8301700610314438</v>
      </c>
      <c r="H173" s="359">
        <f t="shared" si="12"/>
        <v>4.377697573569483</v>
      </c>
      <c r="I173" s="359">
        <f t="shared" si="12"/>
        <v>3.8160529505157501</v>
      </c>
      <c r="J173" s="359">
        <f t="shared" si="12"/>
        <v>3.6466250893452283</v>
      </c>
      <c r="K173" s="359">
        <f t="shared" si="12"/>
        <v>3.5792152115569245</v>
      </c>
      <c r="L173" s="359">
        <f t="shared" si="12"/>
        <v>2.9297856896200645</v>
      </c>
      <c r="M173" s="359">
        <f t="shared" si="12"/>
        <v>2.4685266409127014</v>
      </c>
      <c r="N173" s="359">
        <f t="shared" si="12"/>
        <v>2.8111789670930203</v>
      </c>
      <c r="O173" s="359">
        <f t="shared" si="12"/>
        <v>3.2440338711628542</v>
      </c>
      <c r="P173" s="359">
        <f t="shared" si="12"/>
        <v>3.0235018803241052</v>
      </c>
      <c r="Q173" s="359">
        <f t="shared" si="12"/>
        <v>2.8651937713096518</v>
      </c>
      <c r="R173" s="359">
        <f t="shared" si="12"/>
        <v>2.6217170022063203</v>
      </c>
      <c r="S173" s="359">
        <f t="shared" si="12"/>
        <v>2.4947959286577639</v>
      </c>
      <c r="T173" s="359">
        <f t="shared" si="12"/>
        <v>2.4929152686757243</v>
      </c>
      <c r="U173" s="359">
        <f t="shared" si="12"/>
        <v>2.5304234827446681</v>
      </c>
      <c r="V173" s="359">
        <f t="shared" si="12"/>
        <v>2.0722903809955855</v>
      </c>
      <c r="W173" s="359">
        <f t="shared" si="12"/>
        <v>1.9028965959186102</v>
      </c>
      <c r="X173" s="359">
        <f t="shared" si="12"/>
        <v>1.9212919848134291</v>
      </c>
      <c r="Y173" s="359">
        <f t="shared" si="12"/>
        <v>1.833743330050011</v>
      </c>
      <c r="Z173" s="359">
        <f t="shared" si="12"/>
        <v>1.7524939307057326</v>
      </c>
      <c r="AA173" s="359">
        <f t="shared" si="12"/>
        <v>1.7809253095981572</v>
      </c>
      <c r="AB173" s="359">
        <f t="shared" si="12"/>
        <v>1.7005934655274793</v>
      </c>
      <c r="AC173" s="359">
        <f t="shared" si="12"/>
        <v>1.6455850091325299</v>
      </c>
      <c r="AD173" s="359">
        <f t="shared" si="12"/>
        <v>1.6270963244136896</v>
      </c>
      <c r="AE173" s="359">
        <f t="shared" si="12"/>
        <v>1.6351694601127658</v>
      </c>
      <c r="AF173" s="359">
        <f t="shared" si="12"/>
        <v>1.616329024558208</v>
      </c>
      <c r="AG173" s="359">
        <f t="shared" si="12"/>
        <v>1.5035796658630463</v>
      </c>
      <c r="AH173" s="359">
        <f t="shared" si="12"/>
        <v>1.5356745303637294</v>
      </c>
      <c r="AI173" s="359">
        <f t="shared" si="12"/>
        <v>1.4687829192079942</v>
      </c>
      <c r="AJ173" s="28"/>
      <c r="AK173" s="328"/>
    </row>
    <row r="174" spans="1:53" ht="17" x14ac:dyDescent="0.45">
      <c r="A174" s="144" t="s">
        <v>507</v>
      </c>
      <c r="B174" s="359">
        <f>B156</f>
        <v>1.5657831640407651</v>
      </c>
      <c r="C174" s="359">
        <f t="shared" ref="C174:AI174" si="13">C156</f>
        <v>1.6027346978523331</v>
      </c>
      <c r="D174" s="359">
        <f t="shared" si="13"/>
        <v>1.640814171994045</v>
      </c>
      <c r="E174" s="359">
        <f t="shared" si="13"/>
        <v>1.6112568347648981</v>
      </c>
      <c r="F174" s="359">
        <f t="shared" si="13"/>
        <v>1.6771113741448378</v>
      </c>
      <c r="G174" s="359">
        <f t="shared" si="13"/>
        <v>1.6924285668205588</v>
      </c>
      <c r="H174" s="359">
        <f t="shared" si="13"/>
        <v>1.7303933918243477</v>
      </c>
      <c r="I174" s="359">
        <f t="shared" si="13"/>
        <v>1.738043314551704</v>
      </c>
      <c r="J174" s="359">
        <f t="shared" si="13"/>
        <v>1.7372543976840522</v>
      </c>
      <c r="K174" s="359">
        <f t="shared" si="13"/>
        <v>1.6754021128680283</v>
      </c>
      <c r="L174" s="359">
        <f t="shared" si="13"/>
        <v>1.641234412176215</v>
      </c>
      <c r="M174" s="359">
        <f t="shared" si="13"/>
        <v>1.5834465866710299</v>
      </c>
      <c r="N174" s="359">
        <f t="shared" si="13"/>
        <v>1.5274409428169635</v>
      </c>
      <c r="O174" s="359">
        <f t="shared" si="13"/>
        <v>1.470367504162847</v>
      </c>
      <c r="P174" s="359">
        <f t="shared" si="13"/>
        <v>1.4094041810437967</v>
      </c>
      <c r="Q174" s="359">
        <f t="shared" si="13"/>
        <v>1.3730452623301383</v>
      </c>
      <c r="R174" s="359">
        <f t="shared" si="13"/>
        <v>1.333905566142181</v>
      </c>
      <c r="S174" s="359">
        <f t="shared" si="13"/>
        <v>1.2274202222486517</v>
      </c>
      <c r="T174" s="359">
        <f t="shared" si="13"/>
        <v>1.1850958851657787</v>
      </c>
      <c r="U174" s="359">
        <f t="shared" si="13"/>
        <v>1.1079602299520588</v>
      </c>
      <c r="V174" s="359">
        <f t="shared" si="13"/>
        <v>1.050077327850883</v>
      </c>
      <c r="W174" s="359">
        <f t="shared" si="13"/>
        <v>1.0323466863830424</v>
      </c>
      <c r="X174" s="359">
        <f t="shared" si="13"/>
        <v>0.95488989887944598</v>
      </c>
      <c r="Y174" s="359">
        <f t="shared" si="13"/>
        <v>0.94673619165162648</v>
      </c>
      <c r="Z174" s="359">
        <f t="shared" si="13"/>
        <v>0.91081683750913089</v>
      </c>
      <c r="AA174" s="359">
        <f t="shared" si="13"/>
        <v>0.84360663356800303</v>
      </c>
      <c r="AB174" s="359">
        <f t="shared" si="13"/>
        <v>0.80182939100955486</v>
      </c>
      <c r="AC174" s="359">
        <f t="shared" si="13"/>
        <v>0.78435299149927962</v>
      </c>
      <c r="AD174" s="359">
        <f t="shared" si="13"/>
        <v>0.73810720781031058</v>
      </c>
      <c r="AE174" s="359">
        <f t="shared" si="13"/>
        <v>0.76983335180993528</v>
      </c>
      <c r="AF174" s="359">
        <f t="shared" si="13"/>
        <v>0.70633413157157365</v>
      </c>
      <c r="AG174" s="359">
        <f t="shared" si="13"/>
        <v>0.71120841859766937</v>
      </c>
      <c r="AH174" s="359">
        <f t="shared" si="13"/>
        <v>0.72741605679153498</v>
      </c>
      <c r="AI174" s="359">
        <f t="shared" si="13"/>
        <v>0.71391148986715747</v>
      </c>
      <c r="AJ174" s="28"/>
      <c r="AK174" s="328"/>
      <c r="AL174" s="483"/>
      <c r="AN174" s="354"/>
    </row>
    <row r="175" spans="1:53" ht="17" x14ac:dyDescent="0.45">
      <c r="A175" s="1469" t="s">
        <v>1418</v>
      </c>
      <c r="B175" s="359">
        <f>B167</f>
        <v>0.48138328615922965</v>
      </c>
      <c r="C175" s="359">
        <f t="shared" ref="C175:AI175" si="14">C167</f>
        <v>0.24081167932090694</v>
      </c>
      <c r="D175" s="359">
        <f t="shared" si="14"/>
        <v>0.25761854776739168</v>
      </c>
      <c r="E175" s="359">
        <f t="shared" si="14"/>
        <v>0.33509362899405526</v>
      </c>
      <c r="F175" s="359">
        <f t="shared" si="14"/>
        <v>0.46867397127764959</v>
      </c>
      <c r="G175" s="359">
        <f t="shared" si="14"/>
        <v>0.75640210091777871</v>
      </c>
      <c r="H175" s="359">
        <f t="shared" si="14"/>
        <v>0.96938206474521538</v>
      </c>
      <c r="I175" s="359">
        <f t="shared" si="14"/>
        <v>1.1643900472507429</v>
      </c>
      <c r="J175" s="359">
        <f t="shared" si="14"/>
        <v>1.3214584254442836</v>
      </c>
      <c r="K175" s="359">
        <f t="shared" si="14"/>
        <v>1.4682569336579343</v>
      </c>
      <c r="L175" s="359">
        <f t="shared" si="14"/>
        <v>1.5572411752264856</v>
      </c>
      <c r="M175" s="359">
        <f t="shared" si="14"/>
        <v>1.6296344206355287</v>
      </c>
      <c r="N175" s="359">
        <f t="shared" si="14"/>
        <v>1.7117072892816281</v>
      </c>
      <c r="O175" s="359">
        <f t="shared" si="14"/>
        <v>1.7819233073035901</v>
      </c>
      <c r="P175" s="359">
        <f t="shared" si="14"/>
        <v>1.8338913121298344</v>
      </c>
      <c r="Q175" s="359">
        <f t="shared" si="14"/>
        <v>1.9388747149130066</v>
      </c>
      <c r="R175" s="359">
        <f t="shared" si="14"/>
        <v>2.0497218899822927</v>
      </c>
      <c r="S175" s="359">
        <f t="shared" si="14"/>
        <v>2.1643771169528527</v>
      </c>
      <c r="T175" s="359">
        <f t="shared" si="14"/>
        <v>2.3505064150846593</v>
      </c>
      <c r="U175" s="359">
        <f t="shared" si="14"/>
        <v>2.8498186701855479</v>
      </c>
      <c r="V175" s="359">
        <f>V167</f>
        <v>2.435466765398965</v>
      </c>
      <c r="W175" s="359">
        <f t="shared" si="14"/>
        <v>2.4614264417496914</v>
      </c>
      <c r="X175" s="359">
        <f t="shared" si="14"/>
        <v>2.7783244164096677</v>
      </c>
      <c r="Y175" s="359">
        <f t="shared" si="14"/>
        <v>3.4375670597915522</v>
      </c>
      <c r="Z175" s="359">
        <f t="shared" si="14"/>
        <v>3.8533647275333776</v>
      </c>
      <c r="AA175" s="359">
        <f t="shared" si="14"/>
        <v>3.3599607194648078</v>
      </c>
      <c r="AB175" s="359">
        <f t="shared" si="14"/>
        <v>3.4292406932546942</v>
      </c>
      <c r="AC175" s="359">
        <f t="shared" si="14"/>
        <v>2.9226904040272279</v>
      </c>
      <c r="AD175" s="359">
        <f t="shared" si="14"/>
        <v>3.4116359632133091</v>
      </c>
      <c r="AE175" s="359">
        <f t="shared" si="14"/>
        <v>3.2813511702185632</v>
      </c>
      <c r="AF175" s="359">
        <f t="shared" si="14"/>
        <v>3.6593351527694415</v>
      </c>
      <c r="AG175" s="359">
        <f t="shared" si="14"/>
        <v>3.6159355158767887</v>
      </c>
      <c r="AH175" s="359">
        <f t="shared" si="14"/>
        <v>3.0642051009885547</v>
      </c>
      <c r="AI175" s="359">
        <f t="shared" si="14"/>
        <v>3.2664308140058642</v>
      </c>
      <c r="AJ175" s="28"/>
      <c r="AK175" s="328"/>
      <c r="AL175" s="483"/>
      <c r="AN175" s="354"/>
    </row>
    <row r="176" spans="1:53" ht="17.5" thickBot="1" x14ac:dyDescent="0.5">
      <c r="A176" s="28" t="s">
        <v>985</v>
      </c>
      <c r="B176" s="363">
        <f>'Electricity Imports'!B9</f>
        <v>1.8858940212182027</v>
      </c>
      <c r="C176" s="363">
        <f>'Electricity Imports'!C9</f>
        <v>1.1724041159564047</v>
      </c>
      <c r="D176" s="363">
        <f>'Electricity Imports'!D9</f>
        <v>1.4752219821672543</v>
      </c>
      <c r="E176" s="363">
        <f>'Electricity Imports'!E9</f>
        <v>2.1606319969895238</v>
      </c>
      <c r="F176" s="363">
        <f>'Electricity Imports'!F9</f>
        <v>1.8606896976971012</v>
      </c>
      <c r="G176" s="363">
        <f>'Electricity Imports'!G9</f>
        <v>1.9424413128723124</v>
      </c>
      <c r="H176" s="363">
        <f>'Electricity Imports'!H9</f>
        <v>2.1100141227923412</v>
      </c>
      <c r="I176" s="363">
        <f>'Electricity Imports'!I9</f>
        <v>0.92218599359594056</v>
      </c>
      <c r="J176" s="363">
        <f>'Electricity Imports'!J9</f>
        <v>0.9110947061645297</v>
      </c>
      <c r="K176" s="363">
        <f>'Electricity Imports'!K9</f>
        <v>2.2206927454267458</v>
      </c>
      <c r="L176" s="363">
        <f>'Electricity Imports'!L9</f>
        <v>3.1177751602306079</v>
      </c>
      <c r="M176" s="363">
        <f>'Electricity Imports'!M9</f>
        <v>2.7304610756268213</v>
      </c>
      <c r="N176" s="363">
        <f>'Electricity Imports'!N9</f>
        <v>3.3680431512014977</v>
      </c>
      <c r="O176" s="363">
        <f>'Electricity Imports'!O9</f>
        <v>2.7376472247771821</v>
      </c>
      <c r="P176" s="363">
        <f>'Electricity Imports'!P9</f>
        <v>2.8617100488563549</v>
      </c>
      <c r="Q176" s="363">
        <f>'Electricity Imports'!Q9</f>
        <v>3.4144696386176672</v>
      </c>
      <c r="R176" s="363">
        <f>'Electricity Imports'!R9</f>
        <v>2.5534994899415717</v>
      </c>
      <c r="S176" s="363">
        <f>'Electricity Imports'!S9</f>
        <v>2.2266959156511517</v>
      </c>
      <c r="T176" s="363">
        <f>'Electricity Imports'!T9</f>
        <v>2.7135384030986245</v>
      </c>
      <c r="U176" s="363">
        <f>'Electricity Imports'!U9</f>
        <v>2.7435998839761511</v>
      </c>
      <c r="V176" s="363">
        <f>'Electricity Imports'!V9</f>
        <v>2.4424966762479952</v>
      </c>
      <c r="W176" s="363">
        <f>'Electricity Imports'!W9</f>
        <v>2.762607960078582</v>
      </c>
      <c r="X176" s="363">
        <f>'Electricity Imports'!X9</f>
        <v>2.5791425425944108</v>
      </c>
      <c r="Y176" s="363">
        <f>'Electricity Imports'!Y9</f>
        <v>2.5775033696333551</v>
      </c>
      <c r="Z176" s="363">
        <f>'Electricity Imports'!Z9</f>
        <v>2.8572204393981666</v>
      </c>
      <c r="AA176" s="363">
        <f>'Electricity Imports'!AA9</f>
        <v>3.1280148954123335</v>
      </c>
      <c r="AB176" s="363">
        <f>'Electricity Imports'!AB9</f>
        <v>2.7685856857608093</v>
      </c>
      <c r="AC176" s="363">
        <f>'Electricity Imports'!AC9</f>
        <v>2.1456933025826213</v>
      </c>
      <c r="AD176" s="363">
        <f>'Electricity Imports'!AD9</f>
        <v>3.3046574846037937</v>
      </c>
      <c r="AE176" s="363">
        <f>'Electricity Imports'!AE9</f>
        <v>3.3996567306085903</v>
      </c>
      <c r="AF176" s="363">
        <f>'Electricity Imports'!AF9</f>
        <v>5.8843166806447158</v>
      </c>
      <c r="AG176" s="363">
        <f>'Electricity Imports'!AG9</f>
        <v>5.111868658436177</v>
      </c>
      <c r="AH176" s="363">
        <f>'Electricity Imports'!AH9</f>
        <v>4.1323357808358683</v>
      </c>
      <c r="AI176" s="363">
        <f>'Electricity Imports'!AI9</f>
        <v>4.0468233593785614</v>
      </c>
      <c r="AJ176" s="28"/>
      <c r="AK176" s="328"/>
      <c r="AL176" s="483"/>
      <c r="AN176" s="354"/>
    </row>
    <row r="177" spans="1:53" ht="16.5" thickBot="1" x14ac:dyDescent="0.45">
      <c r="A177" s="122" t="s">
        <v>21</v>
      </c>
      <c r="B177" s="1178">
        <f>B172+B173+B174+B175+B176</f>
        <v>93.005061114385583</v>
      </c>
      <c r="C177" s="485">
        <f t="shared" ref="C177:AI177" si="15">C172+C173+C174+C175+C176</f>
        <v>90.714089358778807</v>
      </c>
      <c r="D177" s="485">
        <f t="shared" si="15"/>
        <v>92.602546113848874</v>
      </c>
      <c r="E177" s="485">
        <f t="shared" si="15"/>
        <v>90.42009784511437</v>
      </c>
      <c r="F177" s="485">
        <f t="shared" si="15"/>
        <v>90.666381568545205</v>
      </c>
      <c r="G177" s="485">
        <f t="shared" si="15"/>
        <v>88.603886218145675</v>
      </c>
      <c r="H177" s="485">
        <f t="shared" si="15"/>
        <v>88.881216335157092</v>
      </c>
      <c r="I177" s="485">
        <f t="shared" si="15"/>
        <v>93.298655933508741</v>
      </c>
      <c r="J177" s="485">
        <f t="shared" si="15"/>
        <v>91.50975488981544</v>
      </c>
      <c r="K177" s="485">
        <f t="shared" si="15"/>
        <v>90.44248928925407</v>
      </c>
      <c r="L177" s="485">
        <f t="shared" si="15"/>
        <v>92.339554357634611</v>
      </c>
      <c r="M177" s="485">
        <f t="shared" si="15"/>
        <v>91.380645321737447</v>
      </c>
      <c r="N177" s="485">
        <f t="shared" si="15"/>
        <v>93.485621259719721</v>
      </c>
      <c r="O177" s="485">
        <f t="shared" si="15"/>
        <v>95.543531774015264</v>
      </c>
      <c r="P177" s="485">
        <f t="shared" si="15"/>
        <v>93.310164472412225</v>
      </c>
      <c r="Q177" s="485">
        <f t="shared" si="15"/>
        <v>94.969260995679349</v>
      </c>
      <c r="R177" s="485">
        <f t="shared" si="15"/>
        <v>86.292458478025281</v>
      </c>
      <c r="S177" s="485">
        <f t="shared" si="15"/>
        <v>89.119520543464191</v>
      </c>
      <c r="T177" s="485">
        <f t="shared" si="15"/>
        <v>86.358552421357103</v>
      </c>
      <c r="U177" s="485">
        <f t="shared" si="15"/>
        <v>81.216784267345631</v>
      </c>
      <c r="V177" s="485">
        <f t="shared" si="15"/>
        <v>82.257391342506338</v>
      </c>
      <c r="W177" s="485">
        <f t="shared" si="15"/>
        <v>76.809556672178573</v>
      </c>
      <c r="X177" s="485">
        <f t="shared" si="15"/>
        <v>70.626762991257081</v>
      </c>
      <c r="Y177" s="485">
        <f t="shared" si="15"/>
        <v>75.278993392001809</v>
      </c>
      <c r="Z177" s="485">
        <f t="shared" si="15"/>
        <v>73.832334119273057</v>
      </c>
      <c r="AA177" s="485">
        <f t="shared" si="15"/>
        <v>75.000439601401951</v>
      </c>
      <c r="AB177" s="485">
        <f t="shared" si="15"/>
        <v>71.328185981528435</v>
      </c>
      <c r="AC177" s="485">
        <f t="shared" si="15"/>
        <v>70.476185387902106</v>
      </c>
      <c r="AD177" s="485">
        <f t="shared" si="15"/>
        <v>71.63128715228379</v>
      </c>
      <c r="AE177" s="485">
        <f t="shared" si="15"/>
        <v>70.3895288305565</v>
      </c>
      <c r="AF177" s="485">
        <f t="shared" si="15"/>
        <v>64.151992533382867</v>
      </c>
      <c r="AG177" s="485">
        <f t="shared" si="15"/>
        <v>67.097078158212994</v>
      </c>
      <c r="AH177" s="485">
        <f t="shared" si="15"/>
        <v>68.022327133326556</v>
      </c>
      <c r="AI177" s="485">
        <f t="shared" si="15"/>
        <v>65.139812960804832</v>
      </c>
      <c r="AJ177" s="28"/>
      <c r="AK177" s="328"/>
      <c r="AL177" s="483"/>
      <c r="AN177" s="354"/>
    </row>
    <row r="178" spans="1:53" x14ac:dyDescent="0.4">
      <c r="A178" s="28" t="s">
        <v>1063</v>
      </c>
      <c r="B178" s="486"/>
      <c r="C178" s="486"/>
      <c r="D178" s="486"/>
      <c r="E178" s="486"/>
      <c r="F178" s="486"/>
      <c r="G178" s="486"/>
      <c r="H178" s="486"/>
      <c r="I178" s="486"/>
      <c r="J178" s="486"/>
      <c r="K178" s="486"/>
      <c r="L178" s="486"/>
      <c r="M178" s="486"/>
      <c r="N178" s="486"/>
      <c r="O178" s="486"/>
      <c r="P178" s="486"/>
      <c r="Q178" s="486"/>
      <c r="R178" s="486"/>
      <c r="S178" s="486"/>
      <c r="T178" s="486"/>
      <c r="U178" s="486"/>
      <c r="V178" s="486"/>
      <c r="W178" s="486"/>
      <c r="X178" s="486"/>
      <c r="Y178" s="486"/>
      <c r="Z178" s="486"/>
      <c r="AA178" s="486"/>
      <c r="AB178" s="486"/>
      <c r="AC178" s="486"/>
      <c r="AD178" s="486"/>
      <c r="AE178" s="486"/>
      <c r="AF178" s="486"/>
      <c r="AG178" s="486"/>
      <c r="AH178" s="486"/>
      <c r="AI178" s="486"/>
      <c r="AJ178" s="28"/>
      <c r="AK178" s="329"/>
      <c r="AL178" s="480"/>
      <c r="AN178" s="354"/>
    </row>
    <row r="179" spans="1:53" x14ac:dyDescent="0.4">
      <c r="A179" s="108"/>
      <c r="B179" s="486"/>
      <c r="C179" s="486"/>
      <c r="D179" s="486"/>
      <c r="E179" s="486"/>
      <c r="F179" s="486"/>
      <c r="G179" s="486"/>
      <c r="H179" s="486"/>
      <c r="I179" s="486"/>
      <c r="J179" s="486"/>
      <c r="K179" s="486"/>
      <c r="L179" s="486"/>
      <c r="M179" s="486"/>
      <c r="N179" s="486"/>
      <c r="O179" s="486"/>
      <c r="P179" s="486"/>
      <c r="Q179" s="486"/>
      <c r="R179" s="486"/>
      <c r="S179" s="486"/>
      <c r="T179" s="486"/>
      <c r="U179" s="486"/>
      <c r="V179" s="486"/>
      <c r="W179" s="486"/>
      <c r="X179" s="486"/>
      <c r="Y179" s="486"/>
      <c r="Z179" s="486"/>
      <c r="AA179" s="486"/>
      <c r="AB179" s="486"/>
      <c r="AC179" s="486"/>
      <c r="AD179" s="486"/>
      <c r="AE179" s="486"/>
      <c r="AF179" s="486"/>
      <c r="AG179" s="486"/>
      <c r="AH179" s="486"/>
      <c r="AI179" s="486"/>
      <c r="AJ179" s="28"/>
      <c r="AK179" s="329"/>
      <c r="AL179" s="480"/>
      <c r="AN179" s="354"/>
    </row>
    <row r="180" spans="1:53" ht="17" x14ac:dyDescent="0.45">
      <c r="A180" s="108" t="s">
        <v>1030</v>
      </c>
      <c r="B180" s="486"/>
      <c r="C180" s="486"/>
      <c r="D180" s="486"/>
      <c r="E180" s="486"/>
      <c r="F180" s="486"/>
      <c r="G180" s="486"/>
      <c r="H180" s="486"/>
      <c r="I180" s="486"/>
      <c r="J180" s="486"/>
      <c r="K180" s="486"/>
      <c r="L180" s="486"/>
      <c r="M180" s="486"/>
      <c r="N180" s="486"/>
      <c r="O180" s="486"/>
      <c r="P180" s="486"/>
      <c r="Q180" s="486"/>
      <c r="R180" s="486"/>
      <c r="S180" s="486"/>
      <c r="T180" s="486"/>
      <c r="U180" s="486"/>
      <c r="V180" s="486"/>
      <c r="W180" s="486"/>
      <c r="X180" s="486"/>
      <c r="Y180" s="486"/>
      <c r="Z180" s="486"/>
      <c r="AA180" s="486"/>
      <c r="AB180" s="486"/>
      <c r="AC180" s="486"/>
      <c r="AD180" s="486"/>
      <c r="AE180" s="486"/>
      <c r="AF180" s="486"/>
      <c r="AG180" s="486"/>
      <c r="AH180" s="486"/>
      <c r="AI180" s="486"/>
      <c r="AJ180" s="28"/>
      <c r="AK180" s="329"/>
      <c r="AL180" s="480"/>
      <c r="AN180" s="354"/>
    </row>
    <row r="181" spans="1:53" s="1" customFormat="1" x14ac:dyDescent="0.4">
      <c r="A181" s="165" t="s">
        <v>690</v>
      </c>
      <c r="B181" s="1002" t="s">
        <v>391</v>
      </c>
      <c r="C181" s="1002" t="s">
        <v>392</v>
      </c>
      <c r="D181" s="1002" t="s">
        <v>393</v>
      </c>
      <c r="E181" s="1002" t="s">
        <v>394</v>
      </c>
      <c r="F181" s="1002" t="s">
        <v>395</v>
      </c>
      <c r="G181" s="1002" t="s">
        <v>396</v>
      </c>
      <c r="H181" s="1002" t="s">
        <v>397</v>
      </c>
      <c r="I181" s="1002" t="s">
        <v>398</v>
      </c>
      <c r="J181" s="1002" t="s">
        <v>399</v>
      </c>
      <c r="K181" s="1002" t="s">
        <v>400</v>
      </c>
      <c r="L181" s="1002" t="s">
        <v>401</v>
      </c>
      <c r="M181" s="1002" t="s">
        <v>402</v>
      </c>
      <c r="N181" s="1002" t="s">
        <v>403</v>
      </c>
      <c r="O181" s="1002" t="s">
        <v>404</v>
      </c>
      <c r="P181" s="1002" t="s">
        <v>405</v>
      </c>
      <c r="Q181" s="1002" t="s">
        <v>406</v>
      </c>
      <c r="R181" s="1002" t="s">
        <v>407</v>
      </c>
      <c r="S181" s="1002" t="s">
        <v>408</v>
      </c>
      <c r="T181" s="1002" t="s">
        <v>409</v>
      </c>
      <c r="U181" s="1002" t="s">
        <v>410</v>
      </c>
      <c r="V181" s="1002" t="s">
        <v>411</v>
      </c>
      <c r="W181" s="1002" t="s">
        <v>412</v>
      </c>
      <c r="X181" s="1002" t="s">
        <v>413</v>
      </c>
      <c r="Y181" s="1002" t="s">
        <v>414</v>
      </c>
      <c r="Z181" s="1002" t="s">
        <v>415</v>
      </c>
      <c r="AA181" s="1002" t="s">
        <v>416</v>
      </c>
      <c r="AB181" s="1002" t="s">
        <v>417</v>
      </c>
      <c r="AC181" s="1002" t="s">
        <v>418</v>
      </c>
      <c r="AD181" s="1002" t="s">
        <v>419</v>
      </c>
      <c r="AE181" s="1002" t="s">
        <v>420</v>
      </c>
      <c r="AF181" s="1002" t="s">
        <v>421</v>
      </c>
      <c r="AG181" s="1002" t="s">
        <v>422</v>
      </c>
      <c r="AH181" s="1002" t="s">
        <v>423</v>
      </c>
      <c r="AI181" s="1002" t="s">
        <v>424</v>
      </c>
      <c r="AJ181" s="28"/>
      <c r="AK181" s="28"/>
      <c r="AL181" s="28"/>
      <c r="AM181" s="28"/>
      <c r="AN181" s="28"/>
      <c r="AO181" s="28"/>
      <c r="AP181" s="28"/>
      <c r="AQ181" s="28"/>
      <c r="AR181" s="28"/>
      <c r="AS181" s="28"/>
      <c r="AT181" s="28"/>
      <c r="AU181" s="28"/>
      <c r="AV181" s="28"/>
      <c r="AW181" s="28"/>
      <c r="AX181" s="28"/>
      <c r="AY181" s="28"/>
      <c r="AZ181" s="28"/>
      <c r="BA181" s="28"/>
    </row>
    <row r="182" spans="1:53" ht="17" x14ac:dyDescent="0.45">
      <c r="A182" s="144" t="s">
        <v>508</v>
      </c>
      <c r="B182" s="487">
        <f>B126*1000000</f>
        <v>83895847.239273995</v>
      </c>
      <c r="C182" s="487">
        <f t="shared" ref="C182:X182" si="16">C126*1000000</f>
        <v>82439280.973406941</v>
      </c>
      <c r="D182" s="487">
        <f t="shared" si="16"/>
        <v>84075436.428388447</v>
      </c>
      <c r="E182" s="487">
        <f t="shared" si="16"/>
        <v>81359861.789517373</v>
      </c>
      <c r="F182" s="487">
        <f t="shared" si="16"/>
        <v>81794739.723416463</v>
      </c>
      <c r="G182" s="487">
        <f t="shared" si="16"/>
        <v>79382444.176503584</v>
      </c>
      <c r="H182" s="487">
        <f t="shared" si="16"/>
        <v>79693729.182225704</v>
      </c>
      <c r="I182" s="487">
        <f t="shared" si="16"/>
        <v>85657983.62759459</v>
      </c>
      <c r="J182" s="487">
        <f t="shared" si="16"/>
        <v>83893322.271177337</v>
      </c>
      <c r="K182" s="487">
        <f t="shared" si="16"/>
        <v>81498922.285744429</v>
      </c>
      <c r="L182" s="487">
        <f t="shared" si="16"/>
        <v>83093517.920381248</v>
      </c>
      <c r="M182" s="487">
        <f t="shared" si="16"/>
        <v>82968576.597891375</v>
      </c>
      <c r="N182" s="487">
        <f t="shared" si="16"/>
        <v>84067250.909326598</v>
      </c>
      <c r="O182" s="487">
        <f t="shared" si="16"/>
        <v>86309559.866608799</v>
      </c>
      <c r="P182" s="487">
        <f t="shared" si="16"/>
        <v>84181657.050058141</v>
      </c>
      <c r="Q182" s="487">
        <f t="shared" si="16"/>
        <v>85377677.608508885</v>
      </c>
      <c r="R182" s="487">
        <f t="shared" si="16"/>
        <v>77733614.52975291</v>
      </c>
      <c r="S182" s="487">
        <f t="shared" si="16"/>
        <v>81006231.359953776</v>
      </c>
      <c r="T182" s="487">
        <f t="shared" si="16"/>
        <v>77616496.449332297</v>
      </c>
      <c r="U182" s="487">
        <f t="shared" si="16"/>
        <v>71984982.000487223</v>
      </c>
      <c r="V182" s="487">
        <f t="shared" si="16"/>
        <v>74257060.192012906</v>
      </c>
      <c r="W182" s="487">
        <f t="shared" si="16"/>
        <v>68650278.988048658</v>
      </c>
      <c r="X182" s="487">
        <f t="shared" si="16"/>
        <v>62393114.148560129</v>
      </c>
      <c r="Y182" s="487">
        <f t="shared" ref="Y182:AD182" si="17">Y126*1000000</f>
        <v>66483443.440875277</v>
      </c>
      <c r="Z182" s="487">
        <f t="shared" si="17"/>
        <v>64458438.184126653</v>
      </c>
      <c r="AA182" s="487">
        <f t="shared" si="17"/>
        <v>65887932.043358646</v>
      </c>
      <c r="AB182" s="487">
        <f t="shared" si="17"/>
        <v>62627936.745975897</v>
      </c>
      <c r="AC182" s="487">
        <f t="shared" si="17"/>
        <v>62977863.680660464</v>
      </c>
      <c r="AD182" s="487">
        <f t="shared" si="17"/>
        <v>62549790.172242671</v>
      </c>
      <c r="AE182" s="487">
        <f t="shared" ref="AE182:AF182" si="18">AE126*1000000</f>
        <v>61303518.117806658</v>
      </c>
      <c r="AF182" s="487">
        <f t="shared" si="18"/>
        <v>52285677.543838926</v>
      </c>
      <c r="AG182" s="487">
        <f t="shared" ref="AG182:AH182" si="19">AG126*1000000</f>
        <v>56154485.899439305</v>
      </c>
      <c r="AH182" s="487">
        <f t="shared" si="19"/>
        <v>58562695.664346874</v>
      </c>
      <c r="AI182" s="487">
        <f t="shared" ref="AI182" si="20">AI126*1000000</f>
        <v>55643864.378345251</v>
      </c>
      <c r="AJ182" s="28"/>
      <c r="AK182" s="329"/>
      <c r="AL182" s="480"/>
      <c r="AN182" s="354"/>
    </row>
    <row r="183" spans="1:53" ht="17" x14ac:dyDescent="0.45">
      <c r="A183" s="144" t="s">
        <v>509</v>
      </c>
      <c r="B183" s="487">
        <f t="shared" ref="B183:AI183" si="21">(B141/$B$189)*1000000</f>
        <v>207046.13614773567</v>
      </c>
      <c r="C183" s="487">
        <f t="shared" si="21"/>
        <v>210354.31568968904</v>
      </c>
      <c r="D183" s="487">
        <f t="shared" si="21"/>
        <v>206138.19934126921</v>
      </c>
      <c r="E183" s="487">
        <f t="shared" si="21"/>
        <v>198130.14379394084</v>
      </c>
      <c r="F183" s="487">
        <f t="shared" si="21"/>
        <v>194606.67208036614</v>
      </c>
      <c r="G183" s="487">
        <f t="shared" si="21"/>
        <v>193206.80244125775</v>
      </c>
      <c r="H183" s="487">
        <f t="shared" si="21"/>
        <v>175107.9029427793</v>
      </c>
      <c r="I183" s="487">
        <f t="shared" si="21"/>
        <v>152642.11802063001</v>
      </c>
      <c r="J183" s="487">
        <f t="shared" si="21"/>
        <v>145865.00357380914</v>
      </c>
      <c r="K183" s="487">
        <f t="shared" si="21"/>
        <v>143168.60846227696</v>
      </c>
      <c r="L183" s="487">
        <f t="shared" si="21"/>
        <v>117191.42758480259</v>
      </c>
      <c r="M183" s="487">
        <f t="shared" si="21"/>
        <v>98741.06563650805</v>
      </c>
      <c r="N183" s="487">
        <f t="shared" si="21"/>
        <v>112447.1586837208</v>
      </c>
      <c r="O183" s="487">
        <f t="shared" si="21"/>
        <v>129761.35484651416</v>
      </c>
      <c r="P183" s="487">
        <f t="shared" si="21"/>
        <v>120940.07521296421</v>
      </c>
      <c r="Q183" s="487">
        <f t="shared" si="21"/>
        <v>114607.75085238607</v>
      </c>
      <c r="R183" s="487">
        <f t="shared" si="21"/>
        <v>104868.68008825282</v>
      </c>
      <c r="S183" s="487">
        <f t="shared" si="21"/>
        <v>99791.837146310558</v>
      </c>
      <c r="T183" s="487">
        <f t="shared" si="21"/>
        <v>99716.610747028972</v>
      </c>
      <c r="U183" s="487">
        <f t="shared" si="21"/>
        <v>101216.93930978673</v>
      </c>
      <c r="V183" s="487">
        <f t="shared" si="21"/>
        <v>82891.615239823412</v>
      </c>
      <c r="W183" s="487">
        <f t="shared" si="21"/>
        <v>76115.863836744407</v>
      </c>
      <c r="X183" s="487">
        <f t="shared" si="21"/>
        <v>76851.67939253716</v>
      </c>
      <c r="Y183" s="487">
        <f t="shared" si="21"/>
        <v>73349.73320200044</v>
      </c>
      <c r="Z183" s="487">
        <f t="shared" si="21"/>
        <v>70099.757228229311</v>
      </c>
      <c r="AA183" s="487">
        <f t="shared" si="21"/>
        <v>71237.012383926281</v>
      </c>
      <c r="AB183" s="487">
        <f t="shared" si="21"/>
        <v>68023.738621099168</v>
      </c>
      <c r="AC183" s="487">
        <f t="shared" si="21"/>
        <v>65823.40036530119</v>
      </c>
      <c r="AD183" s="487">
        <f t="shared" si="21"/>
        <v>65083.852976547576</v>
      </c>
      <c r="AE183" s="487">
        <f t="shared" si="21"/>
        <v>65406.778404510631</v>
      </c>
      <c r="AF183" s="487">
        <f t="shared" si="21"/>
        <v>64653.160982328314</v>
      </c>
      <c r="AG183" s="487">
        <f t="shared" si="21"/>
        <v>60143.186634521851</v>
      </c>
      <c r="AH183" s="487">
        <f t="shared" si="21"/>
        <v>61426.981214549174</v>
      </c>
      <c r="AI183" s="487">
        <f t="shared" si="21"/>
        <v>58751.316768319768</v>
      </c>
      <c r="AJ183" s="28"/>
      <c r="AK183" s="329"/>
      <c r="AL183" s="480"/>
      <c r="AN183" s="354"/>
    </row>
    <row r="184" spans="1:53" ht="17" x14ac:dyDescent="0.45">
      <c r="A184" s="199" t="s">
        <v>510</v>
      </c>
      <c r="B184" s="495">
        <f t="shared" ref="B184:AI184" si="22">(B156/$B$190)*1000000</f>
        <v>5254.3059195998831</v>
      </c>
      <c r="C184" s="495">
        <f t="shared" si="22"/>
        <v>5378.3043552091713</v>
      </c>
      <c r="D184" s="495">
        <f t="shared" si="22"/>
        <v>5506.0878254833724</v>
      </c>
      <c r="E184" s="495">
        <f t="shared" si="22"/>
        <v>5406.9021300835502</v>
      </c>
      <c r="F184" s="495">
        <f t="shared" si="22"/>
        <v>5627.8905172645564</v>
      </c>
      <c r="G184" s="495">
        <f t="shared" si="22"/>
        <v>5679.2904926864385</v>
      </c>
      <c r="H184" s="495">
        <f t="shared" si="22"/>
        <v>5806.6892343098916</v>
      </c>
      <c r="I184" s="495">
        <f t="shared" si="22"/>
        <v>5832.3601159453156</v>
      </c>
      <c r="J184" s="495">
        <f t="shared" si="22"/>
        <v>5829.7127439062151</v>
      </c>
      <c r="K184" s="495">
        <f t="shared" si="22"/>
        <v>5622.1547411678803</v>
      </c>
      <c r="L184" s="495">
        <f t="shared" si="22"/>
        <v>5507.4980274369627</v>
      </c>
      <c r="M184" s="495">
        <f t="shared" si="22"/>
        <v>5313.5791499027855</v>
      </c>
      <c r="N184" s="495">
        <f t="shared" si="22"/>
        <v>5125.640747707931</v>
      </c>
      <c r="O184" s="495">
        <f t="shared" si="22"/>
        <v>4934.1191414860641</v>
      </c>
      <c r="P184" s="495">
        <f t="shared" si="22"/>
        <v>4729.5442316905937</v>
      </c>
      <c r="Q184" s="495">
        <f t="shared" si="22"/>
        <v>4607.5344373494581</v>
      </c>
      <c r="R184" s="495">
        <f t="shared" si="22"/>
        <v>4476.1931749737623</v>
      </c>
      <c r="S184" s="495">
        <f t="shared" si="22"/>
        <v>4118.8598062035289</v>
      </c>
      <c r="T184" s="495">
        <f t="shared" si="22"/>
        <v>3976.8318294153646</v>
      </c>
      <c r="U184" s="495">
        <f t="shared" si="22"/>
        <v>3717.987348832412</v>
      </c>
      <c r="V184" s="495">
        <f t="shared" si="22"/>
        <v>3523.7494223183994</v>
      </c>
      <c r="W184" s="495">
        <f t="shared" si="22"/>
        <v>3464.2506254464511</v>
      </c>
      <c r="X184" s="495">
        <f t="shared" si="22"/>
        <v>3204.3285197296846</v>
      </c>
      <c r="Y184" s="495">
        <f t="shared" si="22"/>
        <v>3176.9670860792835</v>
      </c>
      <c r="Z184" s="495">
        <f t="shared" si="22"/>
        <v>3056.4323406346675</v>
      </c>
      <c r="AA184" s="495">
        <f t="shared" si="22"/>
        <v>2830.8947435167884</v>
      </c>
      <c r="AB184" s="495">
        <f t="shared" si="22"/>
        <v>2690.7026543944794</v>
      </c>
      <c r="AC184" s="495">
        <f t="shared" si="22"/>
        <v>2632.0570184539583</v>
      </c>
      <c r="AD184" s="495">
        <f t="shared" si="22"/>
        <v>2476.8698248668143</v>
      </c>
      <c r="AE184" s="495">
        <f t="shared" si="22"/>
        <v>2583.3333953353531</v>
      </c>
      <c r="AF184" s="495">
        <f t="shared" si="22"/>
        <v>2370.248763662999</v>
      </c>
      <c r="AG184" s="495">
        <f t="shared" si="22"/>
        <v>2386.6054315358033</v>
      </c>
      <c r="AH184" s="495">
        <f t="shared" si="22"/>
        <v>2440.9934791662249</v>
      </c>
      <c r="AI184" s="495">
        <f t="shared" si="22"/>
        <v>2395.676140493817</v>
      </c>
      <c r="AJ184" s="28"/>
      <c r="AK184" s="329"/>
      <c r="AL184" s="480"/>
      <c r="AN184" s="354"/>
    </row>
    <row r="185" spans="1:53" x14ac:dyDescent="0.4">
      <c r="A185" s="199" t="s">
        <v>1063</v>
      </c>
      <c r="B185" s="495"/>
      <c r="C185" s="495"/>
      <c r="D185" s="495"/>
      <c r="E185" s="495"/>
      <c r="F185" s="495"/>
      <c r="G185" s="495"/>
      <c r="H185" s="495"/>
      <c r="I185" s="495"/>
      <c r="J185" s="495"/>
      <c r="K185" s="495"/>
      <c r="L185" s="495"/>
      <c r="M185" s="495"/>
      <c r="N185" s="495"/>
      <c r="O185" s="495"/>
      <c r="P185" s="495"/>
      <c r="Q185" s="495"/>
      <c r="R185" s="495"/>
      <c r="S185" s="495"/>
      <c r="T185" s="495"/>
      <c r="U185" s="495"/>
      <c r="V185" s="495"/>
      <c r="W185" s="495"/>
      <c r="X185" s="495"/>
      <c r="Y185" s="495"/>
      <c r="Z185" s="495"/>
      <c r="AA185" s="495"/>
      <c r="AB185" s="495"/>
      <c r="AC185" s="495"/>
      <c r="AD185" s="495"/>
      <c r="AE185" s="495"/>
      <c r="AF185" s="495"/>
      <c r="AG185" s="495"/>
      <c r="AH185" s="495"/>
      <c r="AI185" s="495"/>
      <c r="AJ185" s="28"/>
      <c r="AK185" s="329"/>
      <c r="AL185" s="329"/>
      <c r="AN185" s="354"/>
    </row>
    <row r="186" spans="1:53" x14ac:dyDescent="0.4">
      <c r="A186" s="108"/>
      <c r="B186" s="486"/>
      <c r="C186" s="486"/>
      <c r="D186" s="486"/>
      <c r="E186" s="486"/>
      <c r="F186" s="486"/>
      <c r="G186" s="486"/>
      <c r="H186" s="486"/>
      <c r="I186" s="486"/>
      <c r="J186" s="486"/>
      <c r="K186" s="486"/>
      <c r="L186" s="486"/>
      <c r="M186" s="486"/>
      <c r="N186" s="486"/>
      <c r="O186" s="486"/>
      <c r="P186" s="486"/>
      <c r="Q186" s="486"/>
      <c r="R186" s="486"/>
      <c r="S186" s="486"/>
      <c r="T186" s="486"/>
      <c r="U186" s="486"/>
      <c r="V186" s="486"/>
      <c r="W186" s="486"/>
      <c r="X186" s="486"/>
      <c r="Y186" s="486"/>
      <c r="Z186" s="486"/>
      <c r="AA186" s="486"/>
      <c r="AB186" s="486"/>
      <c r="AC186" s="486"/>
      <c r="AD186" s="486"/>
      <c r="AE186" s="486"/>
      <c r="AF186" s="486"/>
      <c r="AG186" s="486"/>
      <c r="AH186" s="486"/>
      <c r="AI186" s="486"/>
      <c r="AJ186" s="28"/>
      <c r="AK186" s="329"/>
      <c r="AL186" s="329"/>
      <c r="AN186" s="354"/>
    </row>
    <row r="187" spans="1:53" x14ac:dyDescent="0.4">
      <c r="A187" s="88" t="s">
        <v>769</v>
      </c>
      <c r="C187" s="486"/>
      <c r="D187" s="486"/>
      <c r="E187" s="486"/>
      <c r="F187" s="486"/>
      <c r="G187" s="486"/>
      <c r="H187" s="486"/>
      <c r="I187" s="486"/>
      <c r="J187" s="486"/>
      <c r="K187" s="486"/>
      <c r="L187" s="486"/>
      <c r="M187" s="486"/>
      <c r="N187" s="486"/>
      <c r="O187" s="486"/>
      <c r="P187" s="486"/>
      <c r="Q187" s="486"/>
      <c r="R187" s="486"/>
      <c r="S187" s="486"/>
      <c r="T187" s="486"/>
      <c r="U187" s="486"/>
      <c r="V187" s="486"/>
      <c r="W187" s="486"/>
      <c r="X187" s="486"/>
      <c r="Y187" s="486"/>
      <c r="Z187" s="486"/>
      <c r="AA187" s="486"/>
      <c r="AB187" s="486"/>
      <c r="AC187" s="486"/>
      <c r="AD187" s="486"/>
      <c r="AE187" s="486"/>
      <c r="AF187" s="486"/>
      <c r="AG187" s="486"/>
      <c r="AH187" s="486"/>
      <c r="AI187" s="486"/>
      <c r="AJ187" s="28"/>
      <c r="AK187" s="329"/>
      <c r="AL187" s="329"/>
      <c r="AN187" s="354"/>
    </row>
    <row r="188" spans="1:53" x14ac:dyDescent="0.4">
      <c r="A188" s="42" t="s">
        <v>446</v>
      </c>
      <c r="B188" s="58" t="s">
        <v>226</v>
      </c>
      <c r="C188" s="486"/>
      <c r="D188" s="486"/>
      <c r="E188" s="486"/>
      <c r="F188" s="486"/>
      <c r="G188" s="486"/>
      <c r="H188" s="486"/>
      <c r="I188" s="486"/>
      <c r="J188" s="486"/>
      <c r="K188" s="486"/>
      <c r="L188" s="486"/>
      <c r="M188" s="486"/>
      <c r="N188" s="486"/>
      <c r="O188" s="486"/>
      <c r="P188" s="486"/>
      <c r="Q188" s="486"/>
      <c r="R188" s="486"/>
      <c r="S188" s="486"/>
      <c r="T188" s="486"/>
      <c r="U188" s="486"/>
      <c r="V188" s="486"/>
      <c r="W188" s="486"/>
      <c r="X188" s="486"/>
      <c r="Y188" s="486"/>
      <c r="Z188" s="486"/>
      <c r="AA188" s="486"/>
      <c r="AB188" s="486"/>
      <c r="AC188" s="486"/>
      <c r="AD188" s="486"/>
      <c r="AE188" s="486"/>
      <c r="AF188" s="486"/>
      <c r="AG188" s="486"/>
      <c r="AH188" s="486"/>
      <c r="AI188" s="486"/>
      <c r="AJ188" s="28"/>
      <c r="AK188" s="329"/>
      <c r="AL188" s="329"/>
      <c r="AN188" s="354"/>
    </row>
    <row r="189" spans="1:53" ht="17" x14ac:dyDescent="0.45">
      <c r="A189" s="3" t="s">
        <v>491</v>
      </c>
      <c r="B189" s="28">
        <v>25</v>
      </c>
      <c r="C189" s="486"/>
      <c r="D189" s="486"/>
      <c r="E189" s="486"/>
      <c r="F189" s="486"/>
      <c r="G189" s="486"/>
      <c r="H189" s="486"/>
      <c r="I189" s="486"/>
      <c r="J189" s="486"/>
      <c r="K189" s="486"/>
      <c r="L189" s="486"/>
      <c r="M189" s="486"/>
      <c r="N189" s="486"/>
      <c r="O189" s="486"/>
      <c r="P189" s="486"/>
      <c r="Q189" s="486"/>
      <c r="R189" s="486"/>
      <c r="S189" s="486"/>
      <c r="T189" s="486"/>
      <c r="U189" s="486"/>
      <c r="V189" s="486"/>
      <c r="W189" s="486"/>
      <c r="X189" s="486"/>
      <c r="Y189" s="486"/>
      <c r="Z189" s="486"/>
      <c r="AA189" s="486"/>
      <c r="AB189" s="486"/>
      <c r="AC189" s="486"/>
      <c r="AD189" s="486"/>
      <c r="AE189" s="486"/>
      <c r="AF189" s="486"/>
      <c r="AG189" s="486"/>
      <c r="AH189" s="486"/>
      <c r="AI189" s="486"/>
      <c r="AJ189" s="28"/>
      <c r="AK189" s="329"/>
      <c r="AL189" s="329"/>
      <c r="AN189" s="354"/>
    </row>
    <row r="190" spans="1:53" ht="17" x14ac:dyDescent="0.45">
      <c r="A190" s="3" t="s">
        <v>492</v>
      </c>
      <c r="B190" s="28">
        <v>298</v>
      </c>
      <c r="C190" s="486"/>
      <c r="D190" s="486"/>
      <c r="E190" s="486"/>
      <c r="F190" s="486"/>
      <c r="G190" s="486"/>
      <c r="H190" s="486"/>
      <c r="I190" s="486"/>
      <c r="J190" s="486"/>
      <c r="K190" s="486"/>
      <c r="L190" s="486"/>
      <c r="M190" s="486"/>
      <c r="N190" s="486"/>
      <c r="O190" s="486"/>
      <c r="P190" s="486"/>
      <c r="Q190" s="486"/>
      <c r="R190" s="486"/>
      <c r="S190" s="486"/>
      <c r="T190" s="486"/>
      <c r="U190" s="486"/>
      <c r="V190" s="486"/>
      <c r="W190" s="486"/>
      <c r="X190" s="486"/>
      <c r="Y190" s="486"/>
      <c r="Z190" s="486"/>
      <c r="AA190" s="486"/>
      <c r="AB190" s="486"/>
      <c r="AC190" s="486"/>
      <c r="AD190" s="486"/>
      <c r="AE190" s="486"/>
      <c r="AF190" s="486"/>
      <c r="AG190" s="486"/>
      <c r="AH190" s="486"/>
      <c r="AI190" s="486"/>
      <c r="AJ190" s="28"/>
      <c r="AK190" s="329"/>
      <c r="AL190" s="329"/>
      <c r="AN190" s="354"/>
    </row>
    <row r="191" spans="1:53" ht="17" x14ac:dyDescent="0.45">
      <c r="A191" s="3" t="s">
        <v>493</v>
      </c>
      <c r="B191" s="188">
        <v>22800</v>
      </c>
      <c r="C191" s="486"/>
      <c r="D191" s="486"/>
      <c r="E191" s="486"/>
      <c r="F191" s="486"/>
      <c r="G191" s="486"/>
      <c r="H191" s="486"/>
      <c r="I191" s="486"/>
      <c r="J191" s="486"/>
      <c r="K191" s="486"/>
      <c r="L191" s="486"/>
      <c r="M191" s="486"/>
      <c r="N191" s="486"/>
      <c r="O191" s="486"/>
      <c r="P191" s="486"/>
      <c r="Q191" s="486"/>
      <c r="R191" s="486"/>
      <c r="S191" s="486"/>
      <c r="T191" s="486"/>
      <c r="U191" s="486"/>
      <c r="V191" s="486"/>
      <c r="W191" s="486"/>
      <c r="X191" s="486"/>
      <c r="Y191" s="486"/>
      <c r="Z191" s="486"/>
      <c r="AA191" s="486"/>
      <c r="AB191" s="486"/>
      <c r="AC191" s="486"/>
      <c r="AD191" s="486"/>
      <c r="AE191" s="486"/>
      <c r="AF191" s="486"/>
      <c r="AG191" s="486"/>
      <c r="AH191" s="486"/>
      <c r="AI191" s="486"/>
      <c r="AJ191" s="28"/>
      <c r="AK191" s="329"/>
      <c r="AL191" s="329"/>
      <c r="AN191" s="354"/>
    </row>
    <row r="192" spans="1:53" x14ac:dyDescent="0.4">
      <c r="A192" s="28" t="s">
        <v>1063</v>
      </c>
      <c r="B192" s="486"/>
      <c r="C192" s="486"/>
      <c r="D192" s="486"/>
      <c r="E192" s="486"/>
      <c r="F192" s="486"/>
      <c r="G192" s="486"/>
      <c r="H192" s="486"/>
      <c r="I192" s="486"/>
      <c r="J192" s="486"/>
      <c r="K192" s="486"/>
      <c r="L192" s="486"/>
      <c r="M192" s="486"/>
      <c r="N192" s="486"/>
      <c r="O192" s="486"/>
      <c r="P192" s="486"/>
      <c r="Q192" s="486"/>
      <c r="R192" s="486"/>
      <c r="S192" s="486"/>
      <c r="T192" s="486"/>
      <c r="U192" s="486"/>
      <c r="V192" s="486"/>
      <c r="W192" s="486"/>
      <c r="X192" s="486"/>
      <c r="Y192" s="486"/>
      <c r="Z192" s="486"/>
      <c r="AA192" s="486"/>
      <c r="AB192" s="486"/>
      <c r="AC192" s="486"/>
      <c r="AD192" s="486"/>
      <c r="AE192" s="486"/>
      <c r="AF192" s="486"/>
      <c r="AG192" s="486"/>
      <c r="AH192" s="486"/>
      <c r="AI192" s="486"/>
      <c r="AJ192" s="28"/>
      <c r="AK192" s="329"/>
      <c r="AL192" s="329"/>
      <c r="AN192" s="354"/>
    </row>
    <row r="193" spans="1:40" x14ac:dyDescent="0.4">
      <c r="A193" s="108"/>
      <c r="B193" s="486"/>
      <c r="C193" s="486"/>
      <c r="D193" s="486"/>
      <c r="E193" s="486"/>
      <c r="F193" s="486"/>
      <c r="G193" s="486"/>
      <c r="H193" s="486"/>
      <c r="I193" s="486"/>
      <c r="J193" s="486"/>
      <c r="K193" s="486"/>
      <c r="L193" s="486"/>
      <c r="M193" s="486"/>
      <c r="N193" s="486"/>
      <c r="O193" s="486"/>
      <c r="P193" s="486"/>
      <c r="Q193" s="486"/>
      <c r="R193" s="486"/>
      <c r="S193" s="486"/>
      <c r="T193" s="486"/>
      <c r="U193" s="486"/>
      <c r="V193" s="486"/>
      <c r="W193" s="486"/>
      <c r="X193" s="486"/>
      <c r="Y193" s="486"/>
      <c r="Z193" s="486"/>
      <c r="AA193" s="486"/>
      <c r="AB193" s="486"/>
      <c r="AC193" s="486"/>
      <c r="AD193" s="486"/>
      <c r="AE193" s="486"/>
      <c r="AF193" s="486"/>
      <c r="AG193" s="486"/>
      <c r="AH193" s="486"/>
      <c r="AI193" s="486"/>
      <c r="AJ193" s="28"/>
      <c r="AK193" s="329"/>
      <c r="AL193" s="329"/>
      <c r="AN193" s="354"/>
    </row>
    <row r="194" spans="1:40" x14ac:dyDescent="0.4">
      <c r="A194" s="395" t="s">
        <v>1064</v>
      </c>
    </row>
  </sheetData>
  <hyperlinks>
    <hyperlink ref="A2" location="Contents!A1" display="Return to Contents tab" xr:uid="{58DFA7AD-49EA-43B3-86B7-A6B277A099F8}"/>
    <hyperlink ref="A3" location="'Summary by Gas'!A106" display="Go to Tables on Summary By Gas Worksheet" xr:uid="{8979E792-D01F-4D07-87D3-87E4703AD339}"/>
  </hyperlinks>
  <pageMargins left="0.7" right="0.7" top="0.75" bottom="0.75" header="0.3" footer="0.3"/>
  <pageSetup scale="16" orientation="landscape" r:id="rId1"/>
  <headerFooter>
    <oddFooter>&amp;L&amp;F&amp;A&amp;RPage &amp;P of &amp;N</oddFooter>
  </headerFooter>
  <colBreaks count="1" manualBreakCount="1">
    <brk id="31" max="1048575" man="1"/>
  </colBreaks>
  <drawing r:id="rId2"/>
  <tableParts count="9">
    <tablePart r:id="rId3"/>
    <tablePart r:id="rId4"/>
    <tablePart r:id="rId5"/>
    <tablePart r:id="rId6"/>
    <tablePart r:id="rId7"/>
    <tablePart r:id="rId8"/>
    <tablePart r:id="rId9"/>
    <tablePart r:id="rId10"/>
    <tablePart r:id="rId1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B7335-4151-480B-9179-DAF2C83F892E}">
  <sheetPr>
    <pageSetUpPr fitToPage="1"/>
  </sheetPr>
  <dimension ref="A1:BD123"/>
  <sheetViews>
    <sheetView zoomScaleNormal="100" workbookViewId="0">
      <pane xSplit="1" topLeftCell="B1" activePane="topRight" state="frozen"/>
      <selection activeCell="A28" sqref="A28"/>
      <selection pane="topRight"/>
    </sheetView>
  </sheetViews>
  <sheetFormatPr defaultColWidth="8.81640625" defaultRowHeight="16" x14ac:dyDescent="0.4"/>
  <cols>
    <col min="1" max="1" width="68" style="3" customWidth="1"/>
    <col min="2" max="9" width="11.81640625" style="3" customWidth="1"/>
    <col min="10" max="42" width="13.1796875" style="3" customWidth="1"/>
    <col min="43" max="53" width="14.26953125" style="3" customWidth="1"/>
    <col min="54" max="54" width="12.453125" style="11" customWidth="1"/>
    <col min="55" max="57" width="11.453125" style="3" bestFit="1" customWidth="1"/>
    <col min="58" max="59" width="8.81640625" style="3"/>
    <col min="60" max="60" width="13.54296875" style="3" customWidth="1"/>
    <col min="61" max="16384" width="8.81640625" style="3"/>
  </cols>
  <sheetData>
    <row r="1" spans="1:5" ht="21" x14ac:dyDescent="0.4">
      <c r="A1" s="263" t="s">
        <v>36</v>
      </c>
    </row>
    <row r="2" spans="1:5" x14ac:dyDescent="0.4">
      <c r="A2" s="1011" t="s">
        <v>730</v>
      </c>
    </row>
    <row r="3" spans="1:5" x14ac:dyDescent="0.4">
      <c r="A3" s="1265" t="s">
        <v>900</v>
      </c>
    </row>
    <row r="4" spans="1:5" x14ac:dyDescent="0.4">
      <c r="B4" s="265"/>
      <c r="C4" s="265"/>
      <c r="D4" s="265"/>
      <c r="E4" s="265"/>
    </row>
    <row r="5" spans="1:5" x14ac:dyDescent="0.4">
      <c r="A5" s="108" t="s">
        <v>1128</v>
      </c>
    </row>
    <row r="6" spans="1:5" ht="17" x14ac:dyDescent="0.4">
      <c r="A6" s="330" t="s">
        <v>1372</v>
      </c>
    </row>
    <row r="7" spans="1:5" ht="17" x14ac:dyDescent="0.4">
      <c r="A7" s="330" t="s">
        <v>1373</v>
      </c>
    </row>
    <row r="8" spans="1:5" ht="17" x14ac:dyDescent="0.4">
      <c r="A8" s="330" t="s">
        <v>1374</v>
      </c>
    </row>
    <row r="9" spans="1:5" ht="17" x14ac:dyDescent="0.4">
      <c r="A9" s="330" t="s">
        <v>1375</v>
      </c>
    </row>
    <row r="10" spans="1:5" ht="17" x14ac:dyDescent="0.4">
      <c r="A10" s="330" t="s">
        <v>1376</v>
      </c>
    </row>
    <row r="11" spans="1:5" ht="17" x14ac:dyDescent="0.4">
      <c r="A11" s="1459" t="s">
        <v>1377</v>
      </c>
    </row>
    <row r="12" spans="1:5" x14ac:dyDescent="0.4">
      <c r="A12" s="12"/>
    </row>
    <row r="23" spans="1:56" x14ac:dyDescent="0.4">
      <c r="A23" s="42" t="s">
        <v>1066</v>
      </c>
      <c r="B23" s="266"/>
      <c r="C23" s="266"/>
      <c r="D23" s="266"/>
      <c r="E23" s="266"/>
    </row>
    <row r="24" spans="1:56" ht="17" x14ac:dyDescent="0.45">
      <c r="A24" s="1393" t="s">
        <v>1366</v>
      </c>
      <c r="B24" s="266"/>
      <c r="C24" s="266"/>
      <c r="D24" s="266"/>
      <c r="E24" s="266"/>
    </row>
    <row r="25" spans="1:56" ht="17" x14ac:dyDescent="0.45">
      <c r="A25" s="1393" t="s">
        <v>1367</v>
      </c>
      <c r="B25" s="266"/>
      <c r="C25" s="266"/>
      <c r="D25" s="266"/>
      <c r="E25" s="266"/>
    </row>
    <row r="26" spans="1:56" ht="17" x14ac:dyDescent="0.45">
      <c r="A26" s="1393" t="s">
        <v>1368</v>
      </c>
      <c r="B26" s="266"/>
      <c r="C26" s="266"/>
      <c r="D26" s="266"/>
      <c r="E26" s="266"/>
    </row>
    <row r="27" spans="1:56" ht="17" x14ac:dyDescent="0.45">
      <c r="A27" s="1393" t="s">
        <v>1369</v>
      </c>
      <c r="B27" s="266"/>
      <c r="C27" s="266"/>
      <c r="D27" s="266"/>
      <c r="E27" s="266"/>
    </row>
    <row r="28" spans="1:56" ht="17" x14ac:dyDescent="0.45">
      <c r="A28" s="1393" t="s">
        <v>1370</v>
      </c>
      <c r="B28" s="266"/>
      <c r="C28" s="266"/>
      <c r="D28" s="266"/>
      <c r="E28" s="266"/>
    </row>
    <row r="29" spans="1:56" ht="17" x14ac:dyDescent="0.45">
      <c r="A29" s="1393" t="s">
        <v>1371</v>
      </c>
      <c r="B29" s="266"/>
      <c r="C29" s="266"/>
      <c r="D29" s="266"/>
      <c r="E29" s="266"/>
    </row>
    <row r="30" spans="1:56" ht="20.149999999999999" customHeight="1" x14ac:dyDescent="0.4">
      <c r="A30" s="54"/>
      <c r="B30" s="54"/>
      <c r="C30" s="54"/>
      <c r="D30" s="54"/>
      <c r="E30" s="54"/>
      <c r="F30" s="54"/>
      <c r="G30" s="54"/>
      <c r="H30" s="54"/>
      <c r="I30" s="54"/>
      <c r="J30" s="54"/>
      <c r="K30" s="54"/>
      <c r="L30" s="54"/>
      <c r="M30" s="54"/>
      <c r="N30" s="54"/>
      <c r="O30" s="54"/>
      <c r="BB30" s="3"/>
      <c r="BD30" s="11"/>
    </row>
    <row r="31" spans="1:56" ht="17" x14ac:dyDescent="0.45">
      <c r="A31" s="88" t="s">
        <v>1365</v>
      </c>
      <c r="B31" s="4"/>
      <c r="U31" s="55"/>
      <c r="V31" s="55"/>
      <c r="W31" s="55"/>
      <c r="X31" s="55"/>
      <c r="AA31" s="267"/>
      <c r="AB31" s="267"/>
      <c r="AC31" s="268"/>
      <c r="AD31" s="267"/>
      <c r="AE31" s="267"/>
      <c r="AF31" s="267"/>
      <c r="AG31" s="267"/>
      <c r="AI31" s="267"/>
      <c r="AJ31" s="1013" t="s">
        <v>0</v>
      </c>
      <c r="AK31" s="267"/>
      <c r="AL31" s="267"/>
      <c r="AM31" s="267"/>
      <c r="AN31" s="267"/>
      <c r="AO31" s="267"/>
      <c r="AP31" s="267"/>
      <c r="AS31" s="89"/>
      <c r="AT31" s="89"/>
      <c r="AU31" s="89"/>
    </row>
    <row r="32" spans="1:56" s="86" customFormat="1" ht="16.5" thickBot="1" x14ac:dyDescent="0.45">
      <c r="A32" s="88" t="s">
        <v>752</v>
      </c>
      <c r="B32" s="975" t="s">
        <v>391</v>
      </c>
      <c r="C32" s="975" t="s">
        <v>392</v>
      </c>
      <c r="D32" s="975" t="s">
        <v>393</v>
      </c>
      <c r="E32" s="975" t="s">
        <v>394</v>
      </c>
      <c r="F32" s="975" t="s">
        <v>395</v>
      </c>
      <c r="G32" s="975" t="s">
        <v>396</v>
      </c>
      <c r="H32" s="975" t="s">
        <v>397</v>
      </c>
      <c r="I32" s="975" t="s">
        <v>398</v>
      </c>
      <c r="J32" s="975" t="s">
        <v>399</v>
      </c>
      <c r="K32" s="975" t="s">
        <v>400</v>
      </c>
      <c r="L32" s="975" t="s">
        <v>401</v>
      </c>
      <c r="M32" s="975" t="s">
        <v>402</v>
      </c>
      <c r="N32" s="975" t="s">
        <v>403</v>
      </c>
      <c r="O32" s="975" t="s">
        <v>404</v>
      </c>
      <c r="P32" s="975" t="s">
        <v>405</v>
      </c>
      <c r="Q32" s="975" t="s">
        <v>406</v>
      </c>
      <c r="R32" s="975" t="s">
        <v>407</v>
      </c>
      <c r="S32" s="975" t="s">
        <v>408</v>
      </c>
      <c r="T32" s="975" t="s">
        <v>409</v>
      </c>
      <c r="U32" s="975" t="s">
        <v>410</v>
      </c>
      <c r="V32" s="975" t="s">
        <v>411</v>
      </c>
      <c r="W32" s="975" t="s">
        <v>412</v>
      </c>
      <c r="X32" s="975" t="s">
        <v>413</v>
      </c>
      <c r="Y32" s="975" t="s">
        <v>414</v>
      </c>
      <c r="Z32" s="975" t="s">
        <v>415</v>
      </c>
      <c r="AA32" s="975" t="s">
        <v>416</v>
      </c>
      <c r="AB32" s="975" t="s">
        <v>417</v>
      </c>
      <c r="AC32" s="975" t="s">
        <v>418</v>
      </c>
      <c r="AD32" s="975" t="s">
        <v>419</v>
      </c>
      <c r="AE32" s="975" t="s">
        <v>420</v>
      </c>
      <c r="AF32" s="975" t="s">
        <v>421</v>
      </c>
      <c r="AG32" s="975" t="s">
        <v>422</v>
      </c>
      <c r="AH32" s="975" t="s">
        <v>423</v>
      </c>
      <c r="AI32" s="975" t="s">
        <v>424</v>
      </c>
      <c r="AJ32" s="975" t="s">
        <v>425</v>
      </c>
      <c r="AK32" s="975" t="s">
        <v>426</v>
      </c>
      <c r="AL32" s="975" t="s">
        <v>477</v>
      </c>
      <c r="AM32" s="975" t="s">
        <v>478</v>
      </c>
      <c r="AN32" s="975" t="s">
        <v>479</v>
      </c>
      <c r="AO32" s="975" t="s">
        <v>480</v>
      </c>
      <c r="AP32" s="975" t="s">
        <v>481</v>
      </c>
      <c r="AS32" s="230"/>
      <c r="AT32" s="230"/>
      <c r="AU32" s="230"/>
      <c r="BB32" s="230"/>
    </row>
    <row r="33" spans="1:54" ht="17" x14ac:dyDescent="0.45">
      <c r="A33" s="1163" t="s">
        <v>460</v>
      </c>
      <c r="B33" s="364">
        <f t="shared" ref="B33:AG33" si="0">B34+B35</f>
        <v>15.31365040534536</v>
      </c>
      <c r="C33" s="365">
        <f t="shared" si="0"/>
        <v>14.518561901071031</v>
      </c>
      <c r="D33" s="365">
        <f t="shared" si="0"/>
        <v>16.637356745667098</v>
      </c>
      <c r="E33" s="365">
        <f t="shared" si="0"/>
        <v>16.765001626446427</v>
      </c>
      <c r="F33" s="365">
        <f t="shared" si="0"/>
        <v>16.5798858667393</v>
      </c>
      <c r="G33" s="365">
        <f t="shared" si="0"/>
        <v>14.981382499081906</v>
      </c>
      <c r="H33" s="365">
        <f t="shared" si="0"/>
        <v>14.782858365913283</v>
      </c>
      <c r="I33" s="365">
        <f t="shared" si="0"/>
        <v>14.564592342096235</v>
      </c>
      <c r="J33" s="365">
        <f t="shared" si="0"/>
        <v>13.354760517636455</v>
      </c>
      <c r="K33" s="365">
        <f t="shared" si="0"/>
        <v>14.184525556803141</v>
      </c>
      <c r="L33" s="365">
        <f t="shared" si="0"/>
        <v>15.873185523164093</v>
      </c>
      <c r="M33" s="365">
        <f t="shared" si="0"/>
        <v>16.198710998491727</v>
      </c>
      <c r="N33" s="365">
        <f t="shared" si="0"/>
        <v>16.119354900942991</v>
      </c>
      <c r="O33" s="365">
        <f t="shared" si="0"/>
        <v>16.600836369533869</v>
      </c>
      <c r="P33" s="365">
        <f t="shared" si="0"/>
        <v>15.196403031679685</v>
      </c>
      <c r="Q33" s="365">
        <f t="shared" si="0"/>
        <v>15.024695557999227</v>
      </c>
      <c r="R33" s="365">
        <f t="shared" si="0"/>
        <v>12.923179297666044</v>
      </c>
      <c r="S33" s="365">
        <f t="shared" si="0"/>
        <v>13.604230714044231</v>
      </c>
      <c r="T33" s="365">
        <f t="shared" si="0"/>
        <v>14.483158972300863</v>
      </c>
      <c r="U33" s="365">
        <f t="shared" si="0"/>
        <v>13.98678803586758</v>
      </c>
      <c r="V33" s="365">
        <f t="shared" si="0"/>
        <v>13.730480782578111</v>
      </c>
      <c r="W33" s="365">
        <f t="shared" si="0"/>
        <v>13.745840787844321</v>
      </c>
      <c r="X33" s="365">
        <f t="shared" si="0"/>
        <v>11.893764667017985</v>
      </c>
      <c r="Y33" s="365">
        <f t="shared" si="0"/>
        <v>12.423602730416979</v>
      </c>
      <c r="Z33" s="365">
        <f t="shared" si="0"/>
        <v>13.752359852039337</v>
      </c>
      <c r="AA33" s="365">
        <f t="shared" si="0"/>
        <v>13.664149986754941</v>
      </c>
      <c r="AB33" s="365">
        <f t="shared" si="0"/>
        <v>11.426913567612464</v>
      </c>
      <c r="AC33" s="365">
        <f t="shared" si="0"/>
        <v>12.417746232981566</v>
      </c>
      <c r="AD33" s="366">
        <f t="shared" si="0"/>
        <v>13.412382059760446</v>
      </c>
      <c r="AE33" s="365">
        <f t="shared" si="0"/>
        <v>13.749066679828145</v>
      </c>
      <c r="AF33" s="365">
        <f t="shared" si="0"/>
        <v>12.234288890840196</v>
      </c>
      <c r="AG33" s="365">
        <f t="shared" si="0"/>
        <v>12.614889979771682</v>
      </c>
      <c r="AH33" s="365">
        <f t="shared" ref="AH33:AI33" si="1">AH34+AH35</f>
        <v>13.035171753664676</v>
      </c>
      <c r="AI33" s="365">
        <f t="shared" si="1"/>
        <v>11.849074030388028</v>
      </c>
      <c r="AJ33" s="365">
        <f t="shared" ref="AJ33" si="2">AJ34+AJ35</f>
        <v>0</v>
      </c>
      <c r="AK33" s="365"/>
      <c r="AL33" s="365"/>
      <c r="AM33" s="365"/>
      <c r="AN33" s="365"/>
      <c r="AO33" s="365"/>
      <c r="AP33" s="365"/>
      <c r="AS33" s="272"/>
      <c r="AT33" s="272"/>
      <c r="AU33" s="272"/>
    </row>
    <row r="34" spans="1:54" ht="17" x14ac:dyDescent="0.45">
      <c r="A34" s="208" t="s">
        <v>461</v>
      </c>
      <c r="B34" s="367">
        <f>'Combustion CO2'!B61</f>
        <v>15.09218729035536</v>
      </c>
      <c r="C34" s="280">
        <f>'Combustion CO2'!C61</f>
        <v>14.295364882071031</v>
      </c>
      <c r="D34" s="280">
        <f>'Combustion CO2'!D61</f>
        <v>16.396053585147097</v>
      </c>
      <c r="E34" s="280">
        <f>'Combustion CO2'!E61</f>
        <v>16.518072434056428</v>
      </c>
      <c r="F34" s="280">
        <f>'Combustion CO2'!F61</f>
        <v>16.3428113958593</v>
      </c>
      <c r="G34" s="280">
        <f>'Combustion CO2'!G61</f>
        <v>14.751248409471906</v>
      </c>
      <c r="H34" s="280">
        <f>'Combustion CO2'!H61</f>
        <v>14.548991126703283</v>
      </c>
      <c r="I34" s="280">
        <f>'Combustion CO2'!I61</f>
        <v>14.378872297176235</v>
      </c>
      <c r="J34" s="280">
        <f>'Combustion CO2'!J61</f>
        <v>13.187544748996455</v>
      </c>
      <c r="K34" s="280">
        <f>'Combustion CO2'!K61</f>
        <v>14.010791823643141</v>
      </c>
      <c r="L34" s="280">
        <f>'Combustion CO2'!L61</f>
        <v>15.683527402244092</v>
      </c>
      <c r="M34" s="280">
        <f>'Combustion CO2'!M61</f>
        <v>16.028702298201726</v>
      </c>
      <c r="N34" s="280">
        <f>'Combustion CO2'!N61</f>
        <v>15.947149742292989</v>
      </c>
      <c r="O34" s="280">
        <f>'Combustion CO2'!O61</f>
        <v>16.423981121913869</v>
      </c>
      <c r="P34" s="280">
        <f>'Combustion CO2'!P61</f>
        <v>15.023642667589685</v>
      </c>
      <c r="Q34" s="280">
        <f>'Combustion CO2'!Q61</f>
        <v>14.927432156389226</v>
      </c>
      <c r="R34" s="280">
        <f>'Combustion CO2'!R61</f>
        <v>12.839080399416044</v>
      </c>
      <c r="S34" s="280">
        <f>'Combustion CO2'!S61</f>
        <v>13.515090275824232</v>
      </c>
      <c r="T34" s="280">
        <f>'Combustion CO2'!T61</f>
        <v>14.388754011560863</v>
      </c>
      <c r="U34" s="280">
        <f>'Combustion CO2'!U61</f>
        <v>13.844098792417579</v>
      </c>
      <c r="V34" s="280">
        <f>'Combustion CO2'!V61</f>
        <v>13.58211312760811</v>
      </c>
      <c r="W34" s="280">
        <f>'Combustion CO2'!W61</f>
        <v>13.600460828624321</v>
      </c>
      <c r="X34" s="280">
        <f>'Combustion CO2'!X61</f>
        <v>11.771252865487984</v>
      </c>
      <c r="Y34" s="280">
        <f>'Combustion CO2'!Y61</f>
        <v>12.275948634716979</v>
      </c>
      <c r="Z34" s="280">
        <f>'Combustion CO2'!Z61</f>
        <v>13.597318047079337</v>
      </c>
      <c r="AA34" s="280">
        <f>'Combustion CO2'!AA61</f>
        <v>13.519448387674942</v>
      </c>
      <c r="AB34" s="280">
        <f>'Combustion CO2'!AB61</f>
        <v>11.310053467582465</v>
      </c>
      <c r="AC34" s="280">
        <f>'Combustion CO2'!AC61</f>
        <v>12.297294972031565</v>
      </c>
      <c r="AD34" s="281">
        <f>'Combustion CO2'!AD61</f>
        <v>13.287752133780446</v>
      </c>
      <c r="AE34" s="280">
        <f>'Combustion CO2'!AE61</f>
        <v>13.607792464408146</v>
      </c>
      <c r="AF34" s="280">
        <f>'Combustion CO2'!AF61</f>
        <v>12.105531353840195</v>
      </c>
      <c r="AG34" s="280">
        <f>'Combustion CO2'!AG61</f>
        <v>12.481778897291683</v>
      </c>
      <c r="AH34" s="280">
        <f>'Combustion CO2'!AH61</f>
        <v>12.880271418154676</v>
      </c>
      <c r="AI34" s="280">
        <f>'Combustion CO2'!AI61</f>
        <v>11.712554814178027</v>
      </c>
      <c r="AJ34" s="280">
        <f>'Combustion CO2'!AJ61</f>
        <v>0</v>
      </c>
      <c r="AK34" s="280"/>
      <c r="AL34" s="280"/>
      <c r="AM34" s="280"/>
      <c r="AN34" s="280"/>
      <c r="AO34" s="280"/>
      <c r="AP34" s="280"/>
      <c r="AS34" s="272"/>
      <c r="AT34" s="272"/>
      <c r="AU34" s="272"/>
    </row>
    <row r="35" spans="1:54" x14ac:dyDescent="0.4">
      <c r="A35" s="104" t="s">
        <v>27</v>
      </c>
      <c r="B35" s="368">
        <f>'Stationary CH4 and N2O'!B76</f>
        <v>0.22146311499000002</v>
      </c>
      <c r="C35" s="369">
        <f>'Stationary CH4 and N2O'!C76</f>
        <v>0.22319701900000005</v>
      </c>
      <c r="D35" s="369">
        <f>'Stationary CH4 and N2O'!D76</f>
        <v>0.24130316051999992</v>
      </c>
      <c r="E35" s="369">
        <f>'Stationary CH4 and N2O'!E76</f>
        <v>0.24692919239</v>
      </c>
      <c r="F35" s="369">
        <f>'Stationary CH4 and N2O'!F76</f>
        <v>0.23707447087999997</v>
      </c>
      <c r="G35" s="369">
        <f>'Stationary CH4 and N2O'!G76</f>
        <v>0.23013408960999995</v>
      </c>
      <c r="H35" s="369">
        <f>'Stationary CH4 and N2O'!H76</f>
        <v>0.23386723920999997</v>
      </c>
      <c r="I35" s="369">
        <f>'Stationary CH4 and N2O'!I76</f>
        <v>0.18572004491999994</v>
      </c>
      <c r="J35" s="369">
        <f>'Stationary CH4 and N2O'!J76</f>
        <v>0.16721576863999998</v>
      </c>
      <c r="K35" s="369">
        <f>'Stationary CH4 and N2O'!K76</f>
        <v>0.17373373315999999</v>
      </c>
      <c r="L35" s="369">
        <f>'Stationary CH4 and N2O'!L76</f>
        <v>0.18965812091999995</v>
      </c>
      <c r="M35" s="369">
        <f>'Stationary CH4 and N2O'!M76</f>
        <v>0.17000870028999995</v>
      </c>
      <c r="N35" s="369">
        <f>'Stationary CH4 and N2O'!N76</f>
        <v>0.17220515864999997</v>
      </c>
      <c r="O35" s="369">
        <f>'Stationary CH4 and N2O'!O76</f>
        <v>0.17685524761999996</v>
      </c>
      <c r="P35" s="369">
        <f>'Stationary CH4 and N2O'!P76</f>
        <v>0.17276036408999998</v>
      </c>
      <c r="Q35" s="369">
        <f>'Stationary CH4 and N2O'!Q76</f>
        <v>9.7263401609999994E-2</v>
      </c>
      <c r="R35" s="369">
        <f>'Stationary CH4 and N2O'!R76</f>
        <v>8.4098898249999984E-2</v>
      </c>
      <c r="S35" s="369">
        <f>'Stationary CH4 and N2O'!S76</f>
        <v>8.9140438219999993E-2</v>
      </c>
      <c r="T35" s="369">
        <f>'Stationary CH4 and N2O'!T76</f>
        <v>9.4404960739999974E-2</v>
      </c>
      <c r="U35" s="369">
        <f>'Stationary CH4 and N2O'!U76</f>
        <v>0.14268924344999998</v>
      </c>
      <c r="V35" s="369">
        <f>'Stationary CH4 and N2O'!V76</f>
        <v>0.14836765496999998</v>
      </c>
      <c r="W35" s="369">
        <f>'Stationary CH4 and N2O'!W76</f>
        <v>0.14537995921999997</v>
      </c>
      <c r="X35" s="369">
        <f>'Stationary CH4 and N2O'!X76</f>
        <v>0.12251180153000001</v>
      </c>
      <c r="Y35" s="369">
        <f>'Stationary CH4 and N2O'!Y76</f>
        <v>0.14765409569999999</v>
      </c>
      <c r="Z35" s="369">
        <f>'Stationary CH4 and N2O'!Z76</f>
        <v>0.15504180495999997</v>
      </c>
      <c r="AA35" s="370">
        <f>'Stationary CH4 and N2O'!AA76</f>
        <v>0.14470159907999999</v>
      </c>
      <c r="AB35" s="370">
        <f>'Stationary CH4 and N2O'!AB76</f>
        <v>0.11686010002999998</v>
      </c>
      <c r="AC35" s="370">
        <f>'Stationary CH4 and N2O'!AC76</f>
        <v>0.12045126095</v>
      </c>
      <c r="AD35" s="371">
        <f>'Stationary CH4 and N2O'!AD76</f>
        <v>0.12462992597999997</v>
      </c>
      <c r="AE35" s="370">
        <f>'Stationary CH4 and N2O'!AE76</f>
        <v>0.14127421541999999</v>
      </c>
      <c r="AF35" s="370">
        <f>'Stationary CH4 and N2O'!AF76</f>
        <v>0.12875753699999998</v>
      </c>
      <c r="AG35" s="370">
        <f>'Stationary CH4 and N2O'!AG76</f>
        <v>0.13311108247999998</v>
      </c>
      <c r="AH35" s="370">
        <f>'Stationary CH4 and N2O'!AH76</f>
        <v>0.15490033550999999</v>
      </c>
      <c r="AI35" s="370">
        <f>'Stationary CH4 and N2O'!AI76</f>
        <v>0.13651921620999999</v>
      </c>
      <c r="AJ35" s="370">
        <f>'Stationary CH4 and N2O'!AJ76</f>
        <v>0</v>
      </c>
      <c r="AK35" s="370"/>
      <c r="AL35" s="370"/>
      <c r="AM35" s="370"/>
      <c r="AN35" s="370"/>
      <c r="AO35" s="370"/>
      <c r="AP35" s="370"/>
      <c r="AS35" s="272"/>
      <c r="AT35" s="272"/>
      <c r="AU35" s="272"/>
    </row>
    <row r="36" spans="1:54" s="28" customFormat="1" x14ac:dyDescent="0.4">
      <c r="A36" s="372" t="s">
        <v>37</v>
      </c>
      <c r="B36" s="373">
        <f>B33</f>
        <v>15.31365040534536</v>
      </c>
      <c r="C36" s="373">
        <f t="shared" ref="C36:AF36" si="3">C33</f>
        <v>14.518561901071031</v>
      </c>
      <c r="D36" s="373">
        <f t="shared" si="3"/>
        <v>16.637356745667098</v>
      </c>
      <c r="E36" s="373">
        <f t="shared" si="3"/>
        <v>16.765001626446427</v>
      </c>
      <c r="F36" s="373">
        <f t="shared" si="3"/>
        <v>16.5798858667393</v>
      </c>
      <c r="G36" s="373">
        <f t="shared" si="3"/>
        <v>14.981382499081906</v>
      </c>
      <c r="H36" s="373">
        <f t="shared" si="3"/>
        <v>14.782858365913283</v>
      </c>
      <c r="I36" s="373">
        <f t="shared" si="3"/>
        <v>14.564592342096235</v>
      </c>
      <c r="J36" s="373">
        <f t="shared" si="3"/>
        <v>13.354760517636455</v>
      </c>
      <c r="K36" s="373">
        <f t="shared" si="3"/>
        <v>14.184525556803141</v>
      </c>
      <c r="L36" s="373">
        <f t="shared" si="3"/>
        <v>15.873185523164093</v>
      </c>
      <c r="M36" s="373">
        <f t="shared" si="3"/>
        <v>16.198710998491727</v>
      </c>
      <c r="N36" s="373">
        <f t="shared" si="3"/>
        <v>16.119354900942991</v>
      </c>
      <c r="O36" s="373">
        <f t="shared" si="3"/>
        <v>16.600836369533869</v>
      </c>
      <c r="P36" s="373">
        <f t="shared" si="3"/>
        <v>15.196403031679685</v>
      </c>
      <c r="Q36" s="373">
        <f t="shared" si="3"/>
        <v>15.024695557999227</v>
      </c>
      <c r="R36" s="373">
        <f t="shared" si="3"/>
        <v>12.923179297666044</v>
      </c>
      <c r="S36" s="373">
        <f t="shared" si="3"/>
        <v>13.604230714044231</v>
      </c>
      <c r="T36" s="373">
        <f t="shared" si="3"/>
        <v>14.483158972300863</v>
      </c>
      <c r="U36" s="373">
        <f t="shared" si="3"/>
        <v>13.98678803586758</v>
      </c>
      <c r="V36" s="373">
        <f t="shared" si="3"/>
        <v>13.730480782578111</v>
      </c>
      <c r="W36" s="373">
        <f t="shared" si="3"/>
        <v>13.745840787844321</v>
      </c>
      <c r="X36" s="373">
        <f t="shared" si="3"/>
        <v>11.893764667017985</v>
      </c>
      <c r="Y36" s="373">
        <f t="shared" si="3"/>
        <v>12.423602730416979</v>
      </c>
      <c r="Z36" s="373">
        <f t="shared" si="3"/>
        <v>13.752359852039337</v>
      </c>
      <c r="AA36" s="373">
        <f t="shared" si="3"/>
        <v>13.664149986754941</v>
      </c>
      <c r="AB36" s="373">
        <f t="shared" si="3"/>
        <v>11.426913567612464</v>
      </c>
      <c r="AC36" s="373">
        <f t="shared" si="3"/>
        <v>12.417746232981566</v>
      </c>
      <c r="AD36" s="373">
        <f t="shared" si="3"/>
        <v>13.412382059760446</v>
      </c>
      <c r="AE36" s="373">
        <f t="shared" si="3"/>
        <v>13.749066679828145</v>
      </c>
      <c r="AF36" s="373">
        <f t="shared" si="3"/>
        <v>12.234288890840196</v>
      </c>
      <c r="AG36" s="373">
        <f t="shared" ref="AG36:AH36" si="4">AG33</f>
        <v>12.614889979771682</v>
      </c>
      <c r="AH36" s="373">
        <f t="shared" si="4"/>
        <v>13.035171753664676</v>
      </c>
      <c r="AI36" s="373">
        <f t="shared" ref="AI36" si="5">AI33</f>
        <v>11.849074030388028</v>
      </c>
      <c r="AJ36" s="373"/>
      <c r="AK36" s="373"/>
      <c r="AL36" s="373"/>
      <c r="AM36" s="373"/>
      <c r="AN36" s="373"/>
      <c r="AO36" s="373"/>
      <c r="AP36" s="373"/>
      <c r="AS36" s="280"/>
      <c r="AT36" s="280"/>
      <c r="AU36" s="280"/>
      <c r="BB36" s="108"/>
    </row>
    <row r="37" spans="1:54" s="28" customFormat="1" x14ac:dyDescent="0.4">
      <c r="A37" s="374" t="s">
        <v>978</v>
      </c>
      <c r="B37" s="373">
        <f t="shared" ref="B37" si="6">B34</f>
        <v>15.09218729035536</v>
      </c>
      <c r="C37" s="373">
        <f>-(100-((C36/B36)*100))</f>
        <v>-5.1920246527032958</v>
      </c>
      <c r="D37" s="373">
        <f t="shared" ref="D37:AI37" si="7">-(100-((D36/C36)*100))</f>
        <v>14.593696393854017</v>
      </c>
      <c r="E37" s="373">
        <f t="shared" si="7"/>
        <v>0.7672185115136898</v>
      </c>
      <c r="F37" s="373">
        <f t="shared" si="7"/>
        <v>-1.1041797897299972</v>
      </c>
      <c r="G37" s="373">
        <f t="shared" si="7"/>
        <v>-9.6412205759759217</v>
      </c>
      <c r="H37" s="373">
        <f t="shared" si="7"/>
        <v>-1.3251389394856545</v>
      </c>
      <c r="I37" s="373">
        <f t="shared" si="7"/>
        <v>-1.4764805182760199</v>
      </c>
      <c r="J37" s="373">
        <f t="shared" si="7"/>
        <v>-8.3066645192875512</v>
      </c>
      <c r="K37" s="373">
        <f t="shared" si="7"/>
        <v>6.2132528551963873</v>
      </c>
      <c r="L37" s="373">
        <f t="shared" si="7"/>
        <v>11.90494500220376</v>
      </c>
      <c r="M37" s="373">
        <f t="shared" si="7"/>
        <v>2.0507885758191975</v>
      </c>
      <c r="N37" s="373">
        <f t="shared" si="7"/>
        <v>-0.4898914336833684</v>
      </c>
      <c r="O37" s="373">
        <f t="shared" si="7"/>
        <v>2.9869772801063732</v>
      </c>
      <c r="P37" s="373">
        <f t="shared" si="7"/>
        <v>-8.4600155473589496</v>
      </c>
      <c r="Q37" s="373">
        <f t="shared" si="7"/>
        <v>-1.1299218198050056</v>
      </c>
      <c r="R37" s="373">
        <f t="shared" si="7"/>
        <v>-13.987080485063956</v>
      </c>
      <c r="S37" s="373">
        <f t="shared" si="7"/>
        <v>5.2699989738685105</v>
      </c>
      <c r="T37" s="373">
        <f t="shared" si="7"/>
        <v>6.4606979750003575</v>
      </c>
      <c r="U37" s="373">
        <f t="shared" si="7"/>
        <v>-3.427228392525393</v>
      </c>
      <c r="V37" s="373">
        <f t="shared" si="7"/>
        <v>-1.8324954423574411</v>
      </c>
      <c r="W37" s="373">
        <f t="shared" si="7"/>
        <v>0.11186793462978528</v>
      </c>
      <c r="X37" s="373">
        <f t="shared" si="7"/>
        <v>-13.473720155875498</v>
      </c>
      <c r="Y37" s="373">
        <f t="shared" si="7"/>
        <v>4.4547548924375633</v>
      </c>
      <c r="Z37" s="373">
        <f t="shared" si="7"/>
        <v>10.695425074798408</v>
      </c>
      <c r="AA37" s="373">
        <f t="shared" si="7"/>
        <v>-0.6414162095337872</v>
      </c>
      <c r="AB37" s="373">
        <f t="shared" si="7"/>
        <v>-16.373037629937429</v>
      </c>
      <c r="AC37" s="373">
        <f t="shared" si="7"/>
        <v>8.6710436681470782</v>
      </c>
      <c r="AD37" s="373">
        <f t="shared" si="7"/>
        <v>8.0097934691009129</v>
      </c>
      <c r="AE37" s="373">
        <f t="shared" si="7"/>
        <v>2.5102522323593206</v>
      </c>
      <c r="AF37" s="373">
        <f t="shared" si="7"/>
        <v>-11.017313569439196</v>
      </c>
      <c r="AG37" s="373">
        <f t="shared" si="7"/>
        <v>3.1109375651284523</v>
      </c>
      <c r="AH37" s="373">
        <f t="shared" si="7"/>
        <v>3.3316324959387345</v>
      </c>
      <c r="AI37" s="373">
        <f t="shared" si="7"/>
        <v>-9.0992105488996771</v>
      </c>
      <c r="AJ37" s="373"/>
      <c r="AK37" s="373"/>
      <c r="AL37" s="373"/>
      <c r="AM37" s="373"/>
      <c r="AN37" s="373"/>
      <c r="AO37" s="373"/>
      <c r="AP37" s="373"/>
      <c r="AS37" s="280"/>
      <c r="AT37" s="280"/>
      <c r="AU37" s="280"/>
      <c r="BB37" s="108"/>
    </row>
    <row r="38" spans="1:54" s="28" customFormat="1" ht="16.5" thickBot="1" x14ac:dyDescent="0.45">
      <c r="A38" s="1024" t="s">
        <v>977</v>
      </c>
      <c r="B38" s="1026"/>
      <c r="C38" s="1026">
        <f>-(100-((C36/$B$36)*100))</f>
        <v>-5.1920246527032958</v>
      </c>
      <c r="D38" s="1026">
        <f t="shared" ref="D38:AF38" si="8">-(100-((D36/$B$36)*100))</f>
        <v>8.6439634266411502</v>
      </c>
      <c r="E38" s="1026">
        <f t="shared" si="8"/>
        <v>9.4775000256924926</v>
      </c>
      <c r="F38" s="1026">
        <f t="shared" si="8"/>
        <v>8.2686715961071542</v>
      </c>
      <c r="G38" s="1026">
        <f t="shared" si="8"/>
        <v>-2.1697498471525307</v>
      </c>
      <c r="H38" s="1026">
        <f t="shared" si="8"/>
        <v>-3.4661365865241436</v>
      </c>
      <c r="I38" s="1026">
        <f t="shared" si="8"/>
        <v>-4.8914402733633011</v>
      </c>
      <c r="J38" s="1026">
        <f t="shared" si="8"/>
        <v>-12.79178925898124</v>
      </c>
      <c r="K38" s="1026">
        <f t="shared" si="8"/>
        <v>-7.3733226151492204</v>
      </c>
      <c r="L38" s="1026">
        <f t="shared" si="8"/>
        <v>3.6538323848859875</v>
      </c>
      <c r="M38" s="1026">
        <f t="shared" si="8"/>
        <v>5.7795533378340025</v>
      </c>
      <c r="N38" s="1026">
        <f t="shared" si="8"/>
        <v>5.261348367443432</v>
      </c>
      <c r="O38" s="1026">
        <f t="shared" si="8"/>
        <v>8.4054809279125493</v>
      </c>
      <c r="P38" s="1026">
        <f t="shared" si="8"/>
        <v>-0.7656396127780738</v>
      </c>
      <c r="Q38" s="1026">
        <f t="shared" si="8"/>
        <v>-1.8869103035372348</v>
      </c>
      <c r="R38" s="1026">
        <f t="shared" si="8"/>
        <v>-15.610067125764488</v>
      </c>
      <c r="S38" s="1026">
        <f t="shared" si="8"/>
        <v>-11.162718529243961</v>
      </c>
      <c r="T38" s="1026">
        <f t="shared" si="8"/>
        <v>-5.4232100842174589</v>
      </c>
      <c r="U38" s="1026">
        <f t="shared" si="8"/>
        <v>-8.6645726809502435</v>
      </c>
      <c r="V38" s="1026">
        <f t="shared" si="8"/>
        <v>-10.338290223829517</v>
      </c>
      <c r="W38" s="1026">
        <f t="shared" si="8"/>
        <v>-10.237987520949162</v>
      </c>
      <c r="X38" s="1026">
        <f t="shared" si="8"/>
        <v>-22.332269888658516</v>
      </c>
      <c r="Y38" s="1026">
        <f t="shared" si="8"/>
        <v>-18.872362881678328</v>
      </c>
      <c r="Z38" s="1026">
        <f t="shared" si="8"/>
        <v>-10.195417238733882</v>
      </c>
      <c r="AA38" s="1026">
        <f t="shared" si="8"/>
        <v>-10.771438389468827</v>
      </c>
      <c r="AB38" s="1026">
        <f t="shared" si="8"/>
        <v>-25.380864358612996</v>
      </c>
      <c r="AC38" s="1026">
        <f t="shared" si="8"/>
        <v>-18.910606522354428</v>
      </c>
      <c r="AD38" s="1026">
        <f t="shared" si="8"/>
        <v>-12.415513579448429</v>
      </c>
      <c r="AE38" s="1026">
        <f t="shared" si="8"/>
        <v>-10.21692205387609</v>
      </c>
      <c r="AF38" s="1026">
        <f t="shared" si="8"/>
        <v>-20.108605283494569</v>
      </c>
      <c r="AG38" s="1026">
        <f t="shared" ref="AG38:AH38" si="9">-(100-((AG36/$B$36)*100))</f>
        <v>-17.623233873953737</v>
      </c>
      <c r="AH38" s="373">
        <f t="shared" si="9"/>
        <v>-14.878742764594918</v>
      </c>
      <c r="AI38" s="373">
        <f>-(100-((AI36/$B$36)*100))</f>
        <v>-22.624105182314935</v>
      </c>
      <c r="AJ38" s="373"/>
      <c r="AK38" s="373"/>
      <c r="AL38" s="373"/>
      <c r="AM38" s="373"/>
      <c r="AN38" s="373"/>
      <c r="AO38" s="373"/>
      <c r="AP38" s="373"/>
      <c r="AS38" s="280"/>
      <c r="AT38" s="280"/>
      <c r="AU38" s="280"/>
      <c r="BB38" s="108"/>
    </row>
    <row r="39" spans="1:54" s="28" customFormat="1" x14ac:dyDescent="0.4">
      <c r="A39" s="1023" t="s">
        <v>38</v>
      </c>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0"/>
      <c r="AD39" s="280"/>
      <c r="AE39" s="280"/>
      <c r="AF39" s="280"/>
      <c r="AG39" s="280"/>
      <c r="AH39" s="392"/>
      <c r="AI39" s="392"/>
      <c r="AJ39" s="392"/>
      <c r="AK39" s="1021">
        <v>10.8</v>
      </c>
      <c r="AL39" s="392"/>
      <c r="AM39" s="392"/>
      <c r="AN39" s="392"/>
      <c r="AO39" s="392"/>
      <c r="AP39" s="392"/>
      <c r="AS39" s="280"/>
      <c r="AT39" s="280"/>
      <c r="AU39" s="280"/>
      <c r="BB39" s="108"/>
    </row>
    <row r="40" spans="1:54" s="28" customFormat="1" x14ac:dyDescent="0.4">
      <c r="A40" s="374" t="s">
        <v>39</v>
      </c>
      <c r="C40" s="280"/>
      <c r="D40" s="280"/>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0"/>
      <c r="AD40" s="280"/>
      <c r="AE40" s="280"/>
      <c r="AF40" s="280"/>
      <c r="AG40" s="280"/>
      <c r="AH40" s="280"/>
      <c r="AI40" s="280"/>
      <c r="AJ40" s="280"/>
      <c r="AK40" s="280"/>
      <c r="AL40" s="280"/>
      <c r="AM40" s="280"/>
      <c r="AN40" s="280"/>
      <c r="AO40" s="280"/>
      <c r="AP40" s="391">
        <v>7.8</v>
      </c>
      <c r="AS40" s="280"/>
      <c r="AT40" s="280"/>
      <c r="AU40" s="280"/>
      <c r="BB40" s="108"/>
    </row>
    <row r="41" spans="1:54" s="28" customFormat="1" x14ac:dyDescent="0.4">
      <c r="A41" s="378" t="s">
        <v>40</v>
      </c>
      <c r="B41" s="1028">
        <f>B36*(1-0.95)</f>
        <v>0.76568252026726868</v>
      </c>
      <c r="C41" s="280"/>
      <c r="D41" s="280"/>
      <c r="E41" s="280"/>
      <c r="F41" s="280"/>
      <c r="G41" s="280"/>
      <c r="H41" s="280"/>
      <c r="I41" s="280"/>
      <c r="J41" s="280"/>
      <c r="K41" s="280"/>
      <c r="L41" s="280"/>
      <c r="M41" s="280"/>
      <c r="N41" s="280"/>
      <c r="O41" s="280"/>
      <c r="P41" s="280"/>
      <c r="Q41" s="280"/>
      <c r="R41" s="280"/>
      <c r="S41" s="280"/>
      <c r="T41" s="280"/>
      <c r="U41" s="280"/>
      <c r="V41" s="280"/>
      <c r="W41" s="280"/>
      <c r="X41" s="280"/>
      <c r="Y41" s="280"/>
      <c r="Z41" s="280"/>
      <c r="AA41" s="280"/>
      <c r="AB41" s="280"/>
      <c r="AC41" s="280"/>
      <c r="AD41" s="280"/>
      <c r="AE41" s="280"/>
      <c r="AF41" s="280"/>
      <c r="AG41" s="280"/>
      <c r="AH41" s="268"/>
      <c r="AI41" s="268"/>
      <c r="AJ41" s="280"/>
      <c r="AK41" s="280"/>
      <c r="AL41" s="280"/>
      <c r="AM41" s="280"/>
      <c r="AN41" s="280"/>
      <c r="AO41" s="280"/>
      <c r="AP41" s="280"/>
      <c r="AS41" s="280"/>
      <c r="AT41" s="280"/>
      <c r="AU41" s="280"/>
      <c r="BB41" s="108"/>
    </row>
    <row r="42" spans="1:54" s="28" customFormat="1" x14ac:dyDescent="0.4">
      <c r="A42" s="384" t="s">
        <v>1063</v>
      </c>
      <c r="B42" s="363"/>
      <c r="C42" s="280"/>
      <c r="D42" s="280"/>
      <c r="E42" s="280"/>
      <c r="F42" s="280"/>
      <c r="G42" s="280"/>
      <c r="H42" s="280"/>
      <c r="I42" s="280"/>
      <c r="J42" s="280"/>
      <c r="K42" s="280"/>
      <c r="L42" s="280"/>
      <c r="M42" s="280"/>
      <c r="N42" s="280"/>
      <c r="O42" s="280"/>
      <c r="P42" s="280"/>
      <c r="Q42" s="280"/>
      <c r="R42" s="280"/>
      <c r="S42" s="280"/>
      <c r="T42" s="280"/>
      <c r="U42" s="280"/>
      <c r="V42" s="280"/>
      <c r="W42" s="280"/>
      <c r="X42" s="280"/>
      <c r="Y42" s="280"/>
      <c r="Z42" s="280"/>
      <c r="AA42" s="280"/>
      <c r="AB42" s="280"/>
      <c r="AC42" s="280"/>
      <c r="AD42" s="280"/>
      <c r="AE42" s="280"/>
      <c r="AF42" s="280"/>
      <c r="AG42" s="280"/>
      <c r="AH42" s="268"/>
      <c r="AI42" s="268"/>
      <c r="AJ42" s="280"/>
      <c r="AK42" s="280"/>
      <c r="AL42" s="280"/>
      <c r="AM42" s="280"/>
      <c r="AN42" s="280"/>
      <c r="AO42" s="280"/>
      <c r="AP42" s="280"/>
      <c r="AS42" s="280"/>
      <c r="AT42" s="280"/>
      <c r="AU42" s="280"/>
      <c r="BB42" s="108"/>
    </row>
    <row r="43" spans="1:54" s="28" customFormat="1" x14ac:dyDescent="0.4">
      <c r="A43" s="91"/>
      <c r="B43" s="363"/>
      <c r="C43" s="280"/>
      <c r="D43" s="280"/>
      <c r="E43" s="280"/>
      <c r="F43" s="280"/>
      <c r="G43" s="280"/>
      <c r="H43" s="280"/>
      <c r="I43" s="280"/>
      <c r="J43" s="280"/>
      <c r="K43" s="280"/>
      <c r="L43" s="280"/>
      <c r="M43" s="280"/>
      <c r="N43" s="280"/>
      <c r="O43" s="280"/>
      <c r="P43" s="280"/>
      <c r="Q43" s="280"/>
      <c r="R43" s="280"/>
      <c r="S43" s="280"/>
      <c r="T43" s="280"/>
      <c r="U43" s="280"/>
      <c r="V43" s="280"/>
      <c r="W43" s="280"/>
      <c r="X43" s="280"/>
      <c r="Y43" s="280"/>
      <c r="Z43" s="280"/>
      <c r="AA43" s="280"/>
      <c r="AB43" s="280"/>
      <c r="AC43" s="280"/>
      <c r="AD43" s="280"/>
      <c r="AE43" s="280"/>
      <c r="AF43" s="280"/>
      <c r="AG43" s="280"/>
      <c r="AH43" s="267"/>
      <c r="AI43" s="267"/>
      <c r="AJ43" s="280"/>
      <c r="AK43" s="280"/>
      <c r="AL43" s="280"/>
      <c r="AM43" s="280"/>
      <c r="AN43" s="280"/>
      <c r="AO43" s="280"/>
      <c r="AP43" s="280"/>
      <c r="AS43" s="280"/>
      <c r="AT43" s="280"/>
      <c r="AU43" s="280"/>
      <c r="BB43" s="108"/>
    </row>
    <row r="44" spans="1:54" s="28" customFormat="1" ht="17" x14ac:dyDescent="0.45">
      <c r="A44" s="88" t="s">
        <v>1364</v>
      </c>
      <c r="B44" s="363"/>
      <c r="C44" s="280"/>
      <c r="D44" s="280"/>
      <c r="E44" s="280"/>
      <c r="F44" s="280"/>
      <c r="G44" s="280"/>
      <c r="H44" s="280"/>
      <c r="I44" s="280"/>
      <c r="J44" s="280"/>
      <c r="K44" s="280"/>
      <c r="L44" s="280"/>
      <c r="M44" s="280"/>
      <c r="N44" s="280"/>
      <c r="O44" s="280"/>
      <c r="P44" s="280"/>
      <c r="Q44" s="280"/>
      <c r="R44" s="280"/>
      <c r="S44" s="280"/>
      <c r="T44" s="280"/>
      <c r="U44" s="280"/>
      <c r="V44" s="280"/>
      <c r="W44" s="280"/>
      <c r="X44" s="280"/>
      <c r="Y44" s="280"/>
      <c r="Z44" s="280"/>
      <c r="AA44" s="280"/>
      <c r="AB44" s="280"/>
      <c r="AC44" s="280"/>
      <c r="AD44" s="280"/>
      <c r="AE44" s="280"/>
      <c r="AF44" s="280"/>
      <c r="AG44" s="280"/>
      <c r="AH44" s="267"/>
      <c r="AI44" s="267"/>
      <c r="AJ44" s="1013" t="s">
        <v>0</v>
      </c>
      <c r="AK44" s="280"/>
      <c r="AL44" s="280"/>
      <c r="AM44" s="280"/>
      <c r="AN44" s="280"/>
      <c r="AO44" s="280"/>
      <c r="AP44" s="280"/>
      <c r="AS44" s="280"/>
      <c r="AT44" s="280"/>
      <c r="AU44" s="280"/>
      <c r="BB44" s="108"/>
    </row>
    <row r="45" spans="1:54" s="86" customFormat="1" ht="16.5" thickBot="1" x14ac:dyDescent="0.45">
      <c r="A45" s="88" t="s">
        <v>752</v>
      </c>
      <c r="B45" s="977" t="s">
        <v>391</v>
      </c>
      <c r="C45" s="975" t="s">
        <v>392</v>
      </c>
      <c r="D45" s="975" t="s">
        <v>393</v>
      </c>
      <c r="E45" s="975" t="s">
        <v>394</v>
      </c>
      <c r="F45" s="975" t="s">
        <v>395</v>
      </c>
      <c r="G45" s="975" t="s">
        <v>396</v>
      </c>
      <c r="H45" s="975" t="s">
        <v>397</v>
      </c>
      <c r="I45" s="975" t="s">
        <v>398</v>
      </c>
      <c r="J45" s="975" t="s">
        <v>399</v>
      </c>
      <c r="K45" s="975" t="s">
        <v>400</v>
      </c>
      <c r="L45" s="975" t="s">
        <v>401</v>
      </c>
      <c r="M45" s="975" t="s">
        <v>402</v>
      </c>
      <c r="N45" s="975" t="s">
        <v>403</v>
      </c>
      <c r="O45" s="975" t="s">
        <v>404</v>
      </c>
      <c r="P45" s="975" t="s">
        <v>405</v>
      </c>
      <c r="Q45" s="975" t="s">
        <v>406</v>
      </c>
      <c r="R45" s="975" t="s">
        <v>407</v>
      </c>
      <c r="S45" s="975" t="s">
        <v>408</v>
      </c>
      <c r="T45" s="975" t="s">
        <v>409</v>
      </c>
      <c r="U45" s="975" t="s">
        <v>410</v>
      </c>
      <c r="V45" s="975" t="s">
        <v>411</v>
      </c>
      <c r="W45" s="975" t="s">
        <v>412</v>
      </c>
      <c r="X45" s="975" t="s">
        <v>413</v>
      </c>
      <c r="Y45" s="975" t="s">
        <v>414</v>
      </c>
      <c r="Z45" s="975" t="s">
        <v>415</v>
      </c>
      <c r="AA45" s="975" t="s">
        <v>416</v>
      </c>
      <c r="AB45" s="975" t="s">
        <v>417</v>
      </c>
      <c r="AC45" s="975" t="s">
        <v>418</v>
      </c>
      <c r="AD45" s="975" t="s">
        <v>419</v>
      </c>
      <c r="AE45" s="975" t="s">
        <v>420</v>
      </c>
      <c r="AF45" s="975" t="s">
        <v>421</v>
      </c>
      <c r="AG45" s="975" t="s">
        <v>422</v>
      </c>
      <c r="AH45" s="975" t="s">
        <v>423</v>
      </c>
      <c r="AI45" s="975" t="s">
        <v>424</v>
      </c>
      <c r="AJ45" s="975" t="s">
        <v>425</v>
      </c>
      <c r="AK45" s="975" t="s">
        <v>426</v>
      </c>
      <c r="AL45" s="975" t="s">
        <v>477</v>
      </c>
      <c r="AM45" s="975" t="s">
        <v>478</v>
      </c>
      <c r="AN45" s="975" t="s">
        <v>479</v>
      </c>
      <c r="AO45" s="975" t="s">
        <v>480</v>
      </c>
      <c r="AP45" s="975" t="s">
        <v>481</v>
      </c>
      <c r="AS45" s="230"/>
      <c r="AT45" s="230"/>
      <c r="AU45" s="230"/>
      <c r="BB45" s="230"/>
    </row>
    <row r="46" spans="1:54" ht="17" x14ac:dyDescent="0.45">
      <c r="A46" s="1165" t="s">
        <v>474</v>
      </c>
      <c r="B46" s="287">
        <f>B47+B48+B49</f>
        <v>8.4498373292805997</v>
      </c>
      <c r="C46" s="287">
        <f>C47+C48+C49</f>
        <v>9.2327174055964747</v>
      </c>
      <c r="D46" s="287">
        <f t="shared" ref="D46:AG46" si="10">D47+D48+D49</f>
        <v>8.9900720556205993</v>
      </c>
      <c r="E46" s="287">
        <f t="shared" si="10"/>
        <v>8.0482362214060164</v>
      </c>
      <c r="F46" s="287">
        <f t="shared" si="10"/>
        <v>8.921629042544625</v>
      </c>
      <c r="G46" s="287">
        <f t="shared" si="10"/>
        <v>9.0187998178736368</v>
      </c>
      <c r="H46" s="287">
        <f t="shared" si="10"/>
        <v>9.1210152080864475</v>
      </c>
      <c r="I46" s="287">
        <f t="shared" si="10"/>
        <v>9.5098828363490036</v>
      </c>
      <c r="J46" s="287">
        <f t="shared" si="10"/>
        <v>8.1251718135853483</v>
      </c>
      <c r="K46" s="287">
        <f t="shared" si="10"/>
        <v>6.2393751516955165</v>
      </c>
      <c r="L46" s="287">
        <f t="shared" si="10"/>
        <v>6.8430242216658304</v>
      </c>
      <c r="M46" s="287">
        <f t="shared" si="10"/>
        <v>5.8080883608675817</v>
      </c>
      <c r="N46" s="287">
        <f t="shared" si="10"/>
        <v>5.9304043098722525</v>
      </c>
      <c r="O46" s="287">
        <f t="shared" si="10"/>
        <v>7.1634713428097143</v>
      </c>
      <c r="P46" s="287">
        <f t="shared" si="10"/>
        <v>6.5866158927197862</v>
      </c>
      <c r="Q46" s="287">
        <f t="shared" si="10"/>
        <v>6.7227133446511402</v>
      </c>
      <c r="R46" s="287">
        <f t="shared" si="10"/>
        <v>5.0430993802870772</v>
      </c>
      <c r="S46" s="287">
        <f t="shared" si="10"/>
        <v>5.3760374991415771</v>
      </c>
      <c r="T46" s="287">
        <f t="shared" si="10"/>
        <v>5.6229900450532995</v>
      </c>
      <c r="U46" s="287">
        <f t="shared" si="10"/>
        <v>5.8286978660278645</v>
      </c>
      <c r="V46" s="287">
        <f t="shared" si="10"/>
        <v>6.7611013025421904</v>
      </c>
      <c r="W46" s="287">
        <f t="shared" si="10"/>
        <v>6.3698006006574017</v>
      </c>
      <c r="X46" s="287">
        <f t="shared" si="10"/>
        <v>5.2680916237270869</v>
      </c>
      <c r="Y46" s="287">
        <f t="shared" si="10"/>
        <v>6.7992810511147983</v>
      </c>
      <c r="Z46" s="287">
        <f t="shared" si="10"/>
        <v>7.1844944219819409</v>
      </c>
      <c r="AA46" s="287">
        <f t="shared" si="10"/>
        <v>7.5880162987844058</v>
      </c>
      <c r="AB46" s="287">
        <f t="shared" si="10"/>
        <v>7.0017819335319551</v>
      </c>
      <c r="AC46" s="287">
        <f t="shared" si="10"/>
        <v>7.3469777355165595</v>
      </c>
      <c r="AD46" s="287">
        <f t="shared" si="10"/>
        <v>7.8913838901466349</v>
      </c>
      <c r="AE46" s="287">
        <f t="shared" si="10"/>
        <v>8.075154217693159</v>
      </c>
      <c r="AF46" s="287">
        <f t="shared" si="10"/>
        <v>7.278632772235647</v>
      </c>
      <c r="AG46" s="287">
        <f t="shared" si="10"/>
        <v>7.4205709610330715</v>
      </c>
      <c r="AH46" s="287">
        <f t="shared" ref="AH46:AI46" si="11">AH47+AH48+AH49</f>
        <v>8.1599363162098957</v>
      </c>
      <c r="AI46" s="287">
        <f t="shared" si="11"/>
        <v>7.5712996120592306</v>
      </c>
      <c r="AJ46" s="1015">
        <f t="shared" ref="AJ46" si="12">AJ47+AJ48+AJ49</f>
        <v>0</v>
      </c>
      <c r="AK46" s="1015"/>
      <c r="AL46" s="1015"/>
      <c r="AM46" s="1015"/>
      <c r="AN46" s="1015"/>
      <c r="AO46" s="1015"/>
      <c r="AP46" s="1015"/>
      <c r="AS46" s="272"/>
      <c r="AT46" s="272"/>
      <c r="AU46" s="272"/>
    </row>
    <row r="47" spans="1:54" ht="17" x14ac:dyDescent="0.45">
      <c r="A47" s="1166" t="s">
        <v>463</v>
      </c>
      <c r="B47" s="280">
        <f>'Combustion CO2'!B66</f>
        <v>8.393199905810599</v>
      </c>
      <c r="C47" s="280">
        <f>'Combustion CO2'!C66</f>
        <v>9.1714074410264743</v>
      </c>
      <c r="D47" s="280">
        <f>'Combustion CO2'!D66</f>
        <v>8.9309955359805997</v>
      </c>
      <c r="E47" s="280">
        <f>'Combustion CO2'!E66</f>
        <v>7.9899165283760158</v>
      </c>
      <c r="F47" s="280">
        <f>'Combustion CO2'!F66</f>
        <v>8.8622762327746258</v>
      </c>
      <c r="G47" s="280">
        <f>'Combustion CO2'!G66</f>
        <v>8.9583234115736374</v>
      </c>
      <c r="H47" s="280">
        <f>'Combustion CO2'!H66</f>
        <v>9.0613426494264466</v>
      </c>
      <c r="I47" s="280">
        <f>'Combustion CO2'!I66</f>
        <v>9.4523565880490032</v>
      </c>
      <c r="J47" s="280">
        <f>'Combustion CO2'!J66</f>
        <v>8.0754548915353492</v>
      </c>
      <c r="K47" s="280">
        <f>'Combustion CO2'!K66</f>
        <v>6.1959925594355161</v>
      </c>
      <c r="L47" s="280">
        <f>'Combustion CO2'!L66</f>
        <v>6.7932535616058303</v>
      </c>
      <c r="M47" s="280">
        <f>'Combustion CO2'!M66</f>
        <v>5.7670060508675816</v>
      </c>
      <c r="N47" s="280">
        <f>'Combustion CO2'!N66</f>
        <v>5.8880337932122524</v>
      </c>
      <c r="O47" s="280">
        <f>'Combustion CO2'!O66</f>
        <v>7.1132084080597142</v>
      </c>
      <c r="P47" s="280">
        <f>'Combustion CO2'!P66</f>
        <v>6.5373600288097862</v>
      </c>
      <c r="Q47" s="280">
        <f>'Combustion CO2'!Q66</f>
        <v>6.6865712143985894</v>
      </c>
      <c r="R47" s="280">
        <f>'Combustion CO2'!R66</f>
        <v>5.0160944446169093</v>
      </c>
      <c r="S47" s="280">
        <f>'Combustion CO2'!S66</f>
        <v>5.3484329327599998</v>
      </c>
      <c r="T47" s="280">
        <f>'Combustion CO2'!T66</f>
        <v>5.5954704389832886</v>
      </c>
      <c r="U47" s="280">
        <f>'Combustion CO2'!U66</f>
        <v>5.7930992378099821</v>
      </c>
      <c r="V47" s="280">
        <f>'Combustion CO2'!V66</f>
        <v>6.7205520029870893</v>
      </c>
      <c r="W47" s="280">
        <f>'Combustion CO2'!W66</f>
        <v>6.3331977627934162</v>
      </c>
      <c r="X47" s="280">
        <f>'Combustion CO2'!X66</f>
        <v>5.2380301223549299</v>
      </c>
      <c r="Y47" s="280">
        <f>'Combustion CO2'!Y66</f>
        <v>6.7631182630681863</v>
      </c>
      <c r="Z47" s="280">
        <f>'Combustion CO2'!Z66</f>
        <v>7.1468891863233202</v>
      </c>
      <c r="AA47" s="280">
        <f>'Combustion CO2'!AA66</f>
        <v>7.5477779593100482</v>
      </c>
      <c r="AB47" s="280">
        <f>'Combustion CO2'!AB66</f>
        <v>6.9658066582217053</v>
      </c>
      <c r="AC47" s="280">
        <f>'Combustion CO2'!AC66</f>
        <v>7.3094808835971969</v>
      </c>
      <c r="AD47" s="281">
        <f>'Combustion CO2'!AD66</f>
        <v>7.8497504734391494</v>
      </c>
      <c r="AE47" s="280">
        <f>'Combustion CO2'!AE66</f>
        <v>8.0270134847250123</v>
      </c>
      <c r="AF47" s="280">
        <f>'Combustion CO2'!AF66</f>
        <v>7.2217716233752993</v>
      </c>
      <c r="AG47" s="280">
        <f>'Combustion CO2'!AG66</f>
        <v>7.3504067174673029</v>
      </c>
      <c r="AH47" s="280">
        <f>'Combustion CO2'!AH66</f>
        <v>8.0934423507441764</v>
      </c>
      <c r="AI47" s="280">
        <f>'Combustion CO2'!AI66</f>
        <v>7.5112031192163426</v>
      </c>
      <c r="AJ47" s="1014">
        <f>'Combustion CO2'!AJ66</f>
        <v>0</v>
      </c>
      <c r="AK47" s="1014"/>
      <c r="AL47" s="1014"/>
      <c r="AM47" s="1014"/>
      <c r="AN47" s="1014"/>
      <c r="AO47" s="1014"/>
      <c r="AP47" s="1014"/>
      <c r="AS47" s="272"/>
      <c r="AT47" s="272"/>
      <c r="AU47" s="272"/>
    </row>
    <row r="48" spans="1:54" x14ac:dyDescent="0.4">
      <c r="A48" s="1166" t="s">
        <v>30</v>
      </c>
      <c r="B48" s="283">
        <f>'Stationary CH4 and N2O'!B79</f>
        <v>5.6637423469999996E-2</v>
      </c>
      <c r="C48" s="283">
        <f>'Stationary CH4 and N2O'!C79</f>
        <v>6.1309964569999993E-2</v>
      </c>
      <c r="D48" s="283">
        <f>'Stationary CH4 and N2O'!D79</f>
        <v>5.9076519639999991E-2</v>
      </c>
      <c r="E48" s="283">
        <f>'Stationary CH4 and N2O'!E79</f>
        <v>5.8319693029999994E-2</v>
      </c>
      <c r="F48" s="283">
        <f>'Stationary CH4 and N2O'!F79</f>
        <v>5.9352809769999994E-2</v>
      </c>
      <c r="G48" s="283">
        <f>'Stationary CH4 and N2O'!G79</f>
        <v>6.0476406299999994E-2</v>
      </c>
      <c r="H48" s="283">
        <f>'Stationary CH4 and N2O'!H79</f>
        <v>5.9672558659999993E-2</v>
      </c>
      <c r="I48" s="283">
        <f>'Stationary CH4 and N2O'!I79</f>
        <v>5.7526248299999992E-2</v>
      </c>
      <c r="J48" s="283">
        <f>'Stationary CH4 and N2O'!J79</f>
        <v>4.9716922049999987E-2</v>
      </c>
      <c r="K48" s="283">
        <f>'Stationary CH4 and N2O'!K79</f>
        <v>4.3382592259999991E-2</v>
      </c>
      <c r="L48" s="283">
        <f>'Stationary CH4 and N2O'!L79</f>
        <v>4.9770660059999999E-2</v>
      </c>
      <c r="M48" s="283">
        <f>'Stationary CH4 and N2O'!M79</f>
        <v>4.108230999999999E-2</v>
      </c>
      <c r="N48" s="283">
        <f>'Stationary CH4 and N2O'!N79</f>
        <v>4.2370516659999996E-2</v>
      </c>
      <c r="O48" s="283">
        <f>'Stationary CH4 and N2O'!O79</f>
        <v>5.0262934749999995E-2</v>
      </c>
      <c r="P48" s="283">
        <f>'Stationary CH4 and N2O'!P79</f>
        <v>4.9255863909999996E-2</v>
      </c>
      <c r="Q48" s="283">
        <f>'Stationary CH4 and N2O'!Q79</f>
        <v>3.6142130252550454E-2</v>
      </c>
      <c r="R48" s="283">
        <f>'Stationary CH4 and N2O'!R79</f>
        <v>2.7004935670168092E-2</v>
      </c>
      <c r="S48" s="283">
        <f>'Stationary CH4 and N2O'!S79</f>
        <v>2.7604566381577697E-2</v>
      </c>
      <c r="T48" s="283">
        <f>'Stationary CH4 and N2O'!T79</f>
        <v>2.7519606070010756E-2</v>
      </c>
      <c r="U48" s="283">
        <f>'Stationary CH4 and N2O'!U79</f>
        <v>3.5598628217882788E-2</v>
      </c>
      <c r="V48" s="283">
        <f>'Stationary CH4 and N2O'!V79</f>
        <v>4.0549299555101122E-2</v>
      </c>
      <c r="W48" s="283">
        <f>'Stationary CH4 and N2O'!W79</f>
        <v>3.6602837863985917E-2</v>
      </c>
      <c r="X48" s="283">
        <f>'Stationary CH4 and N2O'!X79</f>
        <v>3.0061501372156855E-2</v>
      </c>
      <c r="Y48" s="283">
        <f>'Stationary CH4 and N2O'!Y79</f>
        <v>3.6162788046612306E-2</v>
      </c>
      <c r="Z48" s="283">
        <f>'Stationary CH4 and N2O'!Z79</f>
        <v>3.7605235658621054E-2</v>
      </c>
      <c r="AA48" s="280">
        <f>'Stationary CH4 and N2O'!AA79</f>
        <v>4.0238339474357322E-2</v>
      </c>
      <c r="AB48" s="280">
        <f>'Stationary CH4 and N2O'!AB79</f>
        <v>3.597527531024941E-2</v>
      </c>
      <c r="AC48" s="280">
        <f>'Stationary CH4 and N2O'!AC79</f>
        <v>3.7496851919362487E-2</v>
      </c>
      <c r="AD48" s="281">
        <f>'Stationary CH4 and N2O'!AD79</f>
        <v>3.7176648474549823E-2</v>
      </c>
      <c r="AE48" s="280">
        <f>'Stationary CH4 and N2O'!AE79</f>
        <v>3.9350801390763537E-2</v>
      </c>
      <c r="AF48" s="280">
        <f>'Stationary CH4 and N2O'!AF79</f>
        <v>4.1498279225575113E-2</v>
      </c>
      <c r="AG48" s="280">
        <f>'Stationary CH4 and N2O'!AG79</f>
        <v>4.3332509396349174E-2</v>
      </c>
      <c r="AH48" s="280">
        <f>'Stationary CH4 and N2O'!AH79</f>
        <v>4.5355725083220624E-2</v>
      </c>
      <c r="AI48" s="280">
        <f>'Stationary CH4 and N2O'!AI79</f>
        <v>4.3663358252131954E-2</v>
      </c>
      <c r="AJ48" s="1014">
        <f>'Stationary CH4 and N2O'!AJ79</f>
        <v>0</v>
      </c>
      <c r="AK48" s="1014"/>
      <c r="AL48" s="1014"/>
      <c r="AM48" s="1014"/>
      <c r="AN48" s="1014"/>
      <c r="AO48" s="1014"/>
      <c r="AP48" s="1014"/>
      <c r="AS48" s="291"/>
      <c r="AT48" s="291"/>
      <c r="AU48" s="291"/>
    </row>
    <row r="49" spans="1:54" ht="17" x14ac:dyDescent="0.45">
      <c r="A49" s="1166" t="s">
        <v>475</v>
      </c>
      <c r="B49" s="280">
        <f>'Combustion CO2'!B186</f>
        <v>0</v>
      </c>
      <c r="C49" s="280">
        <f>'Combustion CO2'!C186</f>
        <v>0</v>
      </c>
      <c r="D49" s="280">
        <f>'Combustion CO2'!D186</f>
        <v>0</v>
      </c>
      <c r="E49" s="280">
        <f>'Combustion CO2'!E186</f>
        <v>0</v>
      </c>
      <c r="F49" s="280">
        <f>'Combustion CO2'!F186</f>
        <v>0</v>
      </c>
      <c r="G49" s="280">
        <f>'Combustion CO2'!G186</f>
        <v>0</v>
      </c>
      <c r="H49" s="280">
        <f>'Combustion CO2'!H186</f>
        <v>0</v>
      </c>
      <c r="I49" s="280">
        <f>'Combustion CO2'!I186</f>
        <v>0</v>
      </c>
      <c r="J49" s="280">
        <f>'Combustion CO2'!J186</f>
        <v>0</v>
      </c>
      <c r="K49" s="280">
        <f>'Combustion CO2'!K186</f>
        <v>0</v>
      </c>
      <c r="L49" s="280">
        <f>'Combustion CO2'!L186</f>
        <v>0</v>
      </c>
      <c r="M49" s="280">
        <f>'Combustion CO2'!M186</f>
        <v>0</v>
      </c>
      <c r="N49" s="280">
        <f>'Combustion CO2'!N186</f>
        <v>0</v>
      </c>
      <c r="O49" s="280">
        <f>'Combustion CO2'!O186</f>
        <v>0</v>
      </c>
      <c r="P49" s="280">
        <f>'Combustion CO2'!P186</f>
        <v>0</v>
      </c>
      <c r="Q49" s="280">
        <f>'Combustion CO2'!Q186</f>
        <v>0</v>
      </c>
      <c r="R49" s="280">
        <f>'Combustion CO2'!R186</f>
        <v>0</v>
      </c>
      <c r="S49" s="280">
        <f>'Combustion CO2'!S186</f>
        <v>0</v>
      </c>
      <c r="T49" s="280">
        <f>'Combustion CO2'!T186</f>
        <v>0</v>
      </c>
      <c r="U49" s="280">
        <f>'Combustion CO2'!U186</f>
        <v>0</v>
      </c>
      <c r="V49" s="280">
        <f>'Combustion CO2'!V186</f>
        <v>0</v>
      </c>
      <c r="W49" s="280">
        <f>'Combustion CO2'!W186</f>
        <v>0</v>
      </c>
      <c r="X49" s="280">
        <f>'Combustion CO2'!X186</f>
        <v>0</v>
      </c>
      <c r="Y49" s="280">
        <f>'Combustion CO2'!Y186</f>
        <v>0</v>
      </c>
      <c r="Z49" s="280">
        <f>'Combustion CO2'!Z186</f>
        <v>0</v>
      </c>
      <c r="AA49" s="280">
        <f>'Combustion CO2'!AA186</f>
        <v>0</v>
      </c>
      <c r="AB49" s="280">
        <f>'Combustion CO2'!AB186</f>
        <v>0</v>
      </c>
      <c r="AC49" s="280">
        <f>'Combustion CO2'!AC186</f>
        <v>0</v>
      </c>
      <c r="AD49" s="281">
        <f>'Combustion CO2'!AD186</f>
        <v>4.4567682329355309E-3</v>
      </c>
      <c r="AE49" s="280">
        <f>'Combustion CO2'!AE186</f>
        <v>8.7899315773823424E-3</v>
      </c>
      <c r="AF49" s="280">
        <f>'Combustion CO2'!AF186</f>
        <v>1.5362869634772607E-2</v>
      </c>
      <c r="AG49" s="280">
        <f>'Combustion CO2'!AG186</f>
        <v>2.6831734169418742E-2</v>
      </c>
      <c r="AH49" s="280">
        <f>'Combustion CO2'!AH186</f>
        <v>2.1138240382498417E-2</v>
      </c>
      <c r="AI49" s="280">
        <f>'Combustion CO2'!AI186</f>
        <v>1.6433134590756165E-2</v>
      </c>
      <c r="AJ49" s="1014">
        <f>'Combustion CO2'!AJ186</f>
        <v>0</v>
      </c>
      <c r="AK49" s="1022"/>
      <c r="AL49" s="1022"/>
      <c r="AM49" s="1022"/>
      <c r="AN49" s="1022"/>
      <c r="AO49" s="1022"/>
      <c r="AP49" s="1022"/>
      <c r="AS49" s="272"/>
      <c r="AT49" s="272"/>
      <c r="AU49" s="272"/>
    </row>
    <row r="50" spans="1:54" ht="17" x14ac:dyDescent="0.45">
      <c r="A50" s="1167" t="s">
        <v>465</v>
      </c>
      <c r="B50" s="296">
        <f t="shared" ref="B50:AG50" si="13">B51+B52+B53+B54</f>
        <v>5.6055444375748946</v>
      </c>
      <c r="C50" s="296">
        <f t="shared" si="13"/>
        <v>4.7203306522586423</v>
      </c>
      <c r="D50" s="296">
        <f t="shared" si="13"/>
        <v>6.4434881590501689</v>
      </c>
      <c r="E50" s="296">
        <f t="shared" si="13"/>
        <v>6.5995164430121873</v>
      </c>
      <c r="F50" s="296">
        <f t="shared" si="13"/>
        <v>5.7137275717032194</v>
      </c>
      <c r="G50" s="296">
        <f t="shared" si="13"/>
        <v>5.0295458063278202</v>
      </c>
      <c r="H50" s="296">
        <f t="shared" si="13"/>
        <v>5.0110348602786434</v>
      </c>
      <c r="I50" s="296">
        <f t="shared" si="13"/>
        <v>5.1112421995349511</v>
      </c>
      <c r="J50" s="296">
        <f t="shared" si="13"/>
        <v>4.808825190094586</v>
      </c>
      <c r="K50" s="296">
        <f t="shared" si="13"/>
        <v>5.5096311371002367</v>
      </c>
      <c r="L50" s="296">
        <f t="shared" si="13"/>
        <v>5.3806880710082661</v>
      </c>
      <c r="M50" s="296">
        <f t="shared" si="13"/>
        <v>6.5330841217154205</v>
      </c>
      <c r="N50" s="296">
        <f t="shared" si="13"/>
        <v>6.4337930645208612</v>
      </c>
      <c r="O50" s="296">
        <f t="shared" si="13"/>
        <v>4.3788872742004674</v>
      </c>
      <c r="P50" s="296">
        <f t="shared" si="13"/>
        <v>4.2709227144122419</v>
      </c>
      <c r="Q50" s="296">
        <f t="shared" si="13"/>
        <v>4.527964290294995</v>
      </c>
      <c r="R50" s="296">
        <f t="shared" si="13"/>
        <v>4.3980409384451322</v>
      </c>
      <c r="S50" s="296">
        <f t="shared" si="13"/>
        <v>4.3097813270969629</v>
      </c>
      <c r="T50" s="296">
        <f t="shared" si="13"/>
        <v>3.9782211484534664</v>
      </c>
      <c r="U50" s="296">
        <f t="shared" si="13"/>
        <v>3.2713308683350615</v>
      </c>
      <c r="V50" s="296">
        <f t="shared" si="13"/>
        <v>3.7405476391501797</v>
      </c>
      <c r="W50" s="296">
        <f t="shared" si="13"/>
        <v>3.8974105246934214</v>
      </c>
      <c r="X50" s="296">
        <f t="shared" si="13"/>
        <v>3.3496069838342475</v>
      </c>
      <c r="Y50" s="296">
        <f t="shared" si="13"/>
        <v>3.5368624475801331</v>
      </c>
      <c r="Z50" s="296">
        <f t="shared" si="13"/>
        <v>3.4604103256118655</v>
      </c>
      <c r="AA50" s="296">
        <f t="shared" si="13"/>
        <v>3.486507997416604</v>
      </c>
      <c r="AB50" s="296">
        <f t="shared" si="13"/>
        <v>3.273910575910739</v>
      </c>
      <c r="AC50" s="296">
        <f t="shared" si="13"/>
        <v>3.3076976742527324</v>
      </c>
      <c r="AD50" s="297">
        <f t="shared" si="13"/>
        <v>3.3368151235079453</v>
      </c>
      <c r="AE50" s="296">
        <f t="shared" si="13"/>
        <v>3.4149898421526799</v>
      </c>
      <c r="AF50" s="296">
        <f t="shared" si="13"/>
        <v>3.1647813971898953</v>
      </c>
      <c r="AG50" s="296">
        <f t="shared" si="13"/>
        <v>3.3201117725995055</v>
      </c>
      <c r="AH50" s="296">
        <f t="shared" ref="AH50:AI50" si="14">AH51+AH52+AH53+AH54</f>
        <v>3.3385758874359195</v>
      </c>
      <c r="AI50" s="296">
        <f t="shared" si="14"/>
        <v>3.0528433286907695</v>
      </c>
      <c r="AJ50" s="1016">
        <f t="shared" ref="AJ50" si="15">AJ51+AJ52+AJ53+AJ54</f>
        <v>0</v>
      </c>
      <c r="AK50" s="1016"/>
      <c r="AL50" s="1016"/>
      <c r="AM50" s="1016"/>
      <c r="AN50" s="1016"/>
      <c r="AO50" s="1016"/>
      <c r="AP50" s="1016"/>
      <c r="AS50" s="272"/>
      <c r="AT50" s="272"/>
      <c r="AU50" s="272"/>
    </row>
    <row r="51" spans="1:54" ht="17" x14ac:dyDescent="0.45">
      <c r="A51" s="1166" t="s">
        <v>466</v>
      </c>
      <c r="B51" s="280">
        <f>'Combustion CO2'!B71</f>
        <v>5.4029918486572228</v>
      </c>
      <c r="C51" s="280">
        <f>'Combustion CO2'!C71</f>
        <v>4.5241963792028006</v>
      </c>
      <c r="D51" s="280">
        <f>'Combustion CO2'!D71</f>
        <v>6.196120339667166</v>
      </c>
      <c r="E51" s="280">
        <f>'Combustion CO2'!E71</f>
        <v>6.3524480004604289</v>
      </c>
      <c r="F51" s="280">
        <f>'Combustion CO2'!F71</f>
        <v>5.4819205214131737</v>
      </c>
      <c r="G51" s="280">
        <f>'Combustion CO2'!G71</f>
        <v>4.799124624067149</v>
      </c>
      <c r="H51" s="280">
        <f>'Combustion CO2'!H71</f>
        <v>4.75504493150014</v>
      </c>
      <c r="I51" s="280">
        <f>'Combustion CO2'!I71</f>
        <v>4.8391149240722537</v>
      </c>
      <c r="J51" s="280">
        <f>'Combustion CO2'!J71</f>
        <v>4.6425953861799725</v>
      </c>
      <c r="K51" s="280">
        <f>'Combustion CO2'!K71</f>
        <v>5.324582932332838</v>
      </c>
      <c r="L51" s="280">
        <f>'Combustion CO2'!L71</f>
        <v>5.2136458030450861</v>
      </c>
      <c r="M51" s="280">
        <f>'Combustion CO2'!M71</f>
        <v>6.3114014118719561</v>
      </c>
      <c r="N51" s="280">
        <f>'Combustion CO2'!N71</f>
        <v>6.1690505039776617</v>
      </c>
      <c r="O51" s="280">
        <f>'Combustion CO2'!O71</f>
        <v>4.1418598354447296</v>
      </c>
      <c r="P51" s="280">
        <f>'Combustion CO2'!P71</f>
        <v>4.0150990192714158</v>
      </c>
      <c r="Q51" s="280">
        <f>'Combustion CO2'!Q71</f>
        <v>4.2697051145872669</v>
      </c>
      <c r="R51" s="280">
        <f>'Combustion CO2'!R71</f>
        <v>4.0677081935533161</v>
      </c>
      <c r="S51" s="280">
        <f>'Combustion CO2'!S71</f>
        <v>3.9614178944807481</v>
      </c>
      <c r="T51" s="280">
        <f>'Combustion CO2'!T71</f>
        <v>3.6776679080539032</v>
      </c>
      <c r="U51" s="280">
        <f>'Combustion CO2'!U71</f>
        <v>2.9614097522885445</v>
      </c>
      <c r="V51" s="280">
        <f>'Combustion CO2'!V71</f>
        <v>3.4875602377014707</v>
      </c>
      <c r="W51" s="280">
        <f>'Combustion CO2'!W71</f>
        <v>3.6789297255419582</v>
      </c>
      <c r="X51" s="280">
        <f>'Combustion CO2'!X71</f>
        <v>3.1915395199877956</v>
      </c>
      <c r="Y51" s="280">
        <f>'Combustion CO2'!Y71</f>
        <v>3.3630292704257805</v>
      </c>
      <c r="Z51" s="280">
        <f>'Combustion CO2'!Z71</f>
        <v>3.2602165239692171</v>
      </c>
      <c r="AA51" s="280">
        <f>'Combustion CO2'!AA71</f>
        <v>3.2823083352570848</v>
      </c>
      <c r="AB51" s="280">
        <f>'Combustion CO2'!AB71</f>
        <v>3.1662665581676284</v>
      </c>
      <c r="AC51" s="280">
        <f>'Combustion CO2'!AC71</f>
        <v>3.2336648396866163</v>
      </c>
      <c r="AD51" s="281">
        <f>'Combustion CO2'!AD71</f>
        <v>3.2038785042914624</v>
      </c>
      <c r="AE51" s="280">
        <f>'Combustion CO2'!AE71</f>
        <v>3.244068751389845</v>
      </c>
      <c r="AF51" s="280">
        <f>'Combustion CO2'!AF71</f>
        <v>3.0398049356378154</v>
      </c>
      <c r="AG51" s="280">
        <f>'Combustion CO2'!AG71</f>
        <v>3.2122856536414419</v>
      </c>
      <c r="AH51" s="280">
        <f>'Combustion CO2'!AH71</f>
        <v>3.2423547772972263</v>
      </c>
      <c r="AI51" s="280">
        <f>'Combustion CO2'!AI71</f>
        <v>2.981429791228452</v>
      </c>
      <c r="AJ51" s="1014">
        <f>'Combustion CO2'!AJ71</f>
        <v>0</v>
      </c>
      <c r="AK51" s="1014"/>
      <c r="AL51" s="1014"/>
      <c r="AM51" s="1014"/>
      <c r="AN51" s="1014"/>
      <c r="AO51" s="1014"/>
      <c r="AP51" s="1014"/>
      <c r="AQ51" s="281"/>
      <c r="AS51" s="272"/>
      <c r="AT51" s="272"/>
      <c r="AU51" s="272"/>
    </row>
    <row r="52" spans="1:54" x14ac:dyDescent="0.4">
      <c r="A52" s="1166" t="s">
        <v>31</v>
      </c>
      <c r="B52" s="283">
        <f>'Stationary CH4 and N2O'!B82</f>
        <v>2.19391063196166E-2</v>
      </c>
      <c r="C52" s="283">
        <f>'Stationary CH4 and N2O'!C82</f>
        <v>1.8804278893775218E-2</v>
      </c>
      <c r="D52" s="283">
        <f>'Stationary CH4 and N2O'!D82</f>
        <v>2.2056999012336577E-2</v>
      </c>
      <c r="E52" s="283">
        <f>'Stationary CH4 and N2O'!E82</f>
        <v>2.2613327546758041E-2</v>
      </c>
      <c r="F52" s="283">
        <f>'Stationary CH4 and N2O'!F82</f>
        <v>2.0959623605712303E-2</v>
      </c>
      <c r="G52" s="283">
        <f>'Stationary CH4 and N2O'!G82</f>
        <v>2.0664401566270606E-2</v>
      </c>
      <c r="H52" s="283">
        <f>'Stationary CH4 and N2O'!H82</f>
        <v>2.055429936983752E-2</v>
      </c>
      <c r="I52" s="283">
        <f>'Stationary CH4 and N2O'!I82</f>
        <v>2.1758184382740957E-2</v>
      </c>
      <c r="J52" s="283">
        <f>'Stationary CH4 and N2O'!J82</f>
        <v>1.9170090193242201E-2</v>
      </c>
      <c r="K52" s="283">
        <f>'Stationary CH4 and N2O'!K82</f>
        <v>1.957597393398583E-2</v>
      </c>
      <c r="L52" s="283">
        <f>'Stationary CH4 and N2O'!L82</f>
        <v>1.946333915198022E-2</v>
      </c>
      <c r="M52" s="283">
        <f>'Stationary CH4 and N2O'!M82</f>
        <v>1.9251449816890667E-2</v>
      </c>
      <c r="N52" s="283">
        <f>'Stationary CH4 and N2O'!N82</f>
        <v>1.5284791688067982E-2</v>
      </c>
      <c r="O52" s="283">
        <f>'Stationary CH4 and N2O'!O82</f>
        <v>1.3991591491882279E-2</v>
      </c>
      <c r="P52" s="283">
        <f>'Stationary CH4 and N2O'!P82</f>
        <v>1.4130251723568998E-2</v>
      </c>
      <c r="Q52" s="283">
        <f>'Stationary CH4 and N2O'!Q82</f>
        <v>1.468346527025877E-2</v>
      </c>
      <c r="R52" s="283">
        <f>'Stationary CH4 and N2O'!R82</f>
        <v>1.4675220179428451E-2</v>
      </c>
      <c r="S52" s="283">
        <f>'Stationary CH4 and N2O'!S82</f>
        <v>1.4300494632537991E-2</v>
      </c>
      <c r="T52" s="283">
        <f>'Stationary CH4 and N2O'!T82</f>
        <v>1.3438749968192496E-2</v>
      </c>
      <c r="U52" s="283">
        <f>'Stationary CH4 and N2O'!U82</f>
        <v>1.0596025715565774E-2</v>
      </c>
      <c r="V52" s="283">
        <f>'Stationary CH4 and N2O'!V82</f>
        <v>1.5637049914401204E-2</v>
      </c>
      <c r="W52" s="283">
        <f>'Stationary CH4 and N2O'!W82</f>
        <v>1.9358746538103083E-2</v>
      </c>
      <c r="X52" s="283">
        <f>'Stationary CH4 and N2O'!X82</f>
        <v>1.8169997339342634E-2</v>
      </c>
      <c r="Y52" s="283">
        <f>'Stationary CH4 and N2O'!Y82</f>
        <v>1.8253734630129383E-2</v>
      </c>
      <c r="Z52" s="283">
        <f>'Stationary CH4 and N2O'!Z82</f>
        <v>1.7644754278004635E-2</v>
      </c>
      <c r="AA52" s="280">
        <f>'Stationary CH4 and N2O'!AA82</f>
        <v>1.7693717285210304E-2</v>
      </c>
      <c r="AB52" s="280">
        <f>'Stationary CH4 and N2O'!AB82</f>
        <v>1.6864802547429884E-2</v>
      </c>
      <c r="AC52" s="280">
        <f>'Stationary CH4 and N2O'!AC82</f>
        <v>9.7418122262509128E-3</v>
      </c>
      <c r="AD52" s="281">
        <f>'Stationary CH4 and N2O'!AD82</f>
        <v>9.5420662146183579E-3</v>
      </c>
      <c r="AE52" s="280">
        <f>'Stationary CH4 and N2O'!AE82</f>
        <v>9.5741570685917328E-3</v>
      </c>
      <c r="AF52" s="280">
        <f>'Stationary CH4 and N2O'!AF82</f>
        <v>9.297561033359051E-3</v>
      </c>
      <c r="AG52" s="280">
        <f>'Stationary CH4 and N2O'!AG82</f>
        <v>9.6053437311539539E-3</v>
      </c>
      <c r="AH52" s="280">
        <f>'Stationary CH4 and N2O'!AH82</f>
        <v>1.0423428329114713E-2</v>
      </c>
      <c r="AI52" s="280">
        <f>'Stationary CH4 and N2O'!AI82</f>
        <v>1.0285247003878145E-2</v>
      </c>
      <c r="AJ52" s="1014">
        <f>'Stationary CH4 and N2O'!AJ82</f>
        <v>0</v>
      </c>
      <c r="AK52" s="1014"/>
      <c r="AL52" s="1014"/>
      <c r="AM52" s="1014"/>
      <c r="AN52" s="1014"/>
      <c r="AO52" s="1014"/>
      <c r="AP52" s="1014"/>
      <c r="AS52" s="280"/>
      <c r="AT52" s="280"/>
      <c r="AU52" s="280"/>
    </row>
    <row r="53" spans="1:54" ht="17" x14ac:dyDescent="0.45">
      <c r="A53" s="1166" t="s">
        <v>988</v>
      </c>
      <c r="B53" s="283">
        <f>'Solid Waste'!B79</f>
        <v>0.1126915732517219</v>
      </c>
      <c r="C53" s="283">
        <f>'Solid Waste'!C79</f>
        <v>9.3901284558399967E-2</v>
      </c>
      <c r="D53" s="283">
        <f>'Solid Waste'!D79</f>
        <v>0.12802158039999997</v>
      </c>
      <c r="E53" s="283">
        <f>'Solid Waste'!E79</f>
        <v>0.10098487323000002</v>
      </c>
      <c r="F53" s="283">
        <f>'Solid Waste'!F79</f>
        <v>0.112018127784</v>
      </c>
      <c r="G53" s="283">
        <f>'Solid Waste'!G79</f>
        <v>0.10779425845439999</v>
      </c>
      <c r="H53" s="283">
        <f>'Solid Waste'!H79</f>
        <v>0.11934704939999999</v>
      </c>
      <c r="I53" s="283">
        <f>'Solid Waste'!I79</f>
        <v>0.12064871099999999</v>
      </c>
      <c r="J53" s="283">
        <f>'Solid Waste'!J79</f>
        <v>4.2237590039999995E-2</v>
      </c>
      <c r="K53" s="283">
        <f>'Solid Waste'!K79</f>
        <v>1.9280794800000004E-2</v>
      </c>
      <c r="L53" s="283">
        <f>'Solid Waste'!L79</f>
        <v>1.58976576E-2</v>
      </c>
      <c r="M53" s="283">
        <f>'Solid Waste'!M79</f>
        <v>2.6936267368421054E-2</v>
      </c>
      <c r="N53" s="283">
        <f>'Solid Waste'!N79</f>
        <v>1.6184417142857139E-2</v>
      </c>
      <c r="O53" s="283">
        <f>'Solid Waste'!O79</f>
        <v>1.6211368727272722E-2</v>
      </c>
      <c r="P53" s="283">
        <f>'Solid Waste'!P79</f>
        <v>1.6055490181818181E-2</v>
      </c>
      <c r="Q53" s="283">
        <f>'Solid Waste'!Q79</f>
        <v>1.6334272857142854E-2</v>
      </c>
      <c r="R53" s="283">
        <f>'Solid Waste'!R79</f>
        <v>5.1550650991932762E-2</v>
      </c>
      <c r="S53" s="283">
        <f>'Solid Waste'!S79</f>
        <v>5.8519102170219876E-2</v>
      </c>
      <c r="T53" s="283">
        <f>'Solid Waste'!T79</f>
        <v>5.7694358354617642E-2</v>
      </c>
      <c r="U53" s="283">
        <f>'Solid Waste'!U79</f>
        <v>6.3763619271019825E-2</v>
      </c>
      <c r="V53" s="283">
        <f>'Solid Waste'!V79</f>
        <v>2.2319670000000003E-2</v>
      </c>
      <c r="W53" s="283">
        <f>'Solid Waste'!W79</f>
        <v>2.3564499999999999E-2</v>
      </c>
      <c r="X53" s="283">
        <f>'Solid Waste'!X79</f>
        <v>2.6235499999999998E-2</v>
      </c>
      <c r="Y53" s="283">
        <f>'Solid Waste'!Y79</f>
        <v>2.7109049999999999E-2</v>
      </c>
      <c r="Z53" s="283">
        <f>'Solid Waste'!Z79</f>
        <v>2.7830348000000001E-2</v>
      </c>
      <c r="AA53" s="280">
        <f>'Solid Waste'!AA79</f>
        <v>2.6892700000000002E-2</v>
      </c>
      <c r="AB53" s="280">
        <f>'Solid Waste'!AB79</f>
        <v>3.0995358000000001E-2</v>
      </c>
      <c r="AC53" s="280">
        <f>'Solid Waste'!AC79</f>
        <v>2.80193E-2</v>
      </c>
      <c r="AD53" s="281">
        <f>'Solid Waste'!AD79</f>
        <v>4.0953804000000003E-2</v>
      </c>
      <c r="AE53" s="280">
        <f>'Solid Waste'!AE79</f>
        <v>1.9520982000000003E-2</v>
      </c>
      <c r="AF53" s="280">
        <f>'Solid Waste'!AF79</f>
        <v>1.7101537999999999E-2</v>
      </c>
      <c r="AG53" s="280">
        <f>'Solid Waste'!AG79</f>
        <v>2.8212000000000001E-2</v>
      </c>
      <c r="AH53" s="280">
        <f>'Solid Waste'!AH79</f>
        <v>6.7669460000000002E-3</v>
      </c>
      <c r="AI53" s="280">
        <f>'Solid Waste'!AI79</f>
        <v>0</v>
      </c>
      <c r="AJ53" s="1014">
        <f>'Solid Waste'!AJ79</f>
        <v>0</v>
      </c>
      <c r="AK53" s="1014"/>
      <c r="AL53" s="1014"/>
      <c r="AM53" s="1014"/>
      <c r="AN53" s="1014"/>
      <c r="AO53" s="1014"/>
      <c r="AP53" s="1014"/>
      <c r="AS53" s="280"/>
      <c r="AT53" s="280"/>
      <c r="AU53" s="280"/>
    </row>
    <row r="54" spans="1:54" s="28" customFormat="1" ht="17" x14ac:dyDescent="0.45">
      <c r="A54" s="1166" t="s">
        <v>989</v>
      </c>
      <c r="B54" s="283">
        <f>'Combustion CO2'!B172+'Stationary CH4 and N2O'!B96</f>
        <v>6.7921909346333326E-2</v>
      </c>
      <c r="C54" s="283">
        <f>'Combustion CO2'!C172+'Stationary CH4 and N2O'!C96</f>
        <v>8.3428709603666662E-2</v>
      </c>
      <c r="D54" s="283">
        <f>'Combustion CO2'!D172+'Stationary CH4 and N2O'!D96</f>
        <v>9.7289239970666658E-2</v>
      </c>
      <c r="E54" s="283">
        <f>'Combustion CO2'!E172+'Stationary CH4 and N2O'!E96</f>
        <v>0.12347024177499999</v>
      </c>
      <c r="F54" s="283">
        <f>'Combustion CO2'!F172+'Stationary CH4 and N2O'!F96</f>
        <v>9.8829298900333332E-2</v>
      </c>
      <c r="G54" s="283">
        <f>'Combustion CO2'!G172+'Stationary CH4 and N2O'!G96</f>
        <v>0.10196252223999999</v>
      </c>
      <c r="H54" s="283">
        <f>'Combustion CO2'!H172+'Stationary CH4 and N2O'!H96</f>
        <v>0.11608858000866666</v>
      </c>
      <c r="I54" s="283">
        <f>'Combustion CO2'!I172+'Stationary CH4 and N2O'!I96</f>
        <v>0.12972038007995582</v>
      </c>
      <c r="J54" s="283">
        <f>'Combustion CO2'!J172+'Stationary CH4 and N2O'!J96</f>
        <v>0.10482212368137114</v>
      </c>
      <c r="K54" s="283">
        <f>'Combustion CO2'!K172+'Stationary CH4 and N2O'!K96</f>
        <v>0.14619143603341275</v>
      </c>
      <c r="L54" s="283">
        <f>'Combustion CO2'!L172+'Stationary CH4 and N2O'!L96</f>
        <v>0.1316812712111993</v>
      </c>
      <c r="M54" s="283">
        <f>'Combustion CO2'!M172+'Stationary CH4 and N2O'!M96</f>
        <v>0.17549499265815219</v>
      </c>
      <c r="N54" s="283">
        <f>'Combustion CO2'!N172+'Stationary CH4 and N2O'!N96</f>
        <v>0.23327335171227376</v>
      </c>
      <c r="O54" s="283">
        <f>'Combustion CO2'!O172+'Stationary CH4 and N2O'!O96</f>
        <v>0.20682447853658284</v>
      </c>
      <c r="P54" s="283">
        <f>'Combustion CO2'!P172+'Stationary CH4 and N2O'!P96</f>
        <v>0.22563795323543934</v>
      </c>
      <c r="Q54" s="283">
        <f>'Combustion CO2'!Q172+'Stationary CH4 and N2O'!Q96</f>
        <v>0.22724143758032703</v>
      </c>
      <c r="R54" s="283">
        <f>'Combustion CO2'!R172+'Stationary CH4 and N2O'!R96</f>
        <v>0.26410687372045483</v>
      </c>
      <c r="S54" s="283">
        <f>'Combustion CO2'!S172+'Stationary CH4 and N2O'!S96</f>
        <v>0.27554383581345654</v>
      </c>
      <c r="T54" s="283">
        <f>'Combustion CO2'!T172+'Stationary CH4 and N2O'!T96</f>
        <v>0.22942013207675335</v>
      </c>
      <c r="U54" s="283">
        <f>'Combustion CO2'!U172+'Stationary CH4 and N2O'!U96</f>
        <v>0.23556147105993108</v>
      </c>
      <c r="V54" s="283">
        <f>'Combustion CO2'!V172+'Stationary CH4 and N2O'!V96</f>
        <v>0.21503068153430754</v>
      </c>
      <c r="W54" s="283">
        <f>'Combustion CO2'!W172+'Stationary CH4 and N2O'!W96</f>
        <v>0.1755575526133602</v>
      </c>
      <c r="X54" s="283">
        <f>'Combustion CO2'!X172+'Stationary CH4 and N2O'!X96</f>
        <v>0.11366196650710964</v>
      </c>
      <c r="Y54" s="283">
        <f>'Combustion CO2'!Y172+'Stationary CH4 and N2O'!Y96</f>
        <v>0.1284703925242234</v>
      </c>
      <c r="Z54" s="283">
        <f>'Combustion CO2'!Z172+'Stationary CH4 and N2O'!Z96</f>
        <v>0.1547186993646435</v>
      </c>
      <c r="AA54" s="283">
        <f>'Combustion CO2'!AA172+'Stationary CH4 and N2O'!AA96</f>
        <v>0.15961324487430897</v>
      </c>
      <c r="AB54" s="280">
        <f>'Combustion CO2'!AB172+'Stationary CH4 and N2O'!AB96</f>
        <v>5.9783857195680662E-2</v>
      </c>
      <c r="AC54" s="280">
        <f>'Combustion CO2'!AC172+'Stationary CH4 and N2O'!AC96</f>
        <v>3.6271722339865607E-2</v>
      </c>
      <c r="AD54" s="280">
        <f>'Combustion CO2'!AD172+'Stationary CH4 and N2O'!AD96</f>
        <v>8.2440749001864738E-2</v>
      </c>
      <c r="AE54" s="280">
        <f>'Combustion CO2'!AE172+'Stationary CH4 and N2O'!AE96</f>
        <v>0.14182595169424347</v>
      </c>
      <c r="AF54" s="280">
        <f>'Combustion CO2'!AF172+'Stationary CH4 and N2O'!AF96</f>
        <v>9.8577362518720957E-2</v>
      </c>
      <c r="AG54" s="280">
        <f>'Combustion CO2'!AG172+'Stationary CH4 and N2O'!AG96</f>
        <v>7.0008775226909792E-2</v>
      </c>
      <c r="AH54" s="280">
        <f>'Combustion CO2'!AH172+'Stationary CH4 and N2O'!AH96</f>
        <v>7.9030735809578728E-2</v>
      </c>
      <c r="AI54" s="280">
        <f>'Combustion CO2'!AI172+'Stationary CH4 and N2O'!AI96</f>
        <v>6.1128290458439295E-2</v>
      </c>
      <c r="AJ54" s="1014">
        <f>'Combustion CO2'!AJ172+'Stationary CH4 and N2O'!AJ96</f>
        <v>0</v>
      </c>
      <c r="AK54" s="1014"/>
      <c r="AL54" s="1014"/>
      <c r="AM54" s="1014"/>
      <c r="AN54" s="1014"/>
      <c r="AO54" s="1014"/>
      <c r="AP54" s="1014"/>
      <c r="AS54" s="280"/>
      <c r="AT54" s="280"/>
      <c r="AU54" s="280"/>
      <c r="BB54" s="108"/>
    </row>
    <row r="55" spans="1:54" s="28" customFormat="1" x14ac:dyDescent="0.4">
      <c r="A55" s="379" t="s">
        <v>41</v>
      </c>
      <c r="B55" s="380">
        <f>B46+B50</f>
        <v>14.055381766855493</v>
      </c>
      <c r="C55" s="373">
        <f>C46+C50</f>
        <v>13.953048057855117</v>
      </c>
      <c r="D55" s="373">
        <f t="shared" ref="D55:AF55" si="16">D46+D50</f>
        <v>15.433560214670768</v>
      </c>
      <c r="E55" s="373">
        <f t="shared" si="16"/>
        <v>14.647752664418203</v>
      </c>
      <c r="F55" s="373">
        <f t="shared" si="16"/>
        <v>14.635356614247844</v>
      </c>
      <c r="G55" s="373">
        <f t="shared" si="16"/>
        <v>14.048345624201456</v>
      </c>
      <c r="H55" s="373">
        <f t="shared" si="16"/>
        <v>14.132050068365091</v>
      </c>
      <c r="I55" s="373">
        <f t="shared" si="16"/>
        <v>14.621125035883955</v>
      </c>
      <c r="J55" s="373">
        <f t="shared" si="16"/>
        <v>12.933997003679934</v>
      </c>
      <c r="K55" s="373">
        <f t="shared" si="16"/>
        <v>11.749006288795753</v>
      </c>
      <c r="L55" s="373">
        <f t="shared" si="16"/>
        <v>12.223712292674097</v>
      </c>
      <c r="M55" s="373">
        <f t="shared" si="16"/>
        <v>12.341172482583001</v>
      </c>
      <c r="N55" s="373">
        <f t="shared" si="16"/>
        <v>12.364197374393115</v>
      </c>
      <c r="O55" s="373">
        <f t="shared" si="16"/>
        <v>11.542358617010182</v>
      </c>
      <c r="P55" s="373">
        <f t="shared" si="16"/>
        <v>10.857538607132028</v>
      </c>
      <c r="Q55" s="373">
        <f t="shared" si="16"/>
        <v>11.250677634946136</v>
      </c>
      <c r="R55" s="373">
        <f t="shared" si="16"/>
        <v>9.4411403187322094</v>
      </c>
      <c r="S55" s="373">
        <f t="shared" si="16"/>
        <v>9.6858188262385401</v>
      </c>
      <c r="T55" s="373">
        <f t="shared" si="16"/>
        <v>9.6012111935067654</v>
      </c>
      <c r="U55" s="373">
        <f t="shared" si="16"/>
        <v>9.100028734362926</v>
      </c>
      <c r="V55" s="373">
        <f t="shared" si="16"/>
        <v>10.50164894169237</v>
      </c>
      <c r="W55" s="373">
        <f t="shared" si="16"/>
        <v>10.267211125350823</v>
      </c>
      <c r="X55" s="373">
        <f t="shared" si="16"/>
        <v>8.6176986075613335</v>
      </c>
      <c r="Y55" s="373">
        <f t="shared" si="16"/>
        <v>10.336143498694931</v>
      </c>
      <c r="Z55" s="373">
        <f t="shared" si="16"/>
        <v>10.644904747593806</v>
      </c>
      <c r="AA55" s="373">
        <f t="shared" si="16"/>
        <v>11.074524296201009</v>
      </c>
      <c r="AB55" s="373">
        <f t="shared" si="16"/>
        <v>10.275692509442694</v>
      </c>
      <c r="AC55" s="373">
        <f t="shared" si="16"/>
        <v>10.654675409769292</v>
      </c>
      <c r="AD55" s="373">
        <f t="shared" si="16"/>
        <v>11.22819901365458</v>
      </c>
      <c r="AE55" s="373">
        <f t="shared" si="16"/>
        <v>11.490144059845839</v>
      </c>
      <c r="AF55" s="373">
        <f t="shared" si="16"/>
        <v>10.443414169425543</v>
      </c>
      <c r="AG55" s="373">
        <f t="shared" ref="AG55:AH55" si="17">AG46+AG50</f>
        <v>10.740682733632577</v>
      </c>
      <c r="AH55" s="373">
        <f t="shared" si="17"/>
        <v>11.498512203645815</v>
      </c>
      <c r="AI55" s="373">
        <f t="shared" ref="AI55" si="18">AI46+AI50</f>
        <v>10.62414294075</v>
      </c>
      <c r="AJ55" s="373"/>
      <c r="AK55" s="373"/>
      <c r="AL55" s="373"/>
      <c r="AM55" s="373"/>
      <c r="AN55" s="373"/>
      <c r="AO55" s="373"/>
      <c r="AP55" s="373"/>
      <c r="AS55" s="280"/>
      <c r="AT55" s="280"/>
      <c r="AU55" s="280"/>
      <c r="BB55" s="108"/>
    </row>
    <row r="56" spans="1:54" s="28" customFormat="1" x14ac:dyDescent="0.4">
      <c r="A56" s="374" t="s">
        <v>978</v>
      </c>
      <c r="B56" s="380"/>
      <c r="C56" s="373">
        <f>-(100-((C55/B55)*100))</f>
        <v>-0.72807491605595942</v>
      </c>
      <c r="D56" s="373">
        <f t="shared" ref="D56:AI56" si="19">-(100-((D55/C55)*100))</f>
        <v>10.610671952657484</v>
      </c>
      <c r="E56" s="373">
        <f t="shared" si="19"/>
        <v>-5.0915507460527181</v>
      </c>
      <c r="F56" s="373">
        <f t="shared" si="19"/>
        <v>-8.4627658961437646E-2</v>
      </c>
      <c r="G56" s="373">
        <f t="shared" si="19"/>
        <v>-4.0109100551394761</v>
      </c>
      <c r="H56" s="373">
        <f t="shared" si="19"/>
        <v>0.59583132706697484</v>
      </c>
      <c r="I56" s="373">
        <f t="shared" si="19"/>
        <v>3.4607503168536624</v>
      </c>
      <c r="J56" s="373">
        <f t="shared" si="19"/>
        <v>-11.538975475986831</v>
      </c>
      <c r="K56" s="373">
        <f t="shared" si="19"/>
        <v>-9.1618292052103527</v>
      </c>
      <c r="L56" s="373">
        <f t="shared" si="19"/>
        <v>4.040392797568245</v>
      </c>
      <c r="M56" s="373">
        <f t="shared" si="19"/>
        <v>0.9609207669203812</v>
      </c>
      <c r="N56" s="373">
        <f t="shared" si="19"/>
        <v>0.1865697270061446</v>
      </c>
      <c r="O56" s="373">
        <f t="shared" si="19"/>
        <v>-6.6469236335955202</v>
      </c>
      <c r="P56" s="373">
        <f t="shared" si="19"/>
        <v>-5.9331028657255729</v>
      </c>
      <c r="Q56" s="373">
        <f t="shared" si="19"/>
        <v>3.6208853777951617</v>
      </c>
      <c r="R56" s="373">
        <f t="shared" si="19"/>
        <v>-16.08380734857478</v>
      </c>
      <c r="S56" s="373">
        <f t="shared" si="19"/>
        <v>2.5916202836310305</v>
      </c>
      <c r="T56" s="373">
        <f t="shared" si="19"/>
        <v>-0.87352070330466347</v>
      </c>
      <c r="U56" s="373">
        <f t="shared" si="19"/>
        <v>-5.2199920306178313</v>
      </c>
      <c r="V56" s="373">
        <f t="shared" si="19"/>
        <v>15.402371225892281</v>
      </c>
      <c r="W56" s="373">
        <f t="shared" si="19"/>
        <v>-2.2323905287940988</v>
      </c>
      <c r="X56" s="373">
        <f t="shared" si="19"/>
        <v>-16.065828370049488</v>
      </c>
      <c r="Y56" s="373">
        <f t="shared" si="19"/>
        <v>19.940879455053121</v>
      </c>
      <c r="Z56" s="373">
        <f t="shared" si="19"/>
        <v>2.9871997127154799</v>
      </c>
      <c r="AA56" s="373">
        <f t="shared" si="19"/>
        <v>4.0359172655285249</v>
      </c>
      <c r="AB56" s="373">
        <f t="shared" si="19"/>
        <v>-7.2132379269089313</v>
      </c>
      <c r="AC56" s="373">
        <f t="shared" si="19"/>
        <v>3.6881494846049208</v>
      </c>
      <c r="AD56" s="373">
        <f t="shared" si="19"/>
        <v>5.3828350637451052</v>
      </c>
      <c r="AE56" s="373">
        <f t="shared" si="19"/>
        <v>2.3329212981770979</v>
      </c>
      <c r="AF56" s="373">
        <f t="shared" si="19"/>
        <v>-9.1098064999747237</v>
      </c>
      <c r="AG56" s="373">
        <f t="shared" si="19"/>
        <v>2.846469165968017</v>
      </c>
      <c r="AH56" s="373">
        <f t="shared" si="19"/>
        <v>7.0556917917352422</v>
      </c>
      <c r="AI56" s="373">
        <f t="shared" si="19"/>
        <v>-7.6041947637241236</v>
      </c>
      <c r="AJ56" s="373"/>
      <c r="AK56" s="373"/>
      <c r="AL56" s="373"/>
      <c r="AM56" s="373"/>
      <c r="AN56" s="373"/>
      <c r="AO56" s="373"/>
      <c r="AP56" s="373"/>
      <c r="AS56" s="280"/>
      <c r="AT56" s="280"/>
      <c r="AU56" s="280"/>
      <c r="BB56" s="108"/>
    </row>
    <row r="57" spans="1:54" s="28" customFormat="1" ht="16.5" thickBot="1" x14ac:dyDescent="0.45">
      <c r="A57" s="1024" t="s">
        <v>977</v>
      </c>
      <c r="B57" s="1025"/>
      <c r="C57" s="1026">
        <f t="shared" ref="C57:AI57" si="20">-(100-((C55/$B$55)*100))</f>
        <v>-0.72807491605595942</v>
      </c>
      <c r="D57" s="1026">
        <f t="shared" si="20"/>
        <v>9.8053433956892349</v>
      </c>
      <c r="E57" s="1026">
        <f t="shared" si="20"/>
        <v>4.2145486148202735</v>
      </c>
      <c r="F57" s="1026">
        <f t="shared" si="20"/>
        <v>4.1263542820303201</v>
      </c>
      <c r="G57" s="1026">
        <f t="shared" si="20"/>
        <v>-5.0060131917788908E-2</v>
      </c>
      <c r="H57" s="1026">
        <f t="shared" si="20"/>
        <v>0.54547292120084023</v>
      </c>
      <c r="I57" s="1026">
        <f t="shared" si="20"/>
        <v>4.0251006939033118</v>
      </c>
      <c r="J57" s="1026">
        <f t="shared" si="20"/>
        <v>-7.978330164036791</v>
      </c>
      <c r="K57" s="1026">
        <f t="shared" si="20"/>
        <v>-16.409198386190326</v>
      </c>
      <c r="L57" s="1026">
        <f t="shared" si="20"/>
        <v>-13.031801658356386</v>
      </c>
      <c r="M57" s="1026">
        <f t="shared" si="20"/>
        <v>-12.196106179875031</v>
      </c>
      <c r="N57" s="1026">
        <f t="shared" si="20"/>
        <v>-12.032290694874064</v>
      </c>
      <c r="O57" s="1026">
        <f t="shared" si="20"/>
        <v>-17.879437154609079</v>
      </c>
      <c r="P57" s="1026">
        <f t="shared" si="20"/>
        <v>-22.75173462213894</v>
      </c>
      <c r="Q57" s="1026">
        <f t="shared" si="20"/>
        <v>-19.954663476471566</v>
      </c>
      <c r="R57" s="1026">
        <f t="shared" si="20"/>
        <v>-32.829001194434255</v>
      </c>
      <c r="S57" s="1026">
        <f t="shared" si="20"/>
        <v>-31.088183964671657</v>
      </c>
      <c r="T57" s="1026">
        <f t="shared" si="20"/>
        <v>-31.69014294476348</v>
      </c>
      <c r="U57" s="1026">
        <f t="shared" si="20"/>
        <v>-35.255912039173239</v>
      </c>
      <c r="V57" s="1026">
        <f t="shared" si="20"/>
        <v>-25.283787264628486</v>
      </c>
      <c r="W57" s="1026">
        <f t="shared" si="20"/>
        <v>-26.951744921206583</v>
      </c>
      <c r="X57" s="1026">
        <f t="shared" si="20"/>
        <v>-38.687552209481481</v>
      </c>
      <c r="Y57" s="1026">
        <f t="shared" si="20"/>
        <v>-26.461310904631802</v>
      </c>
      <c r="Z57" s="1026">
        <f t="shared" si="20"/>
        <v>-24.264563395240231</v>
      </c>
      <c r="AA57" s="1026">
        <f t="shared" si="20"/>
        <v>-21.207943833185325</v>
      </c>
      <c r="AB57" s="1026">
        <f t="shared" si="20"/>
        <v>-26.891402312001389</v>
      </c>
      <c r="AC57" s="1026">
        <f t="shared" si="20"/>
        <v>-24.195047943169584</v>
      </c>
      <c r="AD57" s="1026">
        <f t="shared" si="20"/>
        <v>-20.11459240379935</v>
      </c>
      <c r="AE57" s="373">
        <f t="shared" si="20"/>
        <v>-18.250928715851984</v>
      </c>
      <c r="AF57" s="373">
        <f t="shared" si="20"/>
        <v>-25.698110925364276</v>
      </c>
      <c r="AG57" s="373">
        <f t="shared" si="20"/>
        <v>-23.583130563123007</v>
      </c>
      <c r="AH57" s="373">
        <f t="shared" si="20"/>
        <v>-18.191391778764242</v>
      </c>
      <c r="AI57" s="373">
        <f t="shared" si="20"/>
        <v>-24.412277681399047</v>
      </c>
      <c r="AJ57" s="373"/>
      <c r="AK57" s="373"/>
      <c r="AL57" s="373"/>
      <c r="AM57" s="373"/>
      <c r="AN57" s="373"/>
      <c r="AO57" s="373"/>
      <c r="AP57" s="373"/>
      <c r="AS57" s="280"/>
      <c r="AT57" s="280"/>
      <c r="AU57" s="280"/>
      <c r="BB57" s="108"/>
    </row>
    <row r="58" spans="1:54" s="28" customFormat="1" x14ac:dyDescent="0.4">
      <c r="A58" s="1023" t="s">
        <v>42</v>
      </c>
      <c r="C58" s="280"/>
      <c r="F58" s="280"/>
      <c r="G58" s="280"/>
      <c r="H58" s="280"/>
      <c r="I58" s="280"/>
      <c r="J58" s="280"/>
      <c r="K58" s="280"/>
      <c r="L58" s="280"/>
      <c r="M58" s="280"/>
      <c r="N58" s="280"/>
      <c r="O58" s="280"/>
      <c r="P58" s="280"/>
      <c r="Q58" s="280"/>
      <c r="R58" s="280"/>
      <c r="S58" s="280"/>
      <c r="T58" s="280"/>
      <c r="U58" s="280"/>
      <c r="V58" s="280"/>
      <c r="W58" s="280"/>
      <c r="X58" s="280"/>
      <c r="Y58" s="280"/>
      <c r="Z58" s="280"/>
      <c r="AA58" s="280"/>
      <c r="AB58" s="280"/>
      <c r="AC58" s="280"/>
      <c r="AD58" s="280"/>
      <c r="AE58" s="392"/>
      <c r="AF58" s="392"/>
      <c r="AG58" s="392"/>
      <c r="AH58" s="392"/>
      <c r="AI58" s="392"/>
      <c r="AJ58" s="392"/>
      <c r="AK58" s="1021">
        <v>9.3000000000000007</v>
      </c>
      <c r="AL58" s="392"/>
      <c r="AM58" s="392"/>
      <c r="AN58" s="392"/>
      <c r="AO58" s="392"/>
      <c r="AP58" s="392"/>
      <c r="AS58" s="280"/>
      <c r="AT58" s="280"/>
      <c r="AU58" s="280"/>
      <c r="BB58" s="108"/>
    </row>
    <row r="59" spans="1:54" s="28" customFormat="1" x14ac:dyDescent="0.4">
      <c r="A59" s="374" t="s">
        <v>39</v>
      </c>
      <c r="C59" s="280"/>
      <c r="F59" s="280"/>
      <c r="G59" s="280"/>
      <c r="H59" s="280"/>
      <c r="I59" s="280"/>
      <c r="J59" s="280"/>
      <c r="K59" s="280"/>
      <c r="L59" s="280"/>
      <c r="M59" s="280"/>
      <c r="N59" s="280"/>
      <c r="O59" s="280"/>
      <c r="P59" s="280"/>
      <c r="Q59" s="280"/>
      <c r="R59" s="280"/>
      <c r="S59" s="280"/>
      <c r="T59" s="280"/>
      <c r="U59" s="280"/>
      <c r="V59" s="280"/>
      <c r="W59" s="280"/>
      <c r="X59" s="280"/>
      <c r="Y59" s="280"/>
      <c r="Z59" s="280"/>
      <c r="AA59" s="280"/>
      <c r="AB59" s="280"/>
      <c r="AC59" s="280"/>
      <c r="AD59" s="280"/>
      <c r="AE59" s="280"/>
      <c r="AF59" s="280"/>
      <c r="AG59" s="280"/>
      <c r="AH59" s="280"/>
      <c r="AI59" s="280"/>
      <c r="AJ59" s="280"/>
      <c r="AK59" s="280"/>
      <c r="AL59" s="280"/>
      <c r="AM59" s="280"/>
      <c r="AN59" s="280"/>
      <c r="AO59" s="280"/>
      <c r="AP59" s="391">
        <v>7.2</v>
      </c>
      <c r="AS59" s="280"/>
      <c r="AT59" s="280"/>
      <c r="AU59" s="280"/>
      <c r="BB59" s="108"/>
    </row>
    <row r="60" spans="1:54" s="28" customFormat="1" ht="16.5" thickBot="1" x14ac:dyDescent="0.45">
      <c r="A60" s="376" t="s">
        <v>43</v>
      </c>
      <c r="B60" s="1027">
        <f>B55*(1-0.92)</f>
        <v>1.124430541348439</v>
      </c>
      <c r="C60" s="349"/>
      <c r="D60" s="349"/>
      <c r="E60" s="349"/>
      <c r="F60" s="349"/>
      <c r="G60" s="349"/>
      <c r="H60" s="349"/>
      <c r="I60" s="349"/>
      <c r="J60" s="349"/>
      <c r="K60" s="349"/>
      <c r="L60" s="349"/>
      <c r="M60" s="349"/>
      <c r="N60" s="349"/>
      <c r="O60" s="349"/>
      <c r="P60" s="349"/>
      <c r="Q60" s="349"/>
      <c r="R60" s="349"/>
      <c r="S60" s="349"/>
      <c r="T60" s="349"/>
      <c r="U60" s="349"/>
      <c r="V60" s="349"/>
      <c r="W60" s="349"/>
      <c r="X60" s="349"/>
      <c r="Y60" s="349"/>
      <c r="Z60" s="349"/>
      <c r="AA60" s="349"/>
      <c r="AB60" s="349"/>
      <c r="AC60" s="349"/>
      <c r="AD60" s="349"/>
      <c r="AE60" s="349"/>
      <c r="AF60" s="349"/>
      <c r="AG60" s="349"/>
      <c r="AH60" s="382"/>
      <c r="AI60" s="382"/>
      <c r="AJ60" s="349"/>
      <c r="AK60" s="349"/>
      <c r="AL60" s="349"/>
      <c r="AM60" s="349"/>
      <c r="AN60" s="349"/>
      <c r="AO60" s="349"/>
      <c r="AP60" s="349"/>
      <c r="AS60" s="280"/>
      <c r="AT60" s="280"/>
      <c r="AU60" s="280"/>
      <c r="BB60" s="108"/>
    </row>
    <row r="61" spans="1:54" s="28" customFormat="1" x14ac:dyDescent="0.4">
      <c r="A61" s="389" t="s">
        <v>1063</v>
      </c>
      <c r="B61" s="363"/>
      <c r="C61" s="280"/>
      <c r="D61" s="280"/>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0"/>
      <c r="AD61" s="280"/>
      <c r="AE61" s="280"/>
      <c r="AF61" s="280"/>
      <c r="AG61" s="280"/>
      <c r="AH61" s="268"/>
      <c r="AI61" s="268"/>
      <c r="AJ61" s="280"/>
      <c r="AK61" s="280"/>
      <c r="AL61" s="280"/>
      <c r="AM61" s="280"/>
      <c r="AN61" s="280"/>
      <c r="AO61" s="280"/>
      <c r="AP61" s="280"/>
      <c r="AS61" s="280"/>
      <c r="AT61" s="280"/>
      <c r="AU61" s="280"/>
      <c r="BB61" s="108"/>
    </row>
    <row r="62" spans="1:54" s="72" customFormat="1" x14ac:dyDescent="0.4">
      <c r="A62" s="386"/>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S62" s="71"/>
      <c r="AT62" s="71"/>
      <c r="AU62" s="71"/>
      <c r="BB62" s="71"/>
    </row>
    <row r="63" spans="1:54" s="72" customFormat="1" ht="17" x14ac:dyDescent="0.45">
      <c r="A63" s="88" t="s">
        <v>1363</v>
      </c>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1013" t="s">
        <v>0</v>
      </c>
      <c r="AK63" s="71"/>
      <c r="AL63" s="71"/>
      <c r="AM63" s="71"/>
      <c r="AN63" s="71"/>
      <c r="AO63" s="71"/>
      <c r="AP63" s="71"/>
      <c r="AS63" s="71"/>
      <c r="AT63" s="71"/>
      <c r="AU63" s="71"/>
      <c r="BB63" s="71"/>
    </row>
    <row r="64" spans="1:54" s="86" customFormat="1" ht="16.5" thickBot="1" x14ac:dyDescent="0.45">
      <c r="A64" s="88" t="s">
        <v>752</v>
      </c>
      <c r="B64" s="977" t="s">
        <v>391</v>
      </c>
      <c r="C64" s="975" t="s">
        <v>392</v>
      </c>
      <c r="D64" s="975" t="s">
        <v>393</v>
      </c>
      <c r="E64" s="975" t="s">
        <v>394</v>
      </c>
      <c r="F64" s="975" t="s">
        <v>395</v>
      </c>
      <c r="G64" s="975" t="s">
        <v>396</v>
      </c>
      <c r="H64" s="975" t="s">
        <v>397</v>
      </c>
      <c r="I64" s="975" t="s">
        <v>398</v>
      </c>
      <c r="J64" s="975" t="s">
        <v>399</v>
      </c>
      <c r="K64" s="975" t="s">
        <v>400</v>
      </c>
      <c r="L64" s="975" t="s">
        <v>401</v>
      </c>
      <c r="M64" s="975" t="s">
        <v>402</v>
      </c>
      <c r="N64" s="975" t="s">
        <v>403</v>
      </c>
      <c r="O64" s="975" t="s">
        <v>404</v>
      </c>
      <c r="P64" s="975" t="s">
        <v>405</v>
      </c>
      <c r="Q64" s="975" t="s">
        <v>406</v>
      </c>
      <c r="R64" s="975" t="s">
        <v>407</v>
      </c>
      <c r="S64" s="975" t="s">
        <v>408</v>
      </c>
      <c r="T64" s="975" t="s">
        <v>409</v>
      </c>
      <c r="U64" s="975" t="s">
        <v>410</v>
      </c>
      <c r="V64" s="975" t="s">
        <v>411</v>
      </c>
      <c r="W64" s="975" t="s">
        <v>412</v>
      </c>
      <c r="X64" s="975" t="s">
        <v>413</v>
      </c>
      <c r="Y64" s="975" t="s">
        <v>414</v>
      </c>
      <c r="Z64" s="975" t="s">
        <v>415</v>
      </c>
      <c r="AA64" s="975" t="s">
        <v>416</v>
      </c>
      <c r="AB64" s="975" t="s">
        <v>417</v>
      </c>
      <c r="AC64" s="975" t="s">
        <v>418</v>
      </c>
      <c r="AD64" s="975" t="s">
        <v>419</v>
      </c>
      <c r="AE64" s="975" t="s">
        <v>420</v>
      </c>
      <c r="AF64" s="975" t="s">
        <v>421</v>
      </c>
      <c r="AG64" s="975" t="s">
        <v>422</v>
      </c>
      <c r="AH64" s="975" t="s">
        <v>423</v>
      </c>
      <c r="AI64" s="975" t="s">
        <v>424</v>
      </c>
      <c r="AJ64" s="975" t="s">
        <v>425</v>
      </c>
      <c r="AK64" s="975" t="s">
        <v>426</v>
      </c>
      <c r="AL64" s="975" t="s">
        <v>477</v>
      </c>
      <c r="AM64" s="975" t="s">
        <v>478</v>
      </c>
      <c r="AN64" s="975" t="s">
        <v>479</v>
      </c>
      <c r="AO64" s="975" t="s">
        <v>480</v>
      </c>
      <c r="AP64" s="975" t="s">
        <v>481</v>
      </c>
      <c r="AS64" s="230"/>
      <c r="AT64" s="230"/>
      <c r="AU64" s="230"/>
      <c r="BB64" s="230"/>
    </row>
    <row r="65" spans="1:54" ht="17" x14ac:dyDescent="0.45">
      <c r="A65" s="1168" t="s">
        <v>467</v>
      </c>
      <c r="B65" s="302">
        <f t="shared" ref="B65:AG65" si="21">B66+B67</f>
        <v>29.581745501205152</v>
      </c>
      <c r="C65" s="302">
        <f t="shared" si="21"/>
        <v>28.007934560130941</v>
      </c>
      <c r="D65" s="302">
        <f t="shared" si="21"/>
        <v>27.563240820066049</v>
      </c>
      <c r="E65" s="302">
        <f t="shared" si="21"/>
        <v>27.772344463031306</v>
      </c>
      <c r="F65" s="302">
        <f t="shared" si="21"/>
        <v>28.042522309337134</v>
      </c>
      <c r="G65" s="302">
        <f t="shared" si="21"/>
        <v>28.704754954067852</v>
      </c>
      <c r="H65" s="302">
        <f t="shared" si="21"/>
        <v>29.563067414078876</v>
      </c>
      <c r="I65" s="302">
        <f t="shared" si="21"/>
        <v>29.897537474524093</v>
      </c>
      <c r="J65" s="302">
        <f t="shared" si="21"/>
        <v>30.181050408053974</v>
      </c>
      <c r="K65" s="302">
        <f t="shared" si="21"/>
        <v>30.789867518520762</v>
      </c>
      <c r="L65" s="302">
        <f t="shared" si="21"/>
        <v>31.933223453237744</v>
      </c>
      <c r="M65" s="302">
        <f t="shared" si="21"/>
        <v>31.42992969847694</v>
      </c>
      <c r="N65" s="302">
        <f t="shared" si="21"/>
        <v>31.574075255538787</v>
      </c>
      <c r="O65" s="302">
        <f t="shared" si="21"/>
        <v>31.97471459221569</v>
      </c>
      <c r="P65" s="302">
        <f t="shared" si="21"/>
        <v>33.213685399354738</v>
      </c>
      <c r="Q65" s="302">
        <f t="shared" si="21"/>
        <v>33.172330863894125</v>
      </c>
      <c r="R65" s="302">
        <f t="shared" si="21"/>
        <v>32.279926174657945</v>
      </c>
      <c r="S65" s="302">
        <f t="shared" si="21"/>
        <v>32.531308872264191</v>
      </c>
      <c r="T65" s="302">
        <f t="shared" si="21"/>
        <v>31.531388451441796</v>
      </c>
      <c r="U65" s="302">
        <f t="shared" si="21"/>
        <v>29.577725512467968</v>
      </c>
      <c r="V65" s="302">
        <f t="shared" si="21"/>
        <v>29.777150721285388</v>
      </c>
      <c r="W65" s="302">
        <f t="shared" si="21"/>
        <v>29.696806879044935</v>
      </c>
      <c r="X65" s="302">
        <f t="shared" si="21"/>
        <v>29.109024991059549</v>
      </c>
      <c r="Y65" s="302">
        <f t="shared" si="21"/>
        <v>30.358885111491265</v>
      </c>
      <c r="Z65" s="302">
        <f t="shared" si="21"/>
        <v>28.534881580560413</v>
      </c>
      <c r="AA65" s="302">
        <f t="shared" si="21"/>
        <v>28.953989807069522</v>
      </c>
      <c r="AB65" s="302">
        <f t="shared" si="21"/>
        <v>29.294609318853226</v>
      </c>
      <c r="AC65" s="302">
        <f t="shared" si="21"/>
        <v>28.737551562426354</v>
      </c>
      <c r="AD65" s="303">
        <f t="shared" si="21"/>
        <v>29.329106616129806</v>
      </c>
      <c r="AE65" s="302">
        <f t="shared" si="21"/>
        <v>29.076974889794318</v>
      </c>
      <c r="AF65" s="302">
        <f t="shared" si="21"/>
        <v>22.943498665902066</v>
      </c>
      <c r="AG65" s="302">
        <f t="shared" si="21"/>
        <v>25.675300072198549</v>
      </c>
      <c r="AH65" s="302">
        <f t="shared" ref="AH65:AI65" si="22">AH66+AH67</f>
        <v>26.243543311499938</v>
      </c>
      <c r="AI65" s="303">
        <f t="shared" si="22"/>
        <v>26.290528324068958</v>
      </c>
      <c r="AJ65" s="1029">
        <f t="shared" ref="AJ65" si="23">AJ66+AJ67</f>
        <v>0</v>
      </c>
      <c r="AK65" s="1029"/>
      <c r="AL65" s="1029"/>
      <c r="AM65" s="1029"/>
      <c r="AN65" s="1029"/>
      <c r="AO65" s="1029"/>
      <c r="AP65" s="1029"/>
      <c r="AS65" s="272"/>
      <c r="AT65" s="272"/>
      <c r="AU65" s="272"/>
    </row>
    <row r="66" spans="1:54" ht="17" x14ac:dyDescent="0.45">
      <c r="A66" s="1166" t="s">
        <v>468</v>
      </c>
      <c r="B66" s="280">
        <f>'Combustion CO2'!B76</f>
        <v>28.506437825265561</v>
      </c>
      <c r="C66" s="280">
        <f>'Combustion CO2'!C76</f>
        <v>26.924606252648257</v>
      </c>
      <c r="D66" s="280">
        <f>'Combustion CO2'!D76</f>
        <v>26.448466366325668</v>
      </c>
      <c r="E66" s="280">
        <f>'Combustion CO2'!E76</f>
        <v>26.684940195948617</v>
      </c>
      <c r="F66" s="280">
        <f>'Combustion CO2'!F76</f>
        <v>26.904845065360281</v>
      </c>
      <c r="G66" s="280">
        <f>'Combustion CO2'!G76</f>
        <v>27.543957964998537</v>
      </c>
      <c r="H66" s="280">
        <f>'Combustion CO2'!H76</f>
        <v>28.348712325078182</v>
      </c>
      <c r="I66" s="280">
        <f>'Combustion CO2'!I76</f>
        <v>28.69167682250546</v>
      </c>
      <c r="J66" s="280">
        <f>'Combustion CO2'!J76</f>
        <v>28.981165134559838</v>
      </c>
      <c r="K66" s="280">
        <f>'Combustion CO2'!K76</f>
        <v>29.667708078894687</v>
      </c>
      <c r="L66" s="280">
        <f>'Combustion CO2'!L76</f>
        <v>30.840346353806446</v>
      </c>
      <c r="M66" s="280">
        <f>'Combustion CO2'!M76</f>
        <v>30.390777107441533</v>
      </c>
      <c r="N66" s="280">
        <f>'Combustion CO2'!N76</f>
        <v>30.598758285542431</v>
      </c>
      <c r="O66" s="280">
        <f>'Combustion CO2'!O76</f>
        <v>31.043963055913089</v>
      </c>
      <c r="P66" s="280">
        <f>'Combustion CO2'!P76</f>
        <v>32.340396822593107</v>
      </c>
      <c r="Q66" s="280">
        <f>'Combustion CO2'!Q76</f>
        <v>32.345380523700079</v>
      </c>
      <c r="R66" s="280">
        <f>'Combustion CO2'!R76</f>
        <v>31.466623128123757</v>
      </c>
      <c r="S66" s="280">
        <f>'Combustion CO2'!S76</f>
        <v>31.819150693171292</v>
      </c>
      <c r="T66" s="280">
        <f>'Combustion CO2'!T76</f>
        <v>30.86282488303754</v>
      </c>
      <c r="U66" s="280">
        <f>'Combustion CO2'!U76</f>
        <v>28.977785301980987</v>
      </c>
      <c r="V66" s="280">
        <f>'Combustion CO2'!V76</f>
        <v>29.194406294139284</v>
      </c>
      <c r="W66" s="280">
        <f>'Combustion CO2'!W76</f>
        <v>29.122866885250296</v>
      </c>
      <c r="X66" s="280">
        <f>'Combustion CO2'!X76</f>
        <v>28.589464823242722</v>
      </c>
      <c r="Y66" s="280">
        <f>'Combustion CO2'!Y76</f>
        <v>29.863734621973759</v>
      </c>
      <c r="Z66" s="280">
        <f>'Combustion CO2'!Z76</f>
        <v>28.070166775754295</v>
      </c>
      <c r="AA66" s="280">
        <f>'Combustion CO2'!AA76</f>
        <v>28.563982489108188</v>
      </c>
      <c r="AB66" s="280">
        <f>'Combustion CO2'!AB76</f>
        <v>28.915475634666461</v>
      </c>
      <c r="AC66" s="280">
        <f>'Combustion CO2'!AC76</f>
        <v>28.383866566732596</v>
      </c>
      <c r="AD66" s="281">
        <f>'Combustion CO2'!AD76</f>
        <v>29.007851076241238</v>
      </c>
      <c r="AE66" s="280">
        <f>'Combustion CO2'!AE76</f>
        <v>28.718290747720118</v>
      </c>
      <c r="AF66" s="280">
        <f>'Combustion CO2'!AF76</f>
        <v>22.643265319497907</v>
      </c>
      <c r="AG66" s="280">
        <f>'Combustion CO2'!AG76</f>
        <v>25.369592412136143</v>
      </c>
      <c r="AH66" s="280">
        <f>'Combustion CO2'!AH76</f>
        <v>25.922326415031002</v>
      </c>
      <c r="AI66" s="281">
        <f>'Combustion CO2'!AI76</f>
        <v>25.981513834476111</v>
      </c>
      <c r="AJ66" s="1014">
        <f>'Combustion CO2'!AJ76</f>
        <v>0</v>
      </c>
      <c r="AK66" s="1014"/>
      <c r="AL66" s="1014"/>
      <c r="AM66" s="1014"/>
      <c r="AN66" s="1014"/>
      <c r="AO66" s="1014"/>
      <c r="AP66" s="1014"/>
      <c r="AS66" s="272"/>
      <c r="AT66" s="272"/>
      <c r="AU66" s="272"/>
    </row>
    <row r="67" spans="1:54" s="28" customFormat="1" x14ac:dyDescent="0.4">
      <c r="A67" s="1166" t="s">
        <v>33</v>
      </c>
      <c r="B67" s="280">
        <f>'Mobile CH4 and N2O'!B42/1000000</f>
        <v>1.0753076759395894</v>
      </c>
      <c r="C67" s="280">
        <f>'Mobile CH4 and N2O'!C42/1000000</f>
        <v>1.083328307482686</v>
      </c>
      <c r="D67" s="280">
        <f>'Mobile CH4 and N2O'!D42/1000000</f>
        <v>1.1147744537403796</v>
      </c>
      <c r="E67" s="280">
        <f>'Mobile CH4 and N2O'!E42/1000000</f>
        <v>1.0874042670826884</v>
      </c>
      <c r="F67" s="280">
        <f>'Mobile CH4 and N2O'!F42/1000000</f>
        <v>1.1376772439768528</v>
      </c>
      <c r="G67" s="280">
        <f>'Mobile CH4 and N2O'!G42/1000000</f>
        <v>1.1607969890693142</v>
      </c>
      <c r="H67" s="280">
        <f>'Mobile CH4 and N2O'!H42/1000000</f>
        <v>1.2143550890006947</v>
      </c>
      <c r="I67" s="280">
        <f>'Mobile CH4 and N2O'!I42/1000000</f>
        <v>1.2058606520186317</v>
      </c>
      <c r="J67" s="280">
        <f>'Mobile CH4 and N2O'!J42/1000000</f>
        <v>1.1998852734941363</v>
      </c>
      <c r="K67" s="280">
        <f>'Mobile CH4 and N2O'!K42/1000000</f>
        <v>1.1221594396260741</v>
      </c>
      <c r="L67" s="280">
        <f>'Mobile CH4 and N2O'!L42/1000000</f>
        <v>1.0928770994312982</v>
      </c>
      <c r="M67" s="280">
        <f>'Mobile CH4 and N2O'!M42/1000000</f>
        <v>1.0391525910354076</v>
      </c>
      <c r="N67" s="280">
        <f>'Mobile CH4 and N2O'!N42/1000000</f>
        <v>0.97531696999635809</v>
      </c>
      <c r="O67" s="280">
        <f>'Mobile CH4 and N2O'!O42/1000000</f>
        <v>0.9307515363026021</v>
      </c>
      <c r="P67" s="280">
        <f>'Mobile CH4 and N2O'!P42/1000000</f>
        <v>0.87328857676163307</v>
      </c>
      <c r="Q67" s="280">
        <f>'Mobile CH4 and N2O'!Q42/1000000</f>
        <v>0.82695034019404612</v>
      </c>
      <c r="R67" s="280">
        <f>'Mobile CH4 and N2O'!R42/1000000</f>
        <v>0.81330304653418628</v>
      </c>
      <c r="S67" s="280">
        <f>'Mobile CH4 and N2O'!S42/1000000</f>
        <v>0.71215817909290102</v>
      </c>
      <c r="T67" s="280">
        <f>'Mobile CH4 and N2O'!T42/1000000</f>
        <v>0.66856356840425468</v>
      </c>
      <c r="U67" s="280">
        <f>'Mobile CH4 and N2O'!U42/1000000</f>
        <v>0.59994021048697932</v>
      </c>
      <c r="V67" s="280">
        <f>'Mobile CH4 and N2O'!V42/1000000</f>
        <v>0.58274442714610253</v>
      </c>
      <c r="W67" s="280">
        <f>'Mobile CH4 and N2O'!W42/1000000</f>
        <v>0.57393999379464022</v>
      </c>
      <c r="X67" s="280">
        <f>'Mobile CH4 and N2O'!X42/1000000</f>
        <v>0.51956016781682679</v>
      </c>
      <c r="Y67" s="280">
        <f>'Mobile CH4 and N2O'!Y42/1000000</f>
        <v>0.49515048951750656</v>
      </c>
      <c r="Z67" s="280">
        <f>'Mobile CH4 and N2O'!Z42/1000000</f>
        <v>0.46471480480611715</v>
      </c>
      <c r="AA67" s="280">
        <f>'Mobile CH4 and N2O'!AA42/1000000</f>
        <v>0.39000731796133276</v>
      </c>
      <c r="AB67" s="280">
        <f>'Mobile CH4 and N2O'!AB42/1000000</f>
        <v>0.37913368418676707</v>
      </c>
      <c r="AC67" s="280">
        <f>'Mobile CH4 and N2O'!AC42/1000000</f>
        <v>0.35368499569375861</v>
      </c>
      <c r="AD67" s="281">
        <f>'Mobile CH4 and N2O'!AD42/1000000</f>
        <v>0.3212555398885682</v>
      </c>
      <c r="AE67" s="280">
        <f>'Mobile CH4 and N2O'!AE42/1000000</f>
        <v>0.35868414207419819</v>
      </c>
      <c r="AF67" s="280">
        <f>'Mobile CH4 and N2O'!AF42/1000000</f>
        <v>0.300233346404158</v>
      </c>
      <c r="AG67" s="280">
        <f>'Mobile CH4 and N2O'!AG42/1000000</f>
        <v>0.30570766006240785</v>
      </c>
      <c r="AH67" s="280">
        <f>'Mobile CH4 and N2O'!AH42/1000000</f>
        <v>0.32121689646893553</v>
      </c>
      <c r="AI67" s="281">
        <f>'Mobile CH4 and N2O'!AI42/1000000</f>
        <v>0.30901448959284655</v>
      </c>
      <c r="AJ67" s="1014">
        <f>'Mobile CH4 and N2O'!AJ42/1000000</f>
        <v>0</v>
      </c>
      <c r="AK67" s="1014"/>
      <c r="AL67" s="1014"/>
      <c r="AM67" s="1014"/>
      <c r="AN67" s="1014"/>
      <c r="AO67" s="1014"/>
      <c r="AP67" s="1014"/>
      <c r="AS67" s="280"/>
      <c r="AT67" s="280"/>
      <c r="AU67" s="280"/>
      <c r="BB67" s="108"/>
    </row>
    <row r="68" spans="1:54" s="28" customFormat="1" x14ac:dyDescent="0.4">
      <c r="A68" s="379" t="s">
        <v>15</v>
      </c>
      <c r="B68" s="380">
        <f>B65</f>
        <v>29.581745501205152</v>
      </c>
      <c r="C68" s="373">
        <f>C65</f>
        <v>28.007934560130941</v>
      </c>
      <c r="D68" s="373">
        <f t="shared" ref="D68:AE68" si="24">D65</f>
        <v>27.563240820066049</v>
      </c>
      <c r="E68" s="373">
        <f t="shared" si="24"/>
        <v>27.772344463031306</v>
      </c>
      <c r="F68" s="373">
        <f t="shared" si="24"/>
        <v>28.042522309337134</v>
      </c>
      <c r="G68" s="373">
        <f t="shared" si="24"/>
        <v>28.704754954067852</v>
      </c>
      <c r="H68" s="373">
        <f t="shared" si="24"/>
        <v>29.563067414078876</v>
      </c>
      <c r="I68" s="373">
        <f t="shared" si="24"/>
        <v>29.897537474524093</v>
      </c>
      <c r="J68" s="373">
        <f t="shared" si="24"/>
        <v>30.181050408053974</v>
      </c>
      <c r="K68" s="373">
        <f t="shared" si="24"/>
        <v>30.789867518520762</v>
      </c>
      <c r="L68" s="373">
        <f t="shared" si="24"/>
        <v>31.933223453237744</v>
      </c>
      <c r="M68" s="373">
        <f t="shared" si="24"/>
        <v>31.42992969847694</v>
      </c>
      <c r="N68" s="373">
        <f t="shared" si="24"/>
        <v>31.574075255538787</v>
      </c>
      <c r="O68" s="373">
        <f t="shared" si="24"/>
        <v>31.97471459221569</v>
      </c>
      <c r="P68" s="373">
        <f t="shared" si="24"/>
        <v>33.213685399354738</v>
      </c>
      <c r="Q68" s="373">
        <f t="shared" si="24"/>
        <v>33.172330863894125</v>
      </c>
      <c r="R68" s="373">
        <f t="shared" si="24"/>
        <v>32.279926174657945</v>
      </c>
      <c r="S68" s="373">
        <f t="shared" si="24"/>
        <v>32.531308872264191</v>
      </c>
      <c r="T68" s="373">
        <f t="shared" si="24"/>
        <v>31.531388451441796</v>
      </c>
      <c r="U68" s="373">
        <f t="shared" si="24"/>
        <v>29.577725512467968</v>
      </c>
      <c r="V68" s="373">
        <f t="shared" si="24"/>
        <v>29.777150721285388</v>
      </c>
      <c r="W68" s="373">
        <f t="shared" si="24"/>
        <v>29.696806879044935</v>
      </c>
      <c r="X68" s="373">
        <f t="shared" si="24"/>
        <v>29.109024991059549</v>
      </c>
      <c r="Y68" s="373">
        <f t="shared" si="24"/>
        <v>30.358885111491265</v>
      </c>
      <c r="Z68" s="373">
        <f t="shared" si="24"/>
        <v>28.534881580560413</v>
      </c>
      <c r="AA68" s="373">
        <f t="shared" si="24"/>
        <v>28.953989807069522</v>
      </c>
      <c r="AB68" s="373">
        <f t="shared" si="24"/>
        <v>29.294609318853226</v>
      </c>
      <c r="AC68" s="373">
        <f t="shared" si="24"/>
        <v>28.737551562426354</v>
      </c>
      <c r="AD68" s="373">
        <f t="shared" si="24"/>
        <v>29.329106616129806</v>
      </c>
      <c r="AE68" s="373">
        <f t="shared" si="24"/>
        <v>29.076974889794318</v>
      </c>
      <c r="AF68" s="373">
        <f t="shared" ref="AF68:AG68" si="25">AF65</f>
        <v>22.943498665902066</v>
      </c>
      <c r="AG68" s="373">
        <f t="shared" si="25"/>
        <v>25.675300072198549</v>
      </c>
      <c r="AH68" s="373">
        <f t="shared" ref="AH68:AI68" si="26">AH65</f>
        <v>26.243543311499938</v>
      </c>
      <c r="AI68" s="373">
        <f t="shared" si="26"/>
        <v>26.290528324068958</v>
      </c>
      <c r="AJ68" s="1030"/>
      <c r="AK68" s="1030"/>
      <c r="AL68" s="1030"/>
      <c r="AM68" s="1030"/>
      <c r="AN68" s="1030"/>
      <c r="AO68" s="1030"/>
      <c r="AP68" s="1030"/>
      <c r="AS68" s="280"/>
      <c r="AT68" s="280"/>
      <c r="AU68" s="280"/>
      <c r="BB68" s="108"/>
    </row>
    <row r="69" spans="1:54" s="28" customFormat="1" x14ac:dyDescent="0.4">
      <c r="A69" s="374" t="s">
        <v>978</v>
      </c>
      <c r="B69" s="380"/>
      <c r="C69" s="373">
        <f>-(100-((C68/B68)*100))</f>
        <v>-5.3202098605374459</v>
      </c>
      <c r="D69" s="373">
        <f t="shared" ref="D69:AG69" si="27">-(100-((D68/C68)*100))</f>
        <v>-1.5877419990044928</v>
      </c>
      <c r="E69" s="373">
        <f t="shared" si="27"/>
        <v>0.7586322825036973</v>
      </c>
      <c r="F69" s="373">
        <f t="shared" si="27"/>
        <v>0.97283053170203004</v>
      </c>
      <c r="G69" s="373">
        <f t="shared" si="27"/>
        <v>2.361530241201649</v>
      </c>
      <c r="H69" s="373">
        <f t="shared" si="27"/>
        <v>2.9901403491667651</v>
      </c>
      <c r="I69" s="373">
        <f t="shared" si="27"/>
        <v>1.1313780662893294</v>
      </c>
      <c r="J69" s="373">
        <f t="shared" si="27"/>
        <v>0.94828189034453203</v>
      </c>
      <c r="K69" s="373">
        <f t="shared" si="27"/>
        <v>2.0172164395720387</v>
      </c>
      <c r="L69" s="373">
        <f t="shared" si="27"/>
        <v>3.7134162205447296</v>
      </c>
      <c r="M69" s="373">
        <f t="shared" si="27"/>
        <v>-1.5760818994606609</v>
      </c>
      <c r="N69" s="373">
        <f t="shared" si="27"/>
        <v>0.45862513357397461</v>
      </c>
      <c r="O69" s="373">
        <f t="shared" si="27"/>
        <v>1.268887001232514</v>
      </c>
      <c r="P69" s="373">
        <f t="shared" si="27"/>
        <v>3.8748455551208565</v>
      </c>
      <c r="Q69" s="373">
        <f t="shared" si="27"/>
        <v>-0.12451052920918926</v>
      </c>
      <c r="R69" s="373">
        <f t="shared" si="27"/>
        <v>-2.6902079715100768</v>
      </c>
      <c r="S69" s="373">
        <f t="shared" si="27"/>
        <v>0.77875858899454897</v>
      </c>
      <c r="T69" s="373">
        <f t="shared" si="27"/>
        <v>-3.0737171527546963</v>
      </c>
      <c r="U69" s="373">
        <f t="shared" si="27"/>
        <v>-6.1959305787706143</v>
      </c>
      <c r="V69" s="373">
        <f t="shared" si="27"/>
        <v>0.67424119117393388</v>
      </c>
      <c r="W69" s="373">
        <f t="shared" si="27"/>
        <v>-0.26981709228149953</v>
      </c>
      <c r="X69" s="373">
        <f t="shared" si="27"/>
        <v>-1.9792763928439143</v>
      </c>
      <c r="Y69" s="373">
        <f t="shared" si="27"/>
        <v>4.2937203180649135</v>
      </c>
      <c r="Z69" s="373">
        <f t="shared" si="27"/>
        <v>-6.008137401068268</v>
      </c>
      <c r="AA69" s="373">
        <f t="shared" si="27"/>
        <v>1.468757546183852</v>
      </c>
      <c r="AB69" s="373">
        <f t="shared" si="27"/>
        <v>1.1764164940768751</v>
      </c>
      <c r="AC69" s="373">
        <f t="shared" si="27"/>
        <v>-1.9015708670617499</v>
      </c>
      <c r="AD69" s="373">
        <f t="shared" si="27"/>
        <v>2.0584740924028324</v>
      </c>
      <c r="AE69" s="373">
        <f t="shared" si="27"/>
        <v>-0.85966384737005797</v>
      </c>
      <c r="AF69" s="373">
        <f t="shared" si="27"/>
        <v>-21.09392826158485</v>
      </c>
      <c r="AG69" s="373">
        <f t="shared" si="27"/>
        <v>11.906647046626787</v>
      </c>
      <c r="AH69" s="373">
        <f t="shared" ref="AH69:AI69" si="28">-(100-((AH68/AG68)*100))</f>
        <v>2.2131902556289447</v>
      </c>
      <c r="AI69" s="373">
        <f t="shared" si="28"/>
        <v>0.17903456103975657</v>
      </c>
      <c r="AJ69" s="1030"/>
      <c r="AK69" s="1030"/>
      <c r="AL69" s="1030"/>
      <c r="AM69" s="1030"/>
      <c r="AN69" s="1030"/>
      <c r="AO69" s="1030"/>
      <c r="AP69" s="1030"/>
      <c r="AS69" s="280"/>
      <c r="AT69" s="280"/>
      <c r="AU69" s="280"/>
      <c r="BB69" s="108"/>
    </row>
    <row r="70" spans="1:54" s="28" customFormat="1" ht="16.5" thickBot="1" x14ac:dyDescent="0.45">
      <c r="A70" s="1024" t="s">
        <v>977</v>
      </c>
      <c r="B70" s="1025"/>
      <c r="C70" s="1026">
        <f t="shared" ref="C70:AI70" si="29">-(100-((C68/$B$68)*100))</f>
        <v>-5.3202098605374459</v>
      </c>
      <c r="D70" s="1026">
        <f t="shared" si="29"/>
        <v>-6.8234806531510088</v>
      </c>
      <c r="E70" s="1026">
        <f t="shared" si="29"/>
        <v>-6.1166134976725175</v>
      </c>
      <c r="F70" s="1026">
        <f t="shared" si="29"/>
        <v>-5.203287249582047</v>
      </c>
      <c r="G70" s="1026">
        <f t="shared" si="29"/>
        <v>-2.9646342103158503</v>
      </c>
      <c r="H70" s="1026">
        <f t="shared" si="29"/>
        <v>-6.3140584876961725E-2</v>
      </c>
      <c r="I70" s="1026">
        <f t="shared" si="29"/>
        <v>1.0675231226841504</v>
      </c>
      <c r="J70" s="1026">
        <f t="shared" si="29"/>
        <v>2.0259281414763279</v>
      </c>
      <c r="K70" s="1026">
        <f t="shared" si="29"/>
        <v>4.084011936572125</v>
      </c>
      <c r="L70" s="1026">
        <f t="shared" si="29"/>
        <v>7.9490845188185233</v>
      </c>
      <c r="M70" s="1026">
        <f t="shared" si="29"/>
        <v>6.2477185370839408</v>
      </c>
      <c r="N70" s="1026">
        <f t="shared" si="29"/>
        <v>6.7349972781439504</v>
      </c>
      <c r="O70" s="1026">
        <f t="shared" si="29"/>
        <v>8.0893437843721756</v>
      </c>
      <c r="P70" s="1026">
        <f t="shared" si="29"/>
        <v>12.277638917560225</v>
      </c>
      <c r="Q70" s="1026">
        <f t="shared" si="29"/>
        <v>12.137841435160396</v>
      </c>
      <c r="R70" s="1026">
        <f t="shared" si="29"/>
        <v>9.121100285792366</v>
      </c>
      <c r="S70" s="1026">
        <f t="shared" si="29"/>
        <v>9.970890226673319</v>
      </c>
      <c r="T70" s="1026">
        <f t="shared" si="29"/>
        <v>6.5906961107390174</v>
      </c>
      <c r="U70" s="1026">
        <f t="shared" si="29"/>
        <v>-1.3589423710712367E-2</v>
      </c>
      <c r="V70" s="1026">
        <f t="shared" si="29"/>
        <v>0.66056014197090462</v>
      </c>
      <c r="W70" s="1026">
        <f t="shared" si="29"/>
        <v>0.38896074552157245</v>
      </c>
      <c r="X70" s="1026">
        <f t="shared" si="29"/>
        <v>-1.5980142555358867</v>
      </c>
      <c r="Y70" s="1026">
        <f t="shared" si="29"/>
        <v>2.627091799753515</v>
      </c>
      <c r="Z70" s="1026">
        <f t="shared" si="29"/>
        <v>-3.5388848862961453</v>
      </c>
      <c r="AA70" s="1026">
        <f t="shared" si="29"/>
        <v>-2.1221049789305226</v>
      </c>
      <c r="AB70" s="1026">
        <f t="shared" si="29"/>
        <v>-0.97065327784740418</v>
      </c>
      <c r="AC70" s="1026">
        <f t="shared" si="29"/>
        <v>-2.8537664849574469</v>
      </c>
      <c r="AD70" s="1026">
        <f t="shared" si="29"/>
        <v>-0.85403643630512249</v>
      </c>
      <c r="AE70" s="373">
        <f t="shared" si="29"/>
        <v>-1.706358441188911</v>
      </c>
      <c r="AF70" s="373">
        <f t="shared" si="29"/>
        <v>-22.440348677303874</v>
      </c>
      <c r="AG70" s="373">
        <f t="shared" si="29"/>
        <v>-13.205594743716034</v>
      </c>
      <c r="AH70" s="373">
        <f t="shared" si="29"/>
        <v>-11.284669424152867</v>
      </c>
      <c r="AI70" s="373">
        <f t="shared" si="29"/>
        <v>-11.125838321481439</v>
      </c>
      <c r="AJ70" s="1030"/>
      <c r="AK70" s="1030"/>
      <c r="AL70" s="1030"/>
      <c r="AM70" s="1030"/>
      <c r="AN70" s="1030"/>
      <c r="AO70" s="1030"/>
      <c r="AP70" s="1030"/>
      <c r="AS70" s="280"/>
      <c r="AT70" s="280"/>
      <c r="AU70" s="280"/>
      <c r="BB70" s="108"/>
    </row>
    <row r="71" spans="1:54" s="28" customFormat="1" x14ac:dyDescent="0.4">
      <c r="A71" s="1023" t="s">
        <v>44</v>
      </c>
      <c r="C71" s="280"/>
      <c r="D71" s="280"/>
      <c r="E71" s="280"/>
      <c r="F71" s="280"/>
      <c r="G71" s="280"/>
      <c r="H71" s="280"/>
      <c r="I71" s="280"/>
      <c r="J71" s="280"/>
      <c r="K71" s="280"/>
      <c r="L71" s="280"/>
      <c r="M71" s="280"/>
      <c r="N71" s="280"/>
      <c r="O71" s="280"/>
      <c r="P71" s="280"/>
      <c r="Q71" s="280"/>
      <c r="R71" s="280"/>
      <c r="S71" s="280"/>
      <c r="T71" s="280"/>
      <c r="U71" s="280"/>
      <c r="V71" s="280"/>
      <c r="W71" s="280"/>
      <c r="X71" s="280"/>
      <c r="Y71" s="280"/>
      <c r="Z71" s="280"/>
      <c r="AA71" s="280"/>
      <c r="AB71" s="280"/>
      <c r="AC71" s="280"/>
      <c r="AD71" s="280"/>
      <c r="AE71" s="375"/>
      <c r="AF71" s="375"/>
      <c r="AG71" s="375"/>
      <c r="AH71" s="375"/>
      <c r="AI71" s="375"/>
      <c r="AJ71" s="1031"/>
      <c r="AK71" s="1033">
        <v>24.9</v>
      </c>
      <c r="AL71" s="1031"/>
      <c r="AM71" s="1031"/>
      <c r="AN71" s="1031"/>
      <c r="AO71" s="1031"/>
      <c r="AP71" s="1035"/>
      <c r="AS71" s="280"/>
      <c r="AT71" s="280"/>
      <c r="AU71" s="280"/>
      <c r="BB71" s="108"/>
    </row>
    <row r="72" spans="1:54" s="28" customFormat="1" x14ac:dyDescent="0.4">
      <c r="A72" s="374" t="s">
        <v>45</v>
      </c>
      <c r="C72" s="280"/>
      <c r="D72" s="280"/>
      <c r="E72" s="280"/>
      <c r="F72" s="280"/>
      <c r="G72" s="280"/>
      <c r="H72" s="280"/>
      <c r="I72" s="280"/>
      <c r="J72" s="280"/>
      <c r="K72" s="280"/>
      <c r="L72" s="280"/>
      <c r="M72" s="280"/>
      <c r="N72" s="280"/>
      <c r="O72" s="280"/>
      <c r="P72" s="280"/>
      <c r="Q72" s="280"/>
      <c r="R72" s="280"/>
      <c r="S72" s="280"/>
      <c r="T72" s="280"/>
      <c r="U72" s="280"/>
      <c r="V72" s="280"/>
      <c r="W72" s="280"/>
      <c r="X72" s="280"/>
      <c r="Y72" s="280"/>
      <c r="Z72" s="280"/>
      <c r="AA72" s="280"/>
      <c r="AB72" s="280"/>
      <c r="AC72" s="280"/>
      <c r="AD72" s="280"/>
      <c r="AE72" s="280"/>
      <c r="AF72" s="280"/>
      <c r="AG72" s="280"/>
      <c r="AH72" s="280"/>
      <c r="AI72" s="280"/>
      <c r="AJ72" s="281"/>
      <c r="AK72" s="281"/>
      <c r="AL72" s="281"/>
      <c r="AM72" s="281"/>
      <c r="AN72" s="281"/>
      <c r="AO72" s="281"/>
      <c r="AP72" s="1036">
        <v>19.8</v>
      </c>
      <c r="AS72" s="280"/>
      <c r="AT72" s="280"/>
      <c r="AU72" s="280"/>
      <c r="BB72" s="108"/>
    </row>
    <row r="73" spans="1:54" s="28" customFormat="1" ht="16.5" thickBot="1" x14ac:dyDescent="0.45">
      <c r="A73" s="376" t="s">
        <v>46</v>
      </c>
      <c r="B73" s="377">
        <f>B68*(1-0.86)</f>
        <v>4.1414443701687214</v>
      </c>
      <c r="C73" s="349"/>
      <c r="D73" s="349"/>
      <c r="E73" s="349"/>
      <c r="F73" s="349"/>
      <c r="G73" s="349"/>
      <c r="H73" s="349"/>
      <c r="I73" s="349"/>
      <c r="J73" s="349"/>
      <c r="K73" s="349"/>
      <c r="L73" s="349"/>
      <c r="M73" s="349"/>
      <c r="N73" s="349"/>
      <c r="O73" s="349"/>
      <c r="P73" s="349"/>
      <c r="Q73" s="349"/>
      <c r="R73" s="349"/>
      <c r="S73" s="349"/>
      <c r="T73" s="349"/>
      <c r="U73" s="349"/>
      <c r="V73" s="349"/>
      <c r="W73" s="349"/>
      <c r="X73" s="349"/>
      <c r="Y73" s="349"/>
      <c r="Z73" s="349"/>
      <c r="AA73" s="349"/>
      <c r="AB73" s="349"/>
      <c r="AC73" s="349"/>
      <c r="AD73" s="349"/>
      <c r="AE73" s="349"/>
      <c r="AF73" s="349"/>
      <c r="AG73" s="349"/>
      <c r="AH73" s="382"/>
      <c r="AI73" s="382"/>
      <c r="AJ73" s="1032"/>
      <c r="AK73" s="1032"/>
      <c r="AL73" s="1032"/>
      <c r="AM73" s="1032"/>
      <c r="AN73" s="1032"/>
      <c r="AO73" s="1032"/>
      <c r="AP73" s="1032"/>
      <c r="AS73" s="280"/>
      <c r="AT73" s="280"/>
      <c r="AU73" s="280"/>
      <c r="BB73" s="108"/>
    </row>
    <row r="74" spans="1:54" s="28" customFormat="1" x14ac:dyDescent="0.4">
      <c r="A74" s="389" t="s">
        <v>1063</v>
      </c>
      <c r="B74" s="363"/>
      <c r="C74" s="280"/>
      <c r="D74" s="280"/>
      <c r="E74" s="280"/>
      <c r="F74" s="280"/>
      <c r="G74" s="280"/>
      <c r="H74" s="280"/>
      <c r="I74" s="280"/>
      <c r="J74" s="280"/>
      <c r="K74" s="280"/>
      <c r="L74" s="280"/>
      <c r="M74" s="280"/>
      <c r="N74" s="280"/>
      <c r="O74" s="280"/>
      <c r="P74" s="280"/>
      <c r="Q74" s="280"/>
      <c r="R74" s="280"/>
      <c r="S74" s="280"/>
      <c r="T74" s="280"/>
      <c r="U74" s="280"/>
      <c r="V74" s="280"/>
      <c r="W74" s="280"/>
      <c r="X74" s="280"/>
      <c r="Y74" s="280"/>
      <c r="Z74" s="280"/>
      <c r="AA74" s="280"/>
      <c r="AB74" s="280"/>
      <c r="AC74" s="280"/>
      <c r="AD74" s="280"/>
      <c r="AE74" s="280"/>
      <c r="AF74" s="280"/>
      <c r="AG74" s="280"/>
      <c r="AH74" s="268"/>
      <c r="AI74" s="268"/>
      <c r="AJ74" s="280"/>
      <c r="AK74" s="280"/>
      <c r="AL74" s="280"/>
      <c r="AM74" s="280"/>
      <c r="AN74" s="280"/>
      <c r="AO74" s="280"/>
      <c r="AP74" s="280"/>
      <c r="AS74" s="280"/>
      <c r="AT74" s="280"/>
      <c r="AU74" s="280"/>
      <c r="BB74" s="108"/>
    </row>
    <row r="75" spans="1:54" s="72" customFormat="1" x14ac:dyDescent="0.4">
      <c r="A75" s="386"/>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S75" s="71"/>
      <c r="AT75" s="71"/>
      <c r="AU75" s="71"/>
      <c r="BB75" s="71"/>
    </row>
    <row r="76" spans="1:54" s="72" customFormat="1" ht="17" x14ac:dyDescent="0.45">
      <c r="A76" s="88" t="s">
        <v>1362</v>
      </c>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1013" t="s">
        <v>0</v>
      </c>
      <c r="AK76" s="1013" t="s">
        <v>0</v>
      </c>
      <c r="AL76" s="71"/>
      <c r="AM76" s="71"/>
      <c r="AN76" s="71"/>
      <c r="AO76" s="71"/>
      <c r="AP76" s="71"/>
      <c r="AS76" s="71"/>
      <c r="AT76" s="71"/>
      <c r="AU76" s="71"/>
      <c r="BB76" s="71"/>
    </row>
    <row r="77" spans="1:54" s="86" customFormat="1" ht="16.5" thickBot="1" x14ac:dyDescent="0.45">
      <c r="A77" s="88" t="s">
        <v>752</v>
      </c>
      <c r="B77" s="977" t="s">
        <v>391</v>
      </c>
      <c r="C77" s="975" t="s">
        <v>392</v>
      </c>
      <c r="D77" s="975" t="s">
        <v>393</v>
      </c>
      <c r="E77" s="975" t="s">
        <v>394</v>
      </c>
      <c r="F77" s="975" t="s">
        <v>395</v>
      </c>
      <c r="G77" s="975" t="s">
        <v>396</v>
      </c>
      <c r="H77" s="975" t="s">
        <v>397</v>
      </c>
      <c r="I77" s="975" t="s">
        <v>398</v>
      </c>
      <c r="J77" s="975" t="s">
        <v>399</v>
      </c>
      <c r="K77" s="975" t="s">
        <v>400</v>
      </c>
      <c r="L77" s="975" t="s">
        <v>401</v>
      </c>
      <c r="M77" s="975" t="s">
        <v>402</v>
      </c>
      <c r="N77" s="975" t="s">
        <v>403</v>
      </c>
      <c r="O77" s="975" t="s">
        <v>404</v>
      </c>
      <c r="P77" s="975" t="s">
        <v>405</v>
      </c>
      <c r="Q77" s="975" t="s">
        <v>406</v>
      </c>
      <c r="R77" s="975" t="s">
        <v>407</v>
      </c>
      <c r="S77" s="975" t="s">
        <v>408</v>
      </c>
      <c r="T77" s="975" t="s">
        <v>409</v>
      </c>
      <c r="U77" s="975" t="s">
        <v>410</v>
      </c>
      <c r="V77" s="975" t="s">
        <v>411</v>
      </c>
      <c r="W77" s="975" t="s">
        <v>412</v>
      </c>
      <c r="X77" s="975" t="s">
        <v>413</v>
      </c>
      <c r="Y77" s="975" t="s">
        <v>414</v>
      </c>
      <c r="Z77" s="975" t="s">
        <v>415</v>
      </c>
      <c r="AA77" s="975" t="s">
        <v>416</v>
      </c>
      <c r="AB77" s="975" t="s">
        <v>417</v>
      </c>
      <c r="AC77" s="975" t="s">
        <v>418</v>
      </c>
      <c r="AD77" s="975" t="s">
        <v>419</v>
      </c>
      <c r="AE77" s="975" t="s">
        <v>420</v>
      </c>
      <c r="AF77" s="975" t="s">
        <v>421</v>
      </c>
      <c r="AG77" s="975" t="s">
        <v>422</v>
      </c>
      <c r="AH77" s="975" t="s">
        <v>423</v>
      </c>
      <c r="AI77" s="975" t="s">
        <v>424</v>
      </c>
      <c r="AJ77" s="975" t="s">
        <v>425</v>
      </c>
      <c r="AK77" s="975" t="s">
        <v>426</v>
      </c>
      <c r="AL77" s="975" t="s">
        <v>477</v>
      </c>
      <c r="AM77" s="975" t="s">
        <v>478</v>
      </c>
      <c r="AN77" s="975" t="s">
        <v>479</v>
      </c>
      <c r="AO77" s="975" t="s">
        <v>480</v>
      </c>
      <c r="AP77" s="975" t="s">
        <v>481</v>
      </c>
      <c r="AS77" s="230"/>
      <c r="AT77" s="230"/>
      <c r="AU77" s="230"/>
      <c r="BB77" s="230"/>
    </row>
    <row r="78" spans="1:54" ht="17" x14ac:dyDescent="0.45">
      <c r="A78" s="1171" t="s">
        <v>469</v>
      </c>
      <c r="B78" s="309">
        <f t="shared" ref="B78:AG78" si="30">B79+B80+B81+B82</f>
        <v>28.162431330116149</v>
      </c>
      <c r="C78" s="309">
        <f t="shared" si="30"/>
        <v>28.264086112233116</v>
      </c>
      <c r="D78" s="309">
        <f t="shared" si="30"/>
        <v>27.083465220071602</v>
      </c>
      <c r="E78" s="309">
        <f t="shared" si="30"/>
        <v>25.451998051107321</v>
      </c>
      <c r="F78" s="309">
        <f t="shared" si="30"/>
        <v>25.542371654754771</v>
      </c>
      <c r="G78" s="309">
        <f t="shared" si="30"/>
        <v>24.730600597448042</v>
      </c>
      <c r="H78" s="309">
        <f t="shared" si="30"/>
        <v>24.51855665029958</v>
      </c>
      <c r="I78" s="309">
        <f t="shared" si="30"/>
        <v>28.637910886582169</v>
      </c>
      <c r="J78" s="309">
        <f t="shared" si="30"/>
        <v>29.274838523518994</v>
      </c>
      <c r="K78" s="309">
        <f t="shared" si="30"/>
        <v>27.873815963592197</v>
      </c>
      <c r="L78" s="309">
        <f t="shared" si="30"/>
        <v>27.07555759560249</v>
      </c>
      <c r="M78" s="309">
        <f t="shared" si="30"/>
        <v>26.559330901711363</v>
      </c>
      <c r="N78" s="309">
        <f t="shared" si="30"/>
        <v>28.147865813381259</v>
      </c>
      <c r="O78" s="309">
        <f t="shared" si="30"/>
        <v>29.637443235091379</v>
      </c>
      <c r="P78" s="309">
        <f t="shared" si="30"/>
        <v>28.52854665158296</v>
      </c>
      <c r="Q78" s="309">
        <f t="shared" si="30"/>
        <v>29.976865531050549</v>
      </c>
      <c r="R78" s="309">
        <f t="shared" si="30"/>
        <v>26.19038965355578</v>
      </c>
      <c r="S78" s="309">
        <f t="shared" si="30"/>
        <v>27.844045975987939</v>
      </c>
      <c r="T78" s="309">
        <f t="shared" si="30"/>
        <v>25.13013800459893</v>
      </c>
      <c r="U78" s="309">
        <f t="shared" si="30"/>
        <v>22.503797660883695</v>
      </c>
      <c r="V78" s="309">
        <f t="shared" si="30"/>
        <v>23.211386378367123</v>
      </c>
      <c r="W78" s="309">
        <f t="shared" si="30"/>
        <v>18.281940644785681</v>
      </c>
      <c r="X78" s="309">
        <f t="shared" si="30"/>
        <v>15.861730730057928</v>
      </c>
      <c r="Y78" s="309">
        <f t="shared" si="30"/>
        <v>16.4512569723315</v>
      </c>
      <c r="Z78" s="309">
        <f t="shared" si="30"/>
        <v>14.88463344566345</v>
      </c>
      <c r="AA78" s="309">
        <f t="shared" si="30"/>
        <v>15.686193768215984</v>
      </c>
      <c r="AB78" s="309">
        <f t="shared" si="30"/>
        <v>14.734081239424333</v>
      </c>
      <c r="AC78" s="309">
        <f t="shared" si="30"/>
        <v>13.614370068180438</v>
      </c>
      <c r="AD78" s="310">
        <f t="shared" si="30"/>
        <v>12.134257842909928</v>
      </c>
      <c r="AE78" s="309">
        <f t="shared" si="30"/>
        <v>10.722427778971639</v>
      </c>
      <c r="AF78" s="309">
        <f t="shared" si="30"/>
        <v>12.806025714474893</v>
      </c>
      <c r="AG78" s="309">
        <f t="shared" si="30"/>
        <v>12.487184309944796</v>
      </c>
      <c r="AH78" s="309">
        <f t="shared" ref="AH78:AI78" si="31">AH79+AH80+AH81+AH82</f>
        <v>12.230393622083517</v>
      </c>
      <c r="AI78" s="310">
        <f t="shared" si="31"/>
        <v>11.260706072606789</v>
      </c>
      <c r="AJ78" s="1037">
        <f t="shared" ref="AJ78:AK78" si="32">AJ79+AJ80+AJ81+AJ82</f>
        <v>0</v>
      </c>
      <c r="AK78" s="1037">
        <f t="shared" si="32"/>
        <v>0</v>
      </c>
      <c r="AL78" s="1037"/>
      <c r="AM78" s="1037"/>
      <c r="AN78" s="1037"/>
      <c r="AO78" s="1037"/>
      <c r="AP78" s="1037"/>
      <c r="AS78" s="272"/>
      <c r="AT78" s="272"/>
      <c r="AU78" s="272"/>
    </row>
    <row r="79" spans="1:54" ht="17" x14ac:dyDescent="0.45">
      <c r="A79" s="1166" t="s">
        <v>470</v>
      </c>
      <c r="B79" s="280">
        <f>'Combustion CO2'!B81</f>
        <v>25.256636732676711</v>
      </c>
      <c r="C79" s="280">
        <f>'Combustion CO2'!C81</f>
        <v>25.914728879913365</v>
      </c>
      <c r="D79" s="280">
        <f>'Combustion CO2'!D81</f>
        <v>24.426681636914616</v>
      </c>
      <c r="E79" s="280">
        <f>'Combustion CO2'!E81</f>
        <v>21.967535985573292</v>
      </c>
      <c r="F79" s="280">
        <f>'Combustion CO2'!F81</f>
        <v>22.308384804598031</v>
      </c>
      <c r="G79" s="280">
        <f>'Combustion CO2'!G81</f>
        <v>21.438788153844321</v>
      </c>
      <c r="H79" s="280">
        <f>'Combustion CO2'!H81</f>
        <v>20.883901096087193</v>
      </c>
      <c r="I79" s="280">
        <f>'Combustion CO2'!I81</f>
        <v>26.163942634042538</v>
      </c>
      <c r="J79" s="280">
        <f>'Combustion CO2'!J81</f>
        <v>26.747611926121515</v>
      </c>
      <c r="K79" s="280">
        <f>'Combustion CO2'!K81</f>
        <v>24.004093488628136</v>
      </c>
      <c r="L79" s="280">
        <f>'Combustion CO2'!L81</f>
        <v>22.176187156381239</v>
      </c>
      <c r="M79" s="280">
        <f>'Combustion CO2'!M81</f>
        <v>21.9644181064916</v>
      </c>
      <c r="N79" s="280">
        <f>'Combustion CO2'!N81</f>
        <v>22.920165736663847</v>
      </c>
      <c r="O79" s="280">
        <f>'Combustion CO2'!O81</f>
        <v>25.00860220508946</v>
      </c>
      <c r="P79" s="280">
        <f>'Combustion CO2'!P81</f>
        <v>23.742061768767062</v>
      </c>
      <c r="Q79" s="280">
        <f>'Combustion CO2'!Q81</f>
        <v>24.508508839562417</v>
      </c>
      <c r="R79" s="280">
        <f>'Combustion CO2'!R81</f>
        <v>21.605252315219431</v>
      </c>
      <c r="S79" s="280">
        <f>'Combustion CO2'!S81</f>
        <v>23.666295740032623</v>
      </c>
      <c r="T79" s="280">
        <f>'Combustion CO2'!T81</f>
        <v>20.168912335399149</v>
      </c>
      <c r="U79" s="280">
        <f>'Combustion CO2'!U81</f>
        <v>17.585116309401926</v>
      </c>
      <c r="V79" s="280">
        <f>'Combustion CO2'!V81</f>
        <v>18.286569094037727</v>
      </c>
      <c r="W79" s="280">
        <f>'Combustion CO2'!W81</f>
        <v>14.354837458195698</v>
      </c>
      <c r="X79" s="280">
        <f>'Combustion CO2'!X81</f>
        <v>12.131402331331717</v>
      </c>
      <c r="Y79" s="280">
        <f>'Combustion CO2'!Y81</f>
        <v>12.659822445437143</v>
      </c>
      <c r="Z79" s="280">
        <f>'Combustion CO2'!Z81</f>
        <v>10.782306921880684</v>
      </c>
      <c r="AA79" s="280">
        <f>'Combustion CO2'!AA81</f>
        <v>11.311329440348851</v>
      </c>
      <c r="AB79" s="280">
        <f>'Combustion CO2'!AB81</f>
        <v>10.704619766914323</v>
      </c>
      <c r="AC79" s="280">
        <f>'Combustion CO2'!AC81</f>
        <v>10.277411017637217</v>
      </c>
      <c r="AD79" s="281">
        <f>'Combustion CO2'!AD81</f>
        <v>7.6499388544811335</v>
      </c>
      <c r="AE79" s="280">
        <f>'Combustion CO2'!AE81</f>
        <v>6.2240808974230486</v>
      </c>
      <c r="AF79" s="280">
        <f>'Combustion CO2'!AF81</f>
        <v>5.7447834902179773</v>
      </c>
      <c r="AG79" s="280">
        <f>'Combustion CO2'!AG81</f>
        <v>6.1409138216974188</v>
      </c>
      <c r="AH79" s="280">
        <f>'Combustion CO2'!AH81</f>
        <v>6.805501872639649</v>
      </c>
      <c r="AI79" s="281">
        <f>'Combustion CO2'!AI81</f>
        <v>5.9727830458898277</v>
      </c>
      <c r="AJ79" s="1014">
        <f>'Combustion CO2'!AJ81</f>
        <v>0</v>
      </c>
      <c r="AK79" s="1014">
        <f>'Combustion CO2'!AK81</f>
        <v>0</v>
      </c>
      <c r="AL79" s="1014"/>
      <c r="AM79" s="1014"/>
      <c r="AN79" s="1014"/>
      <c r="AO79" s="1014"/>
      <c r="AP79" s="1014"/>
      <c r="AQ79" s="31"/>
      <c r="AS79" s="272"/>
      <c r="AT79" s="272"/>
      <c r="AU79" s="272"/>
    </row>
    <row r="80" spans="1:54" ht="17" x14ac:dyDescent="0.45">
      <c r="A80" s="1166" t="s">
        <v>990</v>
      </c>
      <c r="B80" s="283">
        <f>'Stationary CH4 and N2O'!B85</f>
        <v>9.3884288699999999E-2</v>
      </c>
      <c r="C80" s="283">
        <f>'Stationary CH4 and N2O'!C85</f>
        <v>9.6822959449999968E-2</v>
      </c>
      <c r="D80" s="283">
        <f>'Stationary CH4 and N2O'!D85</f>
        <v>9.0914300149999988E-2</v>
      </c>
      <c r="E80" s="283">
        <f>'Stationary CH4 and N2O'!E85</f>
        <v>8.1111164489999998E-2</v>
      </c>
      <c r="F80" s="283">
        <f>'Stationary CH4 and N2O'!F85</f>
        <v>8.0477643539999991E-2</v>
      </c>
      <c r="G80" s="283">
        <f>'Stationary CH4 and N2O'!G85</f>
        <v>7.487524039E-2</v>
      </c>
      <c r="H80" s="283">
        <f>'Stationary CH4 and N2O'!H85</f>
        <v>7.7779169514999996E-2</v>
      </c>
      <c r="I80" s="283">
        <f>'Stationary CH4 and N2O'!I85</f>
        <v>9.6196196615999999E-2</v>
      </c>
      <c r="J80" s="283">
        <f>'Stationary CH4 and N2O'!J85</f>
        <v>9.9711417475199987E-2</v>
      </c>
      <c r="K80" s="283">
        <f>'Stationary CH4 and N2O'!K85</f>
        <v>9.1105053121899982E-2</v>
      </c>
      <c r="L80" s="283">
        <f>'Stationary CH4 and N2O'!L85</f>
        <v>8.6038897661899996E-2</v>
      </c>
      <c r="M80" s="283">
        <f>'Stationary CH4 and N2O'!M85</f>
        <v>8.4135110418599987E-2</v>
      </c>
      <c r="N80" s="283">
        <f>'Stationary CH4 and N2O'!N85</f>
        <v>8.3639338406599997E-2</v>
      </c>
      <c r="O80" s="283">
        <f>'Stationary CH4 and N2O'!O85</f>
        <v>8.5136165160799998E-2</v>
      </c>
      <c r="P80" s="283">
        <f>'Stationary CH4 and N2O'!P85</f>
        <v>8.1217752578399999E-2</v>
      </c>
      <c r="Q80" s="283">
        <f>'Stationary CH4 and N2O'!Q85</f>
        <v>8.7053430643999993E-2</v>
      </c>
      <c r="R80" s="283">
        <f>'Stationary CH4 and N2O'!R85</f>
        <v>7.388594993E-2</v>
      </c>
      <c r="S80" s="283">
        <f>'Stationary CH4 and N2O'!S85</f>
        <v>7.9954547018999983E-2</v>
      </c>
      <c r="T80" s="283">
        <f>'Stationary CH4 and N2O'!T85</f>
        <v>7.0447017651999996E-2</v>
      </c>
      <c r="U80" s="283">
        <f>'Stationary CH4 and N2O'!U85</f>
        <v>5.9428616861800003E-2</v>
      </c>
      <c r="V80" s="283">
        <f>'Stationary CH4 and N2O'!V85</f>
        <v>5.5503888081399999E-2</v>
      </c>
      <c r="W80" s="283">
        <f>'Stationary CH4 and N2O'!W85</f>
        <v>3.6155926511399997E-2</v>
      </c>
      <c r="X80" s="283">
        <f>'Stationary CH4 and N2O'!X85</f>
        <v>2.6671556131799997E-2</v>
      </c>
      <c r="Y80" s="283">
        <f>'Stationary CH4 and N2O'!Y85</f>
        <v>3.4448873260999997E-2</v>
      </c>
      <c r="Z80" s="283">
        <f>'Stationary CH4 and N2O'!Z85</f>
        <v>3.1111986384599999E-2</v>
      </c>
      <c r="AA80" s="283">
        <f>'Stationary CH4 and N2O'!AA85</f>
        <v>2.8343924454799996E-2</v>
      </c>
      <c r="AB80" s="280">
        <f>'Stationary CH4 and N2O'!AB85</f>
        <v>2.6786002749199997E-2</v>
      </c>
      <c r="AC80" s="280">
        <f>'Stationary CH4 and N2O'!AC85</f>
        <v>2.2732699960599997E-2</v>
      </c>
      <c r="AD80" s="281">
        <f>'Stationary CH4 and N2O'!AD85</f>
        <v>1.5684509824999998E-2</v>
      </c>
      <c r="AE80" s="280">
        <f>'Stationary CH4 and N2O'!AE85</f>
        <v>1.3002606939999998E-2</v>
      </c>
      <c r="AF80" s="227">
        <f>'Stationary CH4 and N2O'!AF85</f>
        <v>1.28849316122E-2</v>
      </c>
      <c r="AG80" s="227">
        <f>'Stationary CH4 and N2O'!AG85</f>
        <v>1.1772683811199999E-2</v>
      </c>
      <c r="AH80" s="227">
        <f>'Stationary CH4 and N2O'!AH85</f>
        <v>1.1837122608E-2</v>
      </c>
      <c r="AI80" s="237">
        <f>'Stationary CH4 and N2O'!AI85</f>
        <v>9.3250753383999994E-3</v>
      </c>
      <c r="AJ80" s="1038">
        <f>'Stationary CH4 and N2O'!AJ85</f>
        <v>0</v>
      </c>
      <c r="AK80" s="1038"/>
      <c r="AL80" s="1038"/>
      <c r="AM80" s="1038"/>
      <c r="AN80" s="1038"/>
      <c r="AO80" s="1038"/>
      <c r="AP80" s="1038"/>
      <c r="AS80" s="272"/>
      <c r="AT80" s="272"/>
      <c r="AU80" s="272"/>
    </row>
    <row r="81" spans="1:54" ht="17" x14ac:dyDescent="0.45">
      <c r="A81" s="1166" t="s">
        <v>991</v>
      </c>
      <c r="B81" s="283">
        <f>'Solid Waste'!B65</f>
        <v>0.92601628752123666</v>
      </c>
      <c r="C81" s="283">
        <f>'Solid Waste'!C65</f>
        <v>1.0801301569133455</v>
      </c>
      <c r="D81" s="283">
        <f>'Solid Waste'!D65</f>
        <v>1.0906473008397313</v>
      </c>
      <c r="E81" s="283">
        <f>'Solid Waste'!E65</f>
        <v>1.242718904054505</v>
      </c>
      <c r="F81" s="283">
        <f>'Solid Waste'!F65</f>
        <v>1.2928195089196404</v>
      </c>
      <c r="G81" s="283">
        <f>'Solid Waste'!G65</f>
        <v>1.2744958903414088</v>
      </c>
      <c r="H81" s="283">
        <f>'Solid Waste'!H65</f>
        <v>1.4468622619050446</v>
      </c>
      <c r="I81" s="283">
        <f>'Solid Waste'!I65</f>
        <v>1.4555860623276906</v>
      </c>
      <c r="J81" s="283">
        <f>'Solid Waste'!J65</f>
        <v>1.5164204737577511</v>
      </c>
      <c r="K81" s="283">
        <f>'Solid Waste'!K65</f>
        <v>1.557924676415414</v>
      </c>
      <c r="L81" s="283">
        <f>'Solid Waste'!L65</f>
        <v>1.6955563813287422</v>
      </c>
      <c r="M81" s="283">
        <f>'Solid Waste'!M65</f>
        <v>1.7803166091743412</v>
      </c>
      <c r="N81" s="283">
        <f>'Solid Waste'!N65</f>
        <v>1.7760175871093165</v>
      </c>
      <c r="O81" s="283">
        <f>'Solid Waste'!O65</f>
        <v>1.8060576400639383</v>
      </c>
      <c r="P81" s="283">
        <f>'Solid Waste'!P65</f>
        <v>1.8435570813811437</v>
      </c>
      <c r="Q81" s="283">
        <f>'Solid Waste'!Q65</f>
        <v>1.9668336222264622</v>
      </c>
      <c r="R81" s="283">
        <f>'Solid Waste'!R65</f>
        <v>1.9577518984647779</v>
      </c>
      <c r="S81" s="283">
        <f>'Solid Waste'!S65</f>
        <v>1.8710997732851635</v>
      </c>
      <c r="T81" s="283">
        <f>'Solid Waste'!T65</f>
        <v>2.1772402484491562</v>
      </c>
      <c r="U81" s="283">
        <f>'Solid Waste'!U65</f>
        <v>2.1156528506438166</v>
      </c>
      <c r="V81" s="283">
        <f>'Solid Waste'!V65</f>
        <v>2.4268167200000001</v>
      </c>
      <c r="W81" s="283">
        <f>'Solid Waste'!W65</f>
        <v>1.1283393000000002</v>
      </c>
      <c r="X81" s="283">
        <f>'Solid Waste'!X65</f>
        <v>1.1245143</v>
      </c>
      <c r="Y81" s="283">
        <f>'Solid Waste'!Y65</f>
        <v>1.1794822839999999</v>
      </c>
      <c r="Z81" s="283">
        <f>'Solid Waste'!Z65</f>
        <v>1.2139940979999999</v>
      </c>
      <c r="AA81" s="283">
        <f>'Solid Waste'!AA65</f>
        <v>1.218505508</v>
      </c>
      <c r="AB81" s="280">
        <f>'Solid Waste'!AB65</f>
        <v>1.234089784</v>
      </c>
      <c r="AC81" s="280">
        <f>'Solid Waste'!AC65</f>
        <v>1.1685330480000002</v>
      </c>
      <c r="AD81" s="280">
        <f>'Solid Waste'!AD65</f>
        <v>1.163976994</v>
      </c>
      <c r="AE81" s="280">
        <f>'Solid Waste'!AE65</f>
        <v>1.085687544</v>
      </c>
      <c r="AF81" s="280">
        <f>'Solid Waste'!AF65</f>
        <v>1.164040612</v>
      </c>
      <c r="AG81" s="280">
        <f>'Solid Waste'!AG65</f>
        <v>1.2226291460000001</v>
      </c>
      <c r="AH81" s="280">
        <f>'Solid Waste'!AH65</f>
        <v>1.2807188459999999</v>
      </c>
      <c r="AI81" s="281">
        <f>'Solid Waste'!AI65</f>
        <v>1.2317745919999998</v>
      </c>
      <c r="AJ81" s="1014">
        <f>'Solid Waste'!AJ65</f>
        <v>0</v>
      </c>
      <c r="AK81" s="1014"/>
      <c r="AL81" s="1014"/>
      <c r="AM81" s="1014"/>
      <c r="AN81" s="1014"/>
      <c r="AO81" s="1014"/>
      <c r="AP81" s="1014"/>
      <c r="AS81" s="280"/>
      <c r="AT81" s="280"/>
      <c r="AU81" s="280"/>
    </row>
    <row r="82" spans="1:54" ht="17" x14ac:dyDescent="0.45">
      <c r="A82" s="1172" t="s">
        <v>986</v>
      </c>
      <c r="B82" s="280">
        <f>'Electricity Imports'!B9</f>
        <v>1.8858940212182027</v>
      </c>
      <c r="C82" s="280">
        <f>'Electricity Imports'!C9</f>
        <v>1.1724041159564047</v>
      </c>
      <c r="D82" s="280">
        <f>'Electricity Imports'!D9</f>
        <v>1.4752219821672543</v>
      </c>
      <c r="E82" s="280">
        <f>'Electricity Imports'!E9</f>
        <v>2.1606319969895238</v>
      </c>
      <c r="F82" s="280">
        <f>'Electricity Imports'!F9</f>
        <v>1.8606896976971012</v>
      </c>
      <c r="G82" s="280">
        <f>'Electricity Imports'!G9</f>
        <v>1.9424413128723124</v>
      </c>
      <c r="H82" s="280">
        <f>'Electricity Imports'!H9</f>
        <v>2.1100141227923412</v>
      </c>
      <c r="I82" s="280">
        <f>'Electricity Imports'!I9</f>
        <v>0.92218599359594056</v>
      </c>
      <c r="J82" s="280">
        <f>'Electricity Imports'!J9</f>
        <v>0.9110947061645297</v>
      </c>
      <c r="K82" s="280">
        <f>'Electricity Imports'!K9</f>
        <v>2.2206927454267458</v>
      </c>
      <c r="L82" s="280">
        <f>'Electricity Imports'!L9</f>
        <v>3.1177751602306079</v>
      </c>
      <c r="M82" s="280">
        <f>'Electricity Imports'!M9</f>
        <v>2.7304610756268213</v>
      </c>
      <c r="N82" s="280">
        <f>'Electricity Imports'!N9</f>
        <v>3.3680431512014977</v>
      </c>
      <c r="O82" s="280">
        <f>'Electricity Imports'!O9</f>
        <v>2.7376472247771821</v>
      </c>
      <c r="P82" s="280">
        <f>'Electricity Imports'!P9</f>
        <v>2.8617100488563549</v>
      </c>
      <c r="Q82" s="280">
        <f>'Electricity Imports'!Q9</f>
        <v>3.4144696386176672</v>
      </c>
      <c r="R82" s="280">
        <f>'Electricity Imports'!R9</f>
        <v>2.5534994899415717</v>
      </c>
      <c r="S82" s="280">
        <f>'Electricity Imports'!S9</f>
        <v>2.2266959156511517</v>
      </c>
      <c r="T82" s="280">
        <f>'Electricity Imports'!T9</f>
        <v>2.7135384030986245</v>
      </c>
      <c r="U82" s="280">
        <f>'Electricity Imports'!U9</f>
        <v>2.7435998839761511</v>
      </c>
      <c r="V82" s="280">
        <f>'Electricity Imports'!V9</f>
        <v>2.4424966762479952</v>
      </c>
      <c r="W82" s="280">
        <f>'Electricity Imports'!W9</f>
        <v>2.762607960078582</v>
      </c>
      <c r="X82" s="280">
        <f>'Electricity Imports'!X9</f>
        <v>2.5791425425944108</v>
      </c>
      <c r="Y82" s="280">
        <f>'Electricity Imports'!Y9</f>
        <v>2.5775033696333551</v>
      </c>
      <c r="Z82" s="280">
        <f>'Electricity Imports'!Z9</f>
        <v>2.8572204393981666</v>
      </c>
      <c r="AA82" s="280">
        <f>'Electricity Imports'!AA9</f>
        <v>3.1280148954123335</v>
      </c>
      <c r="AB82" s="280">
        <f>'Electricity Imports'!AB9</f>
        <v>2.7685856857608093</v>
      </c>
      <c r="AC82" s="280">
        <f>'Electricity Imports'!AC9</f>
        <v>2.1456933025826213</v>
      </c>
      <c r="AD82" s="281">
        <f>'Electricity Imports'!AD9</f>
        <v>3.3046574846037937</v>
      </c>
      <c r="AE82" s="280">
        <f>'Electricity Imports'!AE9</f>
        <v>3.3996567306085903</v>
      </c>
      <c r="AF82" s="280">
        <f>'Electricity Imports'!AF9</f>
        <v>5.8843166806447158</v>
      </c>
      <c r="AG82" s="280">
        <f>'Electricity Imports'!AG9</f>
        <v>5.111868658436177</v>
      </c>
      <c r="AH82" s="280">
        <f>'Electricity Imports'!AH9</f>
        <v>4.1323357808358683</v>
      </c>
      <c r="AI82" s="281">
        <f>'Electricity Imports'!AI9</f>
        <v>4.0468233593785614</v>
      </c>
      <c r="AJ82" s="1014">
        <f>'Electricity Imports'!AK9</f>
        <v>0</v>
      </c>
      <c r="AK82" s="1014"/>
      <c r="AL82" s="1014"/>
      <c r="AM82" s="1014"/>
      <c r="AN82" s="1014"/>
      <c r="AO82" s="1014"/>
      <c r="AP82" s="1014"/>
      <c r="AS82" s="272"/>
      <c r="AT82" s="272"/>
      <c r="AU82" s="272"/>
    </row>
    <row r="83" spans="1:54" s="28" customFormat="1" x14ac:dyDescent="0.4">
      <c r="A83" s="379" t="s">
        <v>14</v>
      </c>
      <c r="B83" s="380">
        <f>B78</f>
        <v>28.162431330116149</v>
      </c>
      <c r="C83" s="373">
        <f>C78</f>
        <v>28.264086112233116</v>
      </c>
      <c r="D83" s="373">
        <f t="shared" ref="D83:AF83" si="33">D78</f>
        <v>27.083465220071602</v>
      </c>
      <c r="E83" s="373">
        <f t="shared" si="33"/>
        <v>25.451998051107321</v>
      </c>
      <c r="F83" s="373">
        <f t="shared" si="33"/>
        <v>25.542371654754771</v>
      </c>
      <c r="G83" s="373">
        <f t="shared" si="33"/>
        <v>24.730600597448042</v>
      </c>
      <c r="H83" s="373">
        <f t="shared" si="33"/>
        <v>24.51855665029958</v>
      </c>
      <c r="I83" s="373">
        <f t="shared" si="33"/>
        <v>28.637910886582169</v>
      </c>
      <c r="J83" s="373">
        <f t="shared" si="33"/>
        <v>29.274838523518994</v>
      </c>
      <c r="K83" s="373">
        <f t="shared" si="33"/>
        <v>27.873815963592197</v>
      </c>
      <c r="L83" s="373">
        <f t="shared" si="33"/>
        <v>27.07555759560249</v>
      </c>
      <c r="M83" s="373">
        <f t="shared" si="33"/>
        <v>26.559330901711363</v>
      </c>
      <c r="N83" s="373">
        <f t="shared" si="33"/>
        <v>28.147865813381259</v>
      </c>
      <c r="O83" s="373">
        <f t="shared" si="33"/>
        <v>29.637443235091379</v>
      </c>
      <c r="P83" s="373">
        <f t="shared" si="33"/>
        <v>28.52854665158296</v>
      </c>
      <c r="Q83" s="373">
        <f t="shared" si="33"/>
        <v>29.976865531050549</v>
      </c>
      <c r="R83" s="373">
        <f t="shared" si="33"/>
        <v>26.19038965355578</v>
      </c>
      <c r="S83" s="373">
        <f t="shared" si="33"/>
        <v>27.844045975987939</v>
      </c>
      <c r="T83" s="373">
        <f t="shared" si="33"/>
        <v>25.13013800459893</v>
      </c>
      <c r="U83" s="373">
        <f t="shared" si="33"/>
        <v>22.503797660883695</v>
      </c>
      <c r="V83" s="373">
        <f t="shared" si="33"/>
        <v>23.211386378367123</v>
      </c>
      <c r="W83" s="373">
        <f t="shared" si="33"/>
        <v>18.281940644785681</v>
      </c>
      <c r="X83" s="373">
        <f t="shared" si="33"/>
        <v>15.861730730057928</v>
      </c>
      <c r="Y83" s="373">
        <f t="shared" si="33"/>
        <v>16.4512569723315</v>
      </c>
      <c r="Z83" s="373">
        <f t="shared" si="33"/>
        <v>14.88463344566345</v>
      </c>
      <c r="AA83" s="373">
        <f t="shared" si="33"/>
        <v>15.686193768215984</v>
      </c>
      <c r="AB83" s="373">
        <f t="shared" si="33"/>
        <v>14.734081239424333</v>
      </c>
      <c r="AC83" s="373">
        <f t="shared" si="33"/>
        <v>13.614370068180438</v>
      </c>
      <c r="AD83" s="373">
        <f t="shared" si="33"/>
        <v>12.134257842909928</v>
      </c>
      <c r="AE83" s="373">
        <f t="shared" si="33"/>
        <v>10.722427778971639</v>
      </c>
      <c r="AF83" s="373">
        <f t="shared" si="33"/>
        <v>12.806025714474893</v>
      </c>
      <c r="AG83" s="373">
        <f t="shared" ref="AG83:AH83" si="34">AG78</f>
        <v>12.487184309944796</v>
      </c>
      <c r="AH83" s="373">
        <f t="shared" si="34"/>
        <v>12.230393622083517</v>
      </c>
      <c r="AI83" s="381">
        <f t="shared" ref="AI83" si="35">AI78</f>
        <v>11.260706072606789</v>
      </c>
      <c r="AJ83" s="381"/>
      <c r="AK83" s="381"/>
      <c r="AL83" s="381"/>
      <c r="AM83" s="381"/>
      <c r="AN83" s="381"/>
      <c r="AO83" s="381"/>
      <c r="AP83" s="381"/>
      <c r="AS83" s="280"/>
      <c r="AT83" s="280"/>
      <c r="AU83" s="280"/>
      <c r="BB83" s="108"/>
    </row>
    <row r="84" spans="1:54" s="28" customFormat="1" x14ac:dyDescent="0.4">
      <c r="A84" s="374" t="s">
        <v>978</v>
      </c>
      <c r="B84" s="380"/>
      <c r="C84" s="373">
        <f>-(100-((C83/B83)*100))</f>
        <v>0.36095882818275982</v>
      </c>
      <c r="D84" s="373">
        <f t="shared" ref="D84:AG84" si="36">-(100-((D83/C83)*100))</f>
        <v>-4.1771061957334013</v>
      </c>
      <c r="E84" s="373">
        <f t="shared" si="36"/>
        <v>-6.0238494435903931</v>
      </c>
      <c r="F84" s="373">
        <f t="shared" si="36"/>
        <v>0.35507469184139495</v>
      </c>
      <c r="G84" s="373">
        <f t="shared" si="36"/>
        <v>-3.1781350153348598</v>
      </c>
      <c r="H84" s="373">
        <f t="shared" si="36"/>
        <v>-0.857415275107968</v>
      </c>
      <c r="I84" s="373">
        <f t="shared" si="36"/>
        <v>16.800965468871752</v>
      </c>
      <c r="J84" s="373">
        <f t="shared" si="36"/>
        <v>2.2240715793107881</v>
      </c>
      <c r="K84" s="373">
        <f t="shared" si="36"/>
        <v>-4.7857567473898683</v>
      </c>
      <c r="L84" s="373">
        <f t="shared" si="36"/>
        <v>-2.8638287955705977</v>
      </c>
      <c r="M84" s="373">
        <f t="shared" si="36"/>
        <v>-1.9066151899858568</v>
      </c>
      <c r="N84" s="373">
        <f t="shared" si="36"/>
        <v>5.9810803124092899</v>
      </c>
      <c r="O84" s="373">
        <f t="shared" si="36"/>
        <v>5.2919728678043896</v>
      </c>
      <c r="P84" s="373">
        <f t="shared" si="36"/>
        <v>-3.741539291066303</v>
      </c>
      <c r="Q84" s="373">
        <f t="shared" si="36"/>
        <v>5.0767355840302741</v>
      </c>
      <c r="R84" s="373">
        <f t="shared" si="36"/>
        <v>-12.631326892975764</v>
      </c>
      <c r="S84" s="373">
        <f t="shared" si="36"/>
        <v>6.3139813660910988</v>
      </c>
      <c r="T84" s="373">
        <f t="shared" si="36"/>
        <v>-9.7468161549848702</v>
      </c>
      <c r="U84" s="373">
        <f t="shared" si="36"/>
        <v>-10.450958698414638</v>
      </c>
      <c r="V84" s="373">
        <f t="shared" si="36"/>
        <v>3.1443080325654051</v>
      </c>
      <c r="W84" s="373">
        <f t="shared" si="36"/>
        <v>-21.237187875066596</v>
      </c>
      <c r="X84" s="373">
        <f t="shared" si="36"/>
        <v>-13.238254962927243</v>
      </c>
      <c r="Y84" s="373">
        <f t="shared" si="36"/>
        <v>3.7166577361978739</v>
      </c>
      <c r="Z84" s="373">
        <f t="shared" si="36"/>
        <v>-9.5228196198191455</v>
      </c>
      <c r="AA84" s="373">
        <f t="shared" si="36"/>
        <v>5.3851532553935044</v>
      </c>
      <c r="AB84" s="373">
        <f t="shared" si="36"/>
        <v>-6.069748613719554</v>
      </c>
      <c r="AC84" s="373">
        <f t="shared" si="36"/>
        <v>-7.5994638080850052</v>
      </c>
      <c r="AD84" s="373">
        <f t="shared" si="36"/>
        <v>-10.871690852078672</v>
      </c>
      <c r="AE84" s="373">
        <f t="shared" si="36"/>
        <v>-11.635075521023523</v>
      </c>
      <c r="AF84" s="373">
        <f t="shared" si="36"/>
        <v>19.432147070176754</v>
      </c>
      <c r="AG84" s="373">
        <f t="shared" si="36"/>
        <v>-2.4897763883896147</v>
      </c>
      <c r="AH84" s="373">
        <f t="shared" ref="AH84:AI84" si="37">-(100-((AH83/AG83)*100))</f>
        <v>-2.0564338724204703</v>
      </c>
      <c r="AI84" s="381">
        <f t="shared" si="37"/>
        <v>-7.9285064687193341</v>
      </c>
      <c r="AJ84" s="381"/>
      <c r="AK84" s="381"/>
      <c r="AL84" s="381"/>
      <c r="AM84" s="381"/>
      <c r="AN84" s="381"/>
      <c r="AO84" s="381"/>
      <c r="AP84" s="381"/>
      <c r="AS84" s="280"/>
      <c r="AT84" s="280"/>
      <c r="AU84" s="280"/>
      <c r="BB84" s="108"/>
    </row>
    <row r="85" spans="1:54" s="28" customFormat="1" ht="16.5" thickBot="1" x14ac:dyDescent="0.45">
      <c r="A85" s="1024" t="s">
        <v>977</v>
      </c>
      <c r="B85" s="380"/>
      <c r="C85" s="373">
        <f>-(100-((C83/$B$83)*100))</f>
        <v>0.36095882818275982</v>
      </c>
      <c r="D85" s="373">
        <f t="shared" ref="D85:AG85" si="38">-(100-((D83/$B$83)*100))</f>
        <v>-3.8312250011266968</v>
      </c>
      <c r="E85" s="373">
        <f t="shared" si="38"/>
        <v>-9.624287218804028</v>
      </c>
      <c r="F85" s="373">
        <f t="shared" si="38"/>
        <v>-9.3033859351467072</v>
      </c>
      <c r="G85" s="373">
        <f t="shared" si="38"/>
        <v>-12.185846784464943</v>
      </c>
      <c r="H85" s="373">
        <f t="shared" si="38"/>
        <v>-12.938778747841667</v>
      </c>
      <c r="I85" s="373">
        <f t="shared" si="38"/>
        <v>1.6883469715115069</v>
      </c>
      <c r="J85" s="373">
        <f t="shared" si="38"/>
        <v>3.9499685959758324</v>
      </c>
      <c r="K85" s="373">
        <f t="shared" si="38"/>
        <v>-1.0248240400157442</v>
      </c>
      <c r="L85" s="373">
        <f t="shared" si="38"/>
        <v>-3.8593036296244208</v>
      </c>
      <c r="M85" s="373">
        <f t="shared" si="38"/>
        <v>-5.6923367503801927</v>
      </c>
      <c r="N85" s="373">
        <f t="shared" si="38"/>
        <v>-5.1719670663928241E-2</v>
      </c>
      <c r="O85" s="373">
        <f t="shared" si="38"/>
        <v>5.2375162062015903</v>
      </c>
      <c r="P85" s="373">
        <f t="shared" si="38"/>
        <v>1.3000131884042929</v>
      </c>
      <c r="Q85" s="373">
        <f t="shared" si="38"/>
        <v>6.4427470045673658</v>
      </c>
      <c r="R85" s="373">
        <f t="shared" si="38"/>
        <v>-7.0023843234426977</v>
      </c>
      <c r="S85" s="373">
        <f t="shared" si="38"/>
        <v>-1.1305321987158692</v>
      </c>
      <c r="T85" s="373">
        <f t="shared" si="38"/>
        <v>-10.767157458719012</v>
      </c>
      <c r="U85" s="373">
        <f t="shared" si="38"/>
        <v>-20.092844978129648</v>
      </c>
      <c r="V85" s="373">
        <f t="shared" si="38"/>
        <v>-17.580317884182506</v>
      </c>
      <c r="W85" s="373">
        <f t="shared" si="38"/>
        <v>-35.083940621151328</v>
      </c>
      <c r="X85" s="373">
        <f t="shared" si="38"/>
        <v>-43.677694073608549</v>
      </c>
      <c r="Y85" s="373">
        <f t="shared" si="38"/>
        <v>-41.584386733190307</v>
      </c>
      <c r="Z85" s="373">
        <f t="shared" si="38"/>
        <v>-47.147200214399732</v>
      </c>
      <c r="AA85" s="373">
        <f t="shared" si="38"/>
        <v>-44.30099594617888</v>
      </c>
      <c r="AB85" s="373">
        <f t="shared" si="38"/>
        <v>-47.681785472591272</v>
      </c>
      <c r="AC85" s="373">
        <f t="shared" si="38"/>
        <v>-51.657689250637972</v>
      </c>
      <c r="AD85" s="373">
        <f t="shared" si="38"/>
        <v>-56.913315826059815</v>
      </c>
      <c r="AE85" s="373">
        <f t="shared" si="38"/>
        <v>-61.926484069202644</v>
      </c>
      <c r="AF85" s="373">
        <f t="shared" si="38"/>
        <v>-54.527982458742926</v>
      </c>
      <c r="AG85" s="373">
        <f t="shared" si="38"/>
        <v>-55.660134014809529</v>
      </c>
      <c r="AH85" s="373">
        <f t="shared" ref="AH85:AI85" si="39">-(100-((AH83/$B$83)*100))</f>
        <v>-56.571954037914821</v>
      </c>
      <c r="AI85" s="381">
        <f t="shared" si="39"/>
        <v>-60.015149471257153</v>
      </c>
      <c r="AJ85" s="381"/>
      <c r="AK85" s="381"/>
      <c r="AL85" s="381"/>
      <c r="AM85" s="381"/>
      <c r="AN85" s="381"/>
      <c r="AO85" s="381"/>
      <c r="AP85" s="381"/>
      <c r="AS85" s="280"/>
      <c r="AT85" s="280"/>
      <c r="AU85" s="280"/>
      <c r="BB85" s="108"/>
    </row>
    <row r="86" spans="1:54" s="28" customFormat="1" x14ac:dyDescent="0.4">
      <c r="A86" s="374" t="s">
        <v>47</v>
      </c>
      <c r="C86" s="280"/>
      <c r="D86" s="280"/>
      <c r="E86" s="280"/>
      <c r="F86" s="280"/>
      <c r="G86" s="280"/>
      <c r="H86" s="280"/>
      <c r="I86" s="280"/>
      <c r="J86" s="280"/>
      <c r="K86" s="280"/>
      <c r="L86" s="280"/>
      <c r="M86" s="280"/>
      <c r="N86" s="280"/>
      <c r="O86" s="280"/>
      <c r="P86" s="280"/>
      <c r="Q86" s="280"/>
      <c r="R86" s="280"/>
      <c r="S86" s="280"/>
      <c r="T86" s="280"/>
      <c r="U86" s="280"/>
      <c r="V86" s="280"/>
      <c r="W86" s="280"/>
      <c r="X86" s="280"/>
      <c r="Y86" s="280"/>
      <c r="Z86" s="280"/>
      <c r="AA86" s="280"/>
      <c r="AB86" s="280"/>
      <c r="AC86" s="280"/>
      <c r="AD86" s="280"/>
      <c r="AE86" s="375"/>
      <c r="AF86" s="375"/>
      <c r="AG86" s="375"/>
      <c r="AH86" s="375"/>
      <c r="AI86" s="375"/>
      <c r="AJ86" s="1031"/>
      <c r="AK86" s="1033">
        <v>13.2</v>
      </c>
      <c r="AL86" s="1031"/>
      <c r="AM86" s="1031"/>
      <c r="AN86" s="1031"/>
      <c r="AO86" s="1031"/>
      <c r="AP86" s="1031"/>
      <c r="AS86" s="280"/>
      <c r="AT86" s="280"/>
      <c r="AU86" s="280"/>
      <c r="BB86" s="108"/>
    </row>
    <row r="87" spans="1:54" s="28" customFormat="1" x14ac:dyDescent="0.4">
      <c r="A87" s="374" t="s">
        <v>48</v>
      </c>
      <c r="C87" s="280"/>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1"/>
      <c r="AK87" s="281"/>
      <c r="AL87" s="281"/>
      <c r="AM87" s="281"/>
      <c r="AN87" s="281"/>
      <c r="AO87" s="281"/>
      <c r="AP87" s="1034">
        <v>8.4</v>
      </c>
      <c r="AS87" s="280"/>
      <c r="AT87" s="280"/>
      <c r="AU87" s="280"/>
      <c r="BB87" s="108"/>
    </row>
    <row r="88" spans="1:54" s="28" customFormat="1" ht="16.5" thickBot="1" x14ac:dyDescent="0.45">
      <c r="A88" s="376" t="s">
        <v>49</v>
      </c>
      <c r="B88" s="377">
        <f>B83*(1-0.93)</f>
        <v>1.9713701931081291</v>
      </c>
      <c r="C88" s="349"/>
      <c r="D88" s="349"/>
      <c r="E88" s="349"/>
      <c r="F88" s="349"/>
      <c r="G88" s="349"/>
      <c r="H88" s="349"/>
      <c r="I88" s="349"/>
      <c r="J88" s="349"/>
      <c r="K88" s="349"/>
      <c r="L88" s="349"/>
      <c r="M88" s="349"/>
      <c r="N88" s="349"/>
      <c r="O88" s="349"/>
      <c r="P88" s="349"/>
      <c r="Q88" s="349"/>
      <c r="R88" s="349"/>
      <c r="S88" s="349"/>
      <c r="T88" s="349"/>
      <c r="U88" s="349"/>
      <c r="V88" s="349"/>
      <c r="W88" s="349"/>
      <c r="X88" s="349"/>
      <c r="Y88" s="349"/>
      <c r="Z88" s="349"/>
      <c r="AA88" s="349"/>
      <c r="AB88" s="349"/>
      <c r="AC88" s="349"/>
      <c r="AD88" s="349"/>
      <c r="AE88" s="349"/>
      <c r="AF88" s="349"/>
      <c r="AG88" s="349"/>
      <c r="AH88" s="349"/>
      <c r="AI88" s="382"/>
      <c r="AJ88" s="1032"/>
      <c r="AK88" s="1032"/>
      <c r="AL88" s="1032"/>
      <c r="AM88" s="1032"/>
      <c r="AN88" s="1032"/>
      <c r="AO88" s="1032"/>
      <c r="AP88" s="1032"/>
      <c r="AS88" s="280"/>
      <c r="AT88" s="280"/>
      <c r="AU88" s="280"/>
      <c r="BB88" s="108"/>
    </row>
    <row r="89" spans="1:54" s="28" customFormat="1" x14ac:dyDescent="0.4">
      <c r="A89" s="389" t="s">
        <v>1063</v>
      </c>
      <c r="B89" s="363"/>
      <c r="C89" s="280"/>
      <c r="D89" s="280"/>
      <c r="E89" s="280"/>
      <c r="F89" s="280"/>
      <c r="G89" s="280"/>
      <c r="H89" s="280"/>
      <c r="I89" s="280"/>
      <c r="J89" s="280"/>
      <c r="K89" s="280"/>
      <c r="L89" s="280"/>
      <c r="M89" s="280"/>
      <c r="N89" s="280"/>
      <c r="O89" s="280"/>
      <c r="P89" s="280"/>
      <c r="Q89" s="280"/>
      <c r="R89" s="280"/>
      <c r="S89" s="280"/>
      <c r="T89" s="280"/>
      <c r="U89" s="280"/>
      <c r="V89" s="280"/>
      <c r="W89" s="280"/>
      <c r="X89" s="280"/>
      <c r="Y89" s="280"/>
      <c r="Z89" s="280"/>
      <c r="AA89" s="280"/>
      <c r="AB89" s="280"/>
      <c r="AC89" s="280"/>
      <c r="AD89" s="280"/>
      <c r="AE89" s="280"/>
      <c r="AF89" s="280"/>
      <c r="AG89" s="280"/>
      <c r="AH89" s="280"/>
      <c r="AI89" s="268"/>
      <c r="AJ89" s="280"/>
      <c r="AK89" s="280"/>
      <c r="AL89" s="280"/>
      <c r="AM89" s="280"/>
      <c r="AN89" s="280"/>
      <c r="AO89" s="280"/>
      <c r="AP89" s="280"/>
      <c r="AS89" s="280"/>
      <c r="AT89" s="280"/>
      <c r="AU89" s="280"/>
      <c r="BB89" s="108"/>
    </row>
    <row r="90" spans="1:54" s="28" customFormat="1" x14ac:dyDescent="0.4">
      <c r="A90" s="91"/>
      <c r="B90" s="363"/>
      <c r="C90" s="280"/>
      <c r="D90" s="280"/>
      <c r="E90" s="280"/>
      <c r="F90" s="280"/>
      <c r="G90" s="280"/>
      <c r="H90" s="280"/>
      <c r="I90" s="280"/>
      <c r="J90" s="280"/>
      <c r="K90" s="280"/>
      <c r="L90" s="280"/>
      <c r="M90" s="280"/>
      <c r="N90" s="280"/>
      <c r="O90" s="280"/>
      <c r="P90" s="280"/>
      <c r="Q90" s="280"/>
      <c r="R90" s="280"/>
      <c r="S90" s="280"/>
      <c r="T90" s="280"/>
      <c r="U90" s="280"/>
      <c r="V90" s="280"/>
      <c r="W90" s="280"/>
      <c r="X90" s="280"/>
      <c r="Y90" s="280"/>
      <c r="Z90" s="280"/>
      <c r="AA90" s="280"/>
      <c r="AB90" s="280"/>
      <c r="AC90" s="280"/>
      <c r="AD90" s="280"/>
      <c r="AE90" s="280"/>
      <c r="AF90" s="280"/>
      <c r="AG90" s="280"/>
      <c r="AH90" s="280"/>
      <c r="AI90" s="267"/>
      <c r="AJ90" s="280"/>
      <c r="AK90" s="280"/>
      <c r="AL90" s="280"/>
      <c r="AM90" s="280"/>
      <c r="AN90" s="280"/>
      <c r="AO90" s="280"/>
      <c r="AP90" s="280"/>
      <c r="AS90" s="280"/>
      <c r="AT90" s="280"/>
      <c r="AU90" s="280"/>
      <c r="BB90" s="108"/>
    </row>
    <row r="91" spans="1:54" s="28" customFormat="1" ht="17" x14ac:dyDescent="0.45">
      <c r="A91" s="88" t="s">
        <v>1378</v>
      </c>
      <c r="B91" s="363"/>
      <c r="C91" s="280"/>
      <c r="D91" s="280"/>
      <c r="E91" s="280"/>
      <c r="F91" s="280"/>
      <c r="G91" s="280"/>
      <c r="H91" s="280"/>
      <c r="I91" s="280"/>
      <c r="J91" s="280"/>
      <c r="K91" s="280"/>
      <c r="L91" s="280"/>
      <c r="M91" s="280"/>
      <c r="N91" s="280"/>
      <c r="O91" s="280"/>
      <c r="P91" s="280"/>
      <c r="Q91" s="280"/>
      <c r="R91" s="280"/>
      <c r="S91" s="280"/>
      <c r="T91" s="280"/>
      <c r="U91" s="280"/>
      <c r="V91" s="280"/>
      <c r="W91" s="280"/>
      <c r="X91" s="280"/>
      <c r="Y91" s="280"/>
      <c r="Z91" s="280"/>
      <c r="AA91" s="280"/>
      <c r="AB91" s="280"/>
      <c r="AC91" s="280"/>
      <c r="AD91" s="280"/>
      <c r="AE91" s="280"/>
      <c r="AF91" s="280"/>
      <c r="AG91" s="280"/>
      <c r="AH91" s="280"/>
      <c r="AI91" s="267"/>
      <c r="AJ91" s="1013" t="s">
        <v>0</v>
      </c>
      <c r="AK91" s="280"/>
      <c r="AL91" s="280"/>
      <c r="AM91" s="280"/>
      <c r="AN91" s="280"/>
      <c r="AO91" s="280"/>
      <c r="AP91" s="280"/>
      <c r="AS91" s="280"/>
      <c r="AT91" s="280"/>
      <c r="AU91" s="280"/>
      <c r="BB91" s="108"/>
    </row>
    <row r="92" spans="1:54" s="86" customFormat="1" ht="16.5" thickBot="1" x14ac:dyDescent="0.45">
      <c r="A92" s="88" t="s">
        <v>752</v>
      </c>
      <c r="B92" s="977" t="s">
        <v>391</v>
      </c>
      <c r="C92" s="975" t="s">
        <v>392</v>
      </c>
      <c r="D92" s="975" t="s">
        <v>393</v>
      </c>
      <c r="E92" s="975" t="s">
        <v>394</v>
      </c>
      <c r="F92" s="975" t="s">
        <v>395</v>
      </c>
      <c r="G92" s="975" t="s">
        <v>396</v>
      </c>
      <c r="H92" s="975" t="s">
        <v>397</v>
      </c>
      <c r="I92" s="975" t="s">
        <v>398</v>
      </c>
      <c r="J92" s="975" t="s">
        <v>399</v>
      </c>
      <c r="K92" s="975" t="s">
        <v>400</v>
      </c>
      <c r="L92" s="975" t="s">
        <v>401</v>
      </c>
      <c r="M92" s="975" t="s">
        <v>402</v>
      </c>
      <c r="N92" s="975" t="s">
        <v>403</v>
      </c>
      <c r="O92" s="975" t="s">
        <v>404</v>
      </c>
      <c r="P92" s="975" t="s">
        <v>405</v>
      </c>
      <c r="Q92" s="975" t="s">
        <v>406</v>
      </c>
      <c r="R92" s="975" t="s">
        <v>407</v>
      </c>
      <c r="S92" s="975" t="s">
        <v>408</v>
      </c>
      <c r="T92" s="975" t="s">
        <v>409</v>
      </c>
      <c r="U92" s="975" t="s">
        <v>410</v>
      </c>
      <c r="V92" s="975" t="s">
        <v>411</v>
      </c>
      <c r="W92" s="975" t="s">
        <v>412</v>
      </c>
      <c r="X92" s="975" t="s">
        <v>413</v>
      </c>
      <c r="Y92" s="975" t="s">
        <v>414</v>
      </c>
      <c r="Z92" s="975" t="s">
        <v>415</v>
      </c>
      <c r="AA92" s="975" t="s">
        <v>416</v>
      </c>
      <c r="AB92" s="975" t="s">
        <v>417</v>
      </c>
      <c r="AC92" s="975" t="s">
        <v>418</v>
      </c>
      <c r="AD92" s="975" t="s">
        <v>419</v>
      </c>
      <c r="AE92" s="975" t="s">
        <v>420</v>
      </c>
      <c r="AF92" s="975" t="s">
        <v>421</v>
      </c>
      <c r="AG92" s="975" t="s">
        <v>422</v>
      </c>
      <c r="AH92" s="975" t="s">
        <v>423</v>
      </c>
      <c r="AI92" s="975" t="s">
        <v>424</v>
      </c>
      <c r="AJ92" s="975" t="s">
        <v>425</v>
      </c>
      <c r="AK92" s="975" t="s">
        <v>426</v>
      </c>
      <c r="AL92" s="975" t="s">
        <v>477</v>
      </c>
      <c r="AM92" s="975" t="s">
        <v>478</v>
      </c>
      <c r="AN92" s="975" t="s">
        <v>479</v>
      </c>
      <c r="AO92" s="975" t="s">
        <v>480</v>
      </c>
      <c r="AP92" s="975" t="s">
        <v>481</v>
      </c>
      <c r="AS92" s="230"/>
      <c r="AT92" s="230"/>
      <c r="AU92" s="230"/>
      <c r="BB92" s="230"/>
    </row>
    <row r="93" spans="1:54" ht="17" x14ac:dyDescent="0.45">
      <c r="A93" s="387" t="s">
        <v>471</v>
      </c>
      <c r="B93" s="314">
        <f>'NG Sum Distribution PostMeter'!C58</f>
        <v>1.8677651258656023</v>
      </c>
      <c r="C93" s="314">
        <f>'NG Sum Distribution PostMeter'!D58</f>
        <v>1.852887425897749</v>
      </c>
      <c r="D93" s="314">
        <f>'NG Sum Distribution PostMeter'!E58</f>
        <v>1.8397743556365582</v>
      </c>
      <c r="E93" s="314">
        <f>'NG Sum Distribution PostMeter'!F58</f>
        <v>1.7613444610359528</v>
      </c>
      <c r="F93" s="314">
        <f>'NG Sum Distribution PostMeter'!G58</f>
        <v>1.7049153610944481</v>
      </c>
      <c r="G93" s="314">
        <f>'NG Sum Distribution PostMeter'!H58</f>
        <v>1.6709702656070302</v>
      </c>
      <c r="H93" s="314">
        <f>'NG Sum Distribution PostMeter'!I58</f>
        <v>1.5924548496297186</v>
      </c>
      <c r="I93" s="314">
        <f>'NG Sum Distribution PostMeter'!J58</f>
        <v>1.5411686000890501</v>
      </c>
      <c r="J93" s="314">
        <f>'NG Sum Distribution PostMeter'!K58</f>
        <v>1.4818949902988792</v>
      </c>
      <c r="K93" s="314">
        <f>'NG Sum Distribution PostMeter'!L58</f>
        <v>1.4228973383008028</v>
      </c>
      <c r="L93" s="314">
        <f>'NG Sum Distribution PostMeter'!M58</f>
        <v>1.3849041465119019</v>
      </c>
      <c r="M93" s="314">
        <f>'NG Sum Distribution PostMeter'!N58</f>
        <v>1.3148628860365357</v>
      </c>
      <c r="N93" s="314">
        <f>'NG Sum Distribution PostMeter'!O58</f>
        <v>1.2775637306450169</v>
      </c>
      <c r="O93" s="314">
        <f>'NG Sum Distribution PostMeter'!P58</f>
        <v>1.2248834953868954</v>
      </c>
      <c r="P93" s="314">
        <f>'NG Sum Distribution PostMeter'!Q58</f>
        <v>1.2096454508131458</v>
      </c>
      <c r="Q93" s="314">
        <f>'NG Sum Distribution PostMeter'!R58</f>
        <v>1.116769011294539</v>
      </c>
      <c r="R93" s="314">
        <f>'NG Sum Distribution PostMeter'!S58</f>
        <v>1.0773854569526293</v>
      </c>
      <c r="S93" s="314">
        <f>'NG Sum Distribution PostMeter'!T58</f>
        <v>1.0341021055848827</v>
      </c>
      <c r="T93" s="314">
        <f>'NG Sum Distribution PostMeter'!U58</f>
        <v>1.0261355902109481</v>
      </c>
      <c r="U93" s="314">
        <f>'NG Sum Distribution PostMeter'!V58</f>
        <v>0.97574211006229161</v>
      </c>
      <c r="V93" s="314">
        <f>'NG Sum Distribution PostMeter'!W58</f>
        <v>0.98651781200941091</v>
      </c>
      <c r="W93" s="314">
        <f>'NG Sum Distribution PostMeter'!X58</f>
        <v>0.79998790658513363</v>
      </c>
      <c r="X93" s="314">
        <f>'NG Sum Distribution PostMeter'!Y58</f>
        <v>0.79980448829054263</v>
      </c>
      <c r="Y93" s="314">
        <f>'NG Sum Distribution PostMeter'!Z58</f>
        <v>0.78487067159526325</v>
      </c>
      <c r="Z93" s="314">
        <f>'NG Sum Distribution PostMeter'!AA58</f>
        <v>0.75976893464181838</v>
      </c>
      <c r="AA93" s="314">
        <f>'NG Sum Distribution PostMeter'!AB58</f>
        <v>0.79756121017191395</v>
      </c>
      <c r="AB93" s="314">
        <f>'NG Sum Distribution PostMeter'!AC58</f>
        <v>0.77716355555855188</v>
      </c>
      <c r="AC93" s="314">
        <f>'NG Sum Distribution PostMeter'!AD58</f>
        <v>0.73524508776400288</v>
      </c>
      <c r="AD93" s="314">
        <f>'NG Sum Distribution PostMeter'!AE58</f>
        <v>0.72053532011706112</v>
      </c>
      <c r="AE93" s="314">
        <f>'NG Sum Distribution PostMeter'!AF58</f>
        <v>0.71879595083025949</v>
      </c>
      <c r="AF93" s="314">
        <f>'NG Sum Distribution PostMeter'!AG58</f>
        <v>0.74193958504154822</v>
      </c>
      <c r="AG93" s="314">
        <f>'NG Sum Distribution PostMeter'!AH58</f>
        <v>0.71349693568858763</v>
      </c>
      <c r="AH93" s="314">
        <f>'NG Sum Distribution PostMeter'!AI58</f>
        <v>0.73924386892764438</v>
      </c>
      <c r="AI93" s="314">
        <f>'NG Sum Distribution PostMeter'!AJ58</f>
        <v>0.70636312077249741</v>
      </c>
      <c r="AJ93" s="1039">
        <f>'NG Sum Distribution PostMeter'!AK58</f>
        <v>0</v>
      </c>
      <c r="AK93" s="1039"/>
      <c r="AL93" s="1039"/>
      <c r="AM93" s="1039"/>
      <c r="AN93" s="1039"/>
      <c r="AO93" s="1039"/>
      <c r="AP93" s="1039"/>
      <c r="AS93" s="272"/>
      <c r="AT93" s="272"/>
      <c r="AU93" s="272"/>
    </row>
    <row r="94" spans="1:54" x14ac:dyDescent="0.4">
      <c r="A94" s="1166" t="s">
        <v>944</v>
      </c>
      <c r="B94" s="283">
        <f>'NG Sum Distribution PostMeter'!C59</f>
        <v>1.5978344104930755</v>
      </c>
      <c r="C94" s="283">
        <f>'NG Sum Distribution PostMeter'!D59</f>
        <v>1.5744995003524025</v>
      </c>
      <c r="D94" s="283">
        <f>'NG Sum Distribution PostMeter'!E59</f>
        <v>1.5525396891083991</v>
      </c>
      <c r="E94" s="283">
        <f>'NG Sum Distribution PostMeter'!F59</f>
        <v>1.4732757825207252</v>
      </c>
      <c r="F94" s="283">
        <f>'NG Sum Distribution PostMeter'!G59</f>
        <v>1.4132656546896274</v>
      </c>
      <c r="G94" s="283">
        <f>'NG Sum Distribution PostMeter'!H59</f>
        <v>1.3725407205561477</v>
      </c>
      <c r="H94" s="283">
        <f>'NG Sum Distribution PostMeter'!I59</f>
        <v>1.3037231351316354</v>
      </c>
      <c r="I94" s="283">
        <f>'NG Sum Distribution PostMeter'!J59</f>
        <v>1.2477696348879694</v>
      </c>
      <c r="J94" s="283">
        <f>'NG Sum Distribution PostMeter'!K59</f>
        <v>1.1936516917602449</v>
      </c>
      <c r="K94" s="283">
        <f>'NG Sum Distribution PostMeter'!L59</f>
        <v>1.1331753442114545</v>
      </c>
      <c r="L94" s="283">
        <f>'NG Sum Distribution PostMeter'!M59</f>
        <v>1.0946801811538924</v>
      </c>
      <c r="M94" s="283">
        <f>'NG Sum Distribution PostMeter'!N59</f>
        <v>1.0208406174807614</v>
      </c>
      <c r="N94" s="283">
        <f>'NG Sum Distribution PostMeter'!O59</f>
        <v>0.97403644267529255</v>
      </c>
      <c r="O94" s="283">
        <f>'NG Sum Distribution PostMeter'!P59</f>
        <v>0.92289323110311328</v>
      </c>
      <c r="P94" s="283">
        <f>'NG Sum Distribution PostMeter'!Q59</f>
        <v>0.91266786766907015</v>
      </c>
      <c r="Q94" s="283">
        <f>'NG Sum Distribution PostMeter'!R59</f>
        <v>0.82258364391252681</v>
      </c>
      <c r="R94" s="283">
        <f>'NG Sum Distribution PostMeter'!S59</f>
        <v>0.77776712526721936</v>
      </c>
      <c r="S94" s="283">
        <f>'NG Sum Distribution PostMeter'!T59</f>
        <v>0.73062490579659056</v>
      </c>
      <c r="T94" s="283">
        <f>'NG Sum Distribution PostMeter'!U59</f>
        <v>0.68731440940452193</v>
      </c>
      <c r="U94" s="283">
        <f>'NG Sum Distribution PostMeter'!V59</f>
        <v>0.64057133180261028</v>
      </c>
      <c r="V94" s="283">
        <f>'NG Sum Distribution PostMeter'!W59</f>
        <v>0.59573799505490954</v>
      </c>
      <c r="W94" s="283">
        <f>'NG Sum Distribution PostMeter'!X59</f>
        <v>0.54078420626890666</v>
      </c>
      <c r="X94" s="283">
        <f>'NG Sum Distribution PostMeter'!Y59</f>
        <v>0.53458207946995173</v>
      </c>
      <c r="Y94" s="283">
        <f>'NG Sum Distribution PostMeter'!Z59</f>
        <v>0.52664279834755212</v>
      </c>
      <c r="Z94" s="283">
        <f>'NG Sum Distribution PostMeter'!AA59</f>
        <v>0.50954189145520212</v>
      </c>
      <c r="AA94" s="283">
        <f>'NG Sum Distribution PostMeter'!AB59</f>
        <v>0.50378502705626149</v>
      </c>
      <c r="AB94" s="283">
        <f>'NG Sum Distribution PostMeter'!AC59</f>
        <v>0.49773452890923608</v>
      </c>
      <c r="AC94" s="283">
        <f>'NG Sum Distribution PostMeter'!AD59</f>
        <v>0.48565787154907947</v>
      </c>
      <c r="AD94" s="283">
        <f>'NG Sum Distribution PostMeter'!AE59</f>
        <v>0.47982677177980365</v>
      </c>
      <c r="AE94" s="280">
        <f>'NG Sum Distribution PostMeter'!AF59</f>
        <v>0.46923153622030983</v>
      </c>
      <c r="AF94" s="280">
        <f>'NG Sum Distribution PostMeter'!AG59</f>
        <v>0.49600310092807481</v>
      </c>
      <c r="AG94" s="280">
        <f>'NG Sum Distribution PostMeter'!AH59</f>
        <v>0.45337507613120814</v>
      </c>
      <c r="AH94" s="280">
        <f>'NG Sum Distribution PostMeter'!AI59</f>
        <v>0.46540339594046104</v>
      </c>
      <c r="AI94" s="280">
        <f>'NG Sum Distribution PostMeter'!AJ59</f>
        <v>0.43733813930658233</v>
      </c>
      <c r="AJ94" s="1014">
        <f>'NG Sum Distribution PostMeter'!AK59</f>
        <v>0</v>
      </c>
      <c r="AK94" s="1014"/>
      <c r="AL94" s="1014"/>
      <c r="AM94" s="1014"/>
      <c r="AN94" s="1014"/>
      <c r="AO94" s="1014"/>
      <c r="AP94" s="1014"/>
      <c r="AS94" s="280"/>
      <c r="AT94" s="280"/>
      <c r="AU94" s="280"/>
    </row>
    <row r="95" spans="1:54" x14ac:dyDescent="0.4">
      <c r="A95" s="1166" t="s">
        <v>943</v>
      </c>
      <c r="B95" s="283">
        <f>'NG Sum Distribution PostMeter'!C60</f>
        <v>0.10028273414189426</v>
      </c>
      <c r="C95" s="283">
        <f>'NG Sum Distribution PostMeter'!D60</f>
        <v>0.10363735001728629</v>
      </c>
      <c r="D95" s="283">
        <f>'NG Sum Distribution PostMeter'!E60</f>
        <v>0.11247632557743603</v>
      </c>
      <c r="E95" s="283">
        <f>'NG Sum Distribution PostMeter'!F60</f>
        <v>0.11533027634693506</v>
      </c>
      <c r="F95" s="283">
        <f>'NG Sum Distribution PostMeter'!G60</f>
        <v>0.12087337113746273</v>
      </c>
      <c r="G95" s="283">
        <f>'NG Sum Distribution PostMeter'!H60</f>
        <v>0.12972626806828566</v>
      </c>
      <c r="H95" s="283">
        <f>'NG Sum Distribution PostMeter'!I60</f>
        <v>0.12174424099633757</v>
      </c>
      <c r="I95" s="283">
        <f>'NG Sum Distribution PostMeter'!J60</f>
        <v>0.1284245855777443</v>
      </c>
      <c r="J95" s="283">
        <f>'NG Sum Distribution PostMeter'!K60</f>
        <v>0.12519846726315653</v>
      </c>
      <c r="K95" s="283">
        <f>'NG Sum Distribution PostMeter'!L60</f>
        <v>0.12846620466570755</v>
      </c>
      <c r="L95" s="283">
        <f>'NG Sum Distribution PostMeter'!M60</f>
        <v>0.12874664168377201</v>
      </c>
      <c r="M95" s="283">
        <f>'NG Sum Distribution PostMeter'!N60</f>
        <v>0.13400500815960389</v>
      </c>
      <c r="N95" s="283">
        <f>'NG Sum Distribution PostMeter'!O60</f>
        <v>0.14525681159038553</v>
      </c>
      <c r="O95" s="283">
        <f>'NG Sum Distribution PostMeter'!P60</f>
        <v>0.14604649522629951</v>
      </c>
      <c r="P95" s="283">
        <f>'NG Sum Distribution PostMeter'!Q60</f>
        <v>0.14229810812674243</v>
      </c>
      <c r="Q95" s="283">
        <f>'NG Sum Distribution PostMeter'!R60</f>
        <v>0.14130216903951076</v>
      </c>
      <c r="R95" s="283">
        <f>'NG Sum Distribution PostMeter'!S60</f>
        <v>0.14932399099451979</v>
      </c>
      <c r="S95" s="283">
        <f>'NG Sum Distribution PostMeter'!T60</f>
        <v>0.15450247449399643</v>
      </c>
      <c r="T95" s="283">
        <f>'NG Sum Distribution PostMeter'!U60</f>
        <v>0.14643074980260037</v>
      </c>
      <c r="U95" s="283">
        <f>'NG Sum Distribution PostMeter'!V60</f>
        <v>0.14460513754379603</v>
      </c>
      <c r="V95" s="283">
        <f>'NG Sum Distribution PostMeter'!W60</f>
        <v>0.15718783926651217</v>
      </c>
      <c r="W95" s="283">
        <f>'NG Sum Distribution PostMeter'!X60</f>
        <v>0.15814119016130063</v>
      </c>
      <c r="X95" s="283">
        <f>'NG Sum Distribution PostMeter'!Y60</f>
        <v>0.15938986567023478</v>
      </c>
      <c r="Y95" s="283">
        <f>'NG Sum Distribution PostMeter'!Z60</f>
        <v>0.15232631048823717</v>
      </c>
      <c r="Z95" s="283">
        <f>'NG Sum Distribution PostMeter'!AA60</f>
        <v>0.14599002496357111</v>
      </c>
      <c r="AA95" s="283">
        <f>'NG Sum Distribution PostMeter'!AB60</f>
        <v>0.15471027522588099</v>
      </c>
      <c r="AB95" s="283">
        <f>'NG Sum Distribution PostMeter'!AC60</f>
        <v>0.15677141575052927</v>
      </c>
      <c r="AC95" s="283">
        <f>'NG Sum Distribution PostMeter'!AD60</f>
        <v>0.18140013829017992</v>
      </c>
      <c r="AD95" s="283">
        <f>'NG Sum Distribution PostMeter'!AE60</f>
        <v>0.17458219018695734</v>
      </c>
      <c r="AE95" s="283">
        <f>'NG Sum Distribution PostMeter'!AF60</f>
        <v>0.17171954579969456</v>
      </c>
      <c r="AF95" s="283">
        <f>'NG Sum Distribution PostMeter'!AG60</f>
        <v>0.17331978420371233</v>
      </c>
      <c r="AG95" s="283">
        <f>'NG Sum Distribution PostMeter'!AH60</f>
        <v>0.17331991137645789</v>
      </c>
      <c r="AH95" s="283">
        <f>'NG Sum Distribution PostMeter'!AI60</f>
        <v>0.17581198985222868</v>
      </c>
      <c r="AI95" s="283">
        <f>'NG Sum Distribution PostMeter'!AJ60</f>
        <v>0.1699778491975471</v>
      </c>
      <c r="AJ95" s="1014">
        <f>'NG Sum Distribution PostMeter'!AK60</f>
        <v>0</v>
      </c>
      <c r="AK95" s="1014"/>
      <c r="AL95" s="1014"/>
      <c r="AM95" s="1014"/>
      <c r="AN95" s="1014"/>
      <c r="AO95" s="1014"/>
      <c r="AP95" s="1014"/>
      <c r="AS95" s="280"/>
      <c r="AT95" s="280"/>
      <c r="AU95" s="280"/>
    </row>
    <row r="96" spans="1:54" x14ac:dyDescent="0.4">
      <c r="A96" s="1166" t="s">
        <v>19</v>
      </c>
      <c r="B96" s="283">
        <f>'NG Sum Distribution PostMeter'!C61</f>
        <v>0.16964798123063266</v>
      </c>
      <c r="C96" s="283">
        <f>'NG Sum Distribution PostMeter'!D61</f>
        <v>0.17475057552806023</v>
      </c>
      <c r="D96" s="283">
        <f>'NG Sum Distribution PostMeter'!E61</f>
        <v>0.17475834095072315</v>
      </c>
      <c r="E96" s="283">
        <f>'NG Sum Distribution PostMeter'!F61</f>
        <v>0.17273840216829248</v>
      </c>
      <c r="F96" s="283">
        <f>'NG Sum Distribution PostMeter'!G61</f>
        <v>0.17077633526735789</v>
      </c>
      <c r="G96" s="283">
        <f>'NG Sum Distribution PostMeter'!H61</f>
        <v>0.16870327698259682</v>
      </c>
      <c r="H96" s="283">
        <f>'NG Sum Distribution PostMeter'!I61</f>
        <v>0.16698747350174553</v>
      </c>
      <c r="I96" s="283">
        <f>'NG Sum Distribution PostMeter'!J61</f>
        <v>0.16497437962333633</v>
      </c>
      <c r="J96" s="283">
        <f>'NG Sum Distribution PostMeter'!K61</f>
        <v>0.16304483127547775</v>
      </c>
      <c r="K96" s="283">
        <f>'NG Sum Distribution PostMeter'!L61</f>
        <v>0.16125578942364072</v>
      </c>
      <c r="L96" s="283">
        <f>'NG Sum Distribution PostMeter'!M61</f>
        <v>0.16147732367423742</v>
      </c>
      <c r="M96" s="283">
        <f>'NG Sum Distribution PostMeter'!N61</f>
        <v>0.1600172603961704</v>
      </c>
      <c r="N96" s="283">
        <f>'NG Sum Distribution PostMeter'!O61</f>
        <v>0.15827047637933872</v>
      </c>
      <c r="O96" s="283">
        <f>'NG Sum Distribution PostMeter'!P61</f>
        <v>0.15594376905748275</v>
      </c>
      <c r="P96" s="283">
        <f>'NG Sum Distribution PostMeter'!Q61</f>
        <v>0.15467947501733323</v>
      </c>
      <c r="Q96" s="283">
        <f>'NG Sum Distribution PostMeter'!R61</f>
        <v>0.15288319834250139</v>
      </c>
      <c r="R96" s="283">
        <f>'NG Sum Distribution PostMeter'!S61</f>
        <v>0.15029434069089012</v>
      </c>
      <c r="S96" s="283">
        <f>'NG Sum Distribution PostMeter'!T61</f>
        <v>0.14897472529429581</v>
      </c>
      <c r="T96" s="283">
        <f>'NG Sum Distribution PostMeter'!U61</f>
        <v>0.1923904310038258</v>
      </c>
      <c r="U96" s="283">
        <f>'NG Sum Distribution PostMeter'!V61</f>
        <v>0.19056564071588536</v>
      </c>
      <c r="V96" s="283">
        <f>'NG Sum Distribution PostMeter'!W61</f>
        <v>0.23359197768798926</v>
      </c>
      <c r="W96" s="283">
        <f>'NG Sum Distribution PostMeter'!X61</f>
        <v>0.10106251015492639</v>
      </c>
      <c r="X96" s="283">
        <f>'NG Sum Distribution PostMeter'!Y61</f>
        <v>0.10583254315035609</v>
      </c>
      <c r="Y96" s="283">
        <f>'NG Sum Distribution PostMeter'!Z61</f>
        <v>0.10590156275947388</v>
      </c>
      <c r="Z96" s="283">
        <f>'NG Sum Distribution PostMeter'!AA61</f>
        <v>0.10423701822304517</v>
      </c>
      <c r="AA96" s="283">
        <f>'NG Sum Distribution PostMeter'!AB61</f>
        <v>0.13906590788977144</v>
      </c>
      <c r="AB96" s="283">
        <f>'NG Sum Distribution PostMeter'!AC61</f>
        <v>0.12265761089878646</v>
      </c>
      <c r="AC96" s="283">
        <f>'NG Sum Distribution PostMeter'!AD61</f>
        <v>6.8187077924743517E-2</v>
      </c>
      <c r="AD96" s="283">
        <f>'NG Sum Distribution PostMeter'!AE61</f>
        <v>6.612635815030013E-2</v>
      </c>
      <c r="AE96" s="280">
        <f>'NG Sum Distribution PostMeter'!AF61</f>
        <v>7.7844868810255041E-2</v>
      </c>
      <c r="AF96" s="280">
        <f>'NG Sum Distribution PostMeter'!AG61</f>
        <v>7.2616699909761065E-2</v>
      </c>
      <c r="AG96" s="280">
        <f>'NG Sum Distribution PostMeter'!AH61</f>
        <v>8.6801948180921656E-2</v>
      </c>
      <c r="AH96" s="280">
        <f>'NG Sum Distribution PostMeter'!AI61</f>
        <v>9.802848313495463E-2</v>
      </c>
      <c r="AI96" s="280">
        <f>'NG Sum Distribution PostMeter'!AJ61</f>
        <v>9.9047132268368018E-2</v>
      </c>
      <c r="AJ96" s="1014">
        <f>'NG Sum Distribution PostMeter'!AK61</f>
        <v>0</v>
      </c>
      <c r="AK96" s="1014"/>
      <c r="AL96" s="1014"/>
      <c r="AM96" s="1014"/>
      <c r="AN96" s="1014"/>
      <c r="AO96" s="1014"/>
      <c r="AP96" s="1014"/>
      <c r="AS96" s="272"/>
      <c r="AT96" s="272"/>
      <c r="AU96" s="272"/>
    </row>
    <row r="97" spans="1:54" s="28" customFormat="1" x14ac:dyDescent="0.4">
      <c r="A97" s="379" t="s">
        <v>18</v>
      </c>
      <c r="B97" s="380">
        <f>B93</f>
        <v>1.8677651258656023</v>
      </c>
      <c r="C97" s="373">
        <f>C93</f>
        <v>1.852887425897749</v>
      </c>
      <c r="D97" s="373">
        <f t="shared" ref="D97:AF97" si="40">D93</f>
        <v>1.8397743556365582</v>
      </c>
      <c r="E97" s="373">
        <f t="shared" si="40"/>
        <v>1.7613444610359528</v>
      </c>
      <c r="F97" s="373">
        <f t="shared" si="40"/>
        <v>1.7049153610944481</v>
      </c>
      <c r="G97" s="373">
        <f t="shared" si="40"/>
        <v>1.6709702656070302</v>
      </c>
      <c r="H97" s="373">
        <f t="shared" si="40"/>
        <v>1.5924548496297186</v>
      </c>
      <c r="I97" s="373">
        <f t="shared" si="40"/>
        <v>1.5411686000890501</v>
      </c>
      <c r="J97" s="373">
        <f t="shared" si="40"/>
        <v>1.4818949902988792</v>
      </c>
      <c r="K97" s="373">
        <f t="shared" si="40"/>
        <v>1.4228973383008028</v>
      </c>
      <c r="L97" s="373">
        <f t="shared" si="40"/>
        <v>1.3849041465119019</v>
      </c>
      <c r="M97" s="373">
        <f t="shared" si="40"/>
        <v>1.3148628860365357</v>
      </c>
      <c r="N97" s="373">
        <f t="shared" si="40"/>
        <v>1.2775637306450169</v>
      </c>
      <c r="O97" s="373">
        <f t="shared" si="40"/>
        <v>1.2248834953868954</v>
      </c>
      <c r="P97" s="373">
        <f t="shared" si="40"/>
        <v>1.2096454508131458</v>
      </c>
      <c r="Q97" s="373">
        <f t="shared" si="40"/>
        <v>1.116769011294539</v>
      </c>
      <c r="R97" s="373">
        <f t="shared" si="40"/>
        <v>1.0773854569526293</v>
      </c>
      <c r="S97" s="373">
        <f t="shared" si="40"/>
        <v>1.0341021055848827</v>
      </c>
      <c r="T97" s="373">
        <f t="shared" si="40"/>
        <v>1.0261355902109481</v>
      </c>
      <c r="U97" s="373">
        <f t="shared" si="40"/>
        <v>0.97574211006229161</v>
      </c>
      <c r="V97" s="373">
        <f t="shared" si="40"/>
        <v>0.98651781200941091</v>
      </c>
      <c r="W97" s="373">
        <f t="shared" si="40"/>
        <v>0.79998790658513363</v>
      </c>
      <c r="X97" s="373">
        <f t="shared" si="40"/>
        <v>0.79980448829054263</v>
      </c>
      <c r="Y97" s="373">
        <f t="shared" si="40"/>
        <v>0.78487067159526325</v>
      </c>
      <c r="Z97" s="373">
        <f t="shared" si="40"/>
        <v>0.75976893464181838</v>
      </c>
      <c r="AA97" s="373">
        <f t="shared" si="40"/>
        <v>0.79756121017191395</v>
      </c>
      <c r="AB97" s="373">
        <f t="shared" si="40"/>
        <v>0.77716355555855188</v>
      </c>
      <c r="AC97" s="373">
        <f t="shared" si="40"/>
        <v>0.73524508776400288</v>
      </c>
      <c r="AD97" s="373">
        <f t="shared" si="40"/>
        <v>0.72053532011706112</v>
      </c>
      <c r="AE97" s="373">
        <f t="shared" si="40"/>
        <v>0.71879595083025949</v>
      </c>
      <c r="AF97" s="373">
        <f t="shared" si="40"/>
        <v>0.74193958504154822</v>
      </c>
      <c r="AG97" s="373">
        <f t="shared" ref="AG97:AH97" si="41">AG93</f>
        <v>0.71349693568858763</v>
      </c>
      <c r="AH97" s="373">
        <f t="shared" si="41"/>
        <v>0.73924386892764438</v>
      </c>
      <c r="AI97" s="373">
        <f t="shared" ref="AI97" si="42">AI93</f>
        <v>0.70636312077249741</v>
      </c>
      <c r="AJ97" s="373"/>
      <c r="AK97" s="373"/>
      <c r="AL97" s="373"/>
      <c r="AM97" s="373"/>
      <c r="AN97" s="373"/>
      <c r="AO97" s="373"/>
      <c r="AP97" s="373"/>
      <c r="AS97" s="280"/>
      <c r="AT97" s="280"/>
      <c r="AU97" s="280"/>
      <c r="BB97" s="108"/>
    </row>
    <row r="98" spans="1:54" s="28" customFormat="1" x14ac:dyDescent="0.4">
      <c r="A98" s="374" t="s">
        <v>978</v>
      </c>
      <c r="B98" s="380"/>
      <c r="C98" s="373">
        <f>-(100-((C97/B97)*100))</f>
        <v>-0.7965509025637374</v>
      </c>
      <c r="D98" s="373">
        <f t="shared" ref="D98:AI98" si="43">-(100-((D97/C97)*100))</f>
        <v>-0.70771003558607504</v>
      </c>
      <c r="E98" s="373">
        <f t="shared" si="43"/>
        <v>-4.2630170575167625</v>
      </c>
      <c r="F98" s="373">
        <f t="shared" si="43"/>
        <v>-3.2037515199221929</v>
      </c>
      <c r="G98" s="373">
        <f t="shared" si="43"/>
        <v>-1.9910135284151238</v>
      </c>
      <c r="H98" s="373">
        <f t="shared" si="43"/>
        <v>-4.6987919290585722</v>
      </c>
      <c r="I98" s="373">
        <f t="shared" si="43"/>
        <v>-3.2205779367995007</v>
      </c>
      <c r="J98" s="373">
        <f t="shared" si="43"/>
        <v>-3.8460172226936038</v>
      </c>
      <c r="K98" s="373">
        <f t="shared" si="43"/>
        <v>-3.9812302750397492</v>
      </c>
      <c r="L98" s="373">
        <f t="shared" si="43"/>
        <v>-2.6701288115607582</v>
      </c>
      <c r="M98" s="373">
        <f t="shared" si="43"/>
        <v>-5.0574807398603099</v>
      </c>
      <c r="N98" s="373">
        <f t="shared" si="43"/>
        <v>-2.8367334562124285</v>
      </c>
      <c r="O98" s="373">
        <f t="shared" si="43"/>
        <v>-4.1234917675319593</v>
      </c>
      <c r="P98" s="373">
        <f t="shared" si="43"/>
        <v>-1.2440403214786215</v>
      </c>
      <c r="Q98" s="373">
        <f t="shared" si="43"/>
        <v>-7.6779885755924226</v>
      </c>
      <c r="R98" s="373">
        <f t="shared" si="43"/>
        <v>-3.5265622473045681</v>
      </c>
      <c r="S98" s="373">
        <f t="shared" si="43"/>
        <v>-4.0174434403609922</v>
      </c>
      <c r="T98" s="373">
        <f t="shared" si="43"/>
        <v>-0.77037995870135489</v>
      </c>
      <c r="U98" s="373">
        <f t="shared" si="43"/>
        <v>-4.9109962298741578</v>
      </c>
      <c r="V98" s="373">
        <f t="shared" si="43"/>
        <v>1.1043596290449642</v>
      </c>
      <c r="W98" s="373">
        <f t="shared" si="43"/>
        <v>-18.90791054693068</v>
      </c>
      <c r="X98" s="373">
        <f t="shared" si="43"/>
        <v>-2.2927633415605442E-2</v>
      </c>
      <c r="Y98" s="373">
        <f t="shared" si="43"/>
        <v>-1.8671834071846831</v>
      </c>
      <c r="Z98" s="373">
        <f t="shared" si="43"/>
        <v>-3.198200399363273</v>
      </c>
      <c r="AA98" s="373">
        <f t="shared" si="43"/>
        <v>4.9741801496414411</v>
      </c>
      <c r="AB98" s="373">
        <f t="shared" si="43"/>
        <v>-2.5575033430933019</v>
      </c>
      <c r="AC98" s="373">
        <f t="shared" si="43"/>
        <v>-5.393776830466777</v>
      </c>
      <c r="AD98" s="373">
        <f t="shared" si="43"/>
        <v>-2.0006618053955947</v>
      </c>
      <c r="AE98" s="373">
        <f t="shared" si="43"/>
        <v>-0.24139958697917052</v>
      </c>
      <c r="AF98" s="373">
        <f t="shared" si="43"/>
        <v>3.2197780447366569</v>
      </c>
      <c r="AG98" s="373">
        <f t="shared" si="43"/>
        <v>-3.8335532874105667</v>
      </c>
      <c r="AH98" s="373">
        <f t="shared" si="43"/>
        <v>3.6085555454010034</v>
      </c>
      <c r="AI98" s="373">
        <f t="shared" si="43"/>
        <v>-4.4478891928916795</v>
      </c>
      <c r="AJ98" s="373"/>
      <c r="AK98" s="373"/>
      <c r="AL98" s="373"/>
      <c r="AM98" s="373"/>
      <c r="AN98" s="373"/>
      <c r="AO98" s="373"/>
      <c r="AP98" s="373"/>
      <c r="AS98" s="280"/>
      <c r="AT98" s="280"/>
      <c r="AU98" s="280"/>
      <c r="BB98" s="108"/>
    </row>
    <row r="99" spans="1:54" s="28" customFormat="1" ht="16.5" thickBot="1" x14ac:dyDescent="0.45">
      <c r="A99" s="1024" t="s">
        <v>977</v>
      </c>
      <c r="B99" s="380"/>
      <c r="C99" s="373">
        <f>-(100-((C97/$B$97)*100))</f>
        <v>-0.7965509025637374</v>
      </c>
      <c r="D99" s="373">
        <f t="shared" ref="D99:AG99" si="44">-(100-((D97/$B$97)*100))</f>
        <v>-1.4986236674738223</v>
      </c>
      <c r="E99" s="373">
        <f t="shared" si="44"/>
        <v>-5.6977541424181766</v>
      </c>
      <c r="F99" s="373">
        <f t="shared" si="44"/>
        <v>-8.7189637774012283</v>
      </c>
      <c r="G99" s="373">
        <f t="shared" si="44"/>
        <v>-10.536381557470662</v>
      </c>
      <c r="H99" s="373">
        <f t="shared" si="44"/>
        <v>-14.740090840291984</v>
      </c>
      <c r="I99" s="373">
        <f t="shared" si="44"/>
        <v>-17.485952663624843</v>
      </c>
      <c r="J99" s="373">
        <f t="shared" si="44"/>
        <v>-20.659457135323393</v>
      </c>
      <c r="K99" s="373">
        <f t="shared" si="44"/>
        <v>-23.818186848232799</v>
      </c>
      <c r="L99" s="373">
        <f t="shared" si="44"/>
        <v>-25.852339390367504</v>
      </c>
      <c r="M99" s="373">
        <f t="shared" si="44"/>
        <v>-29.602343044756665</v>
      </c>
      <c r="N99" s="373">
        <f t="shared" si="44"/>
        <v>-31.599336931995708</v>
      </c>
      <c r="O99" s="373">
        <f t="shared" si="44"/>
        <v>-34.419832642542133</v>
      </c>
      <c r="P99" s="373">
        <f t="shared" si="44"/>
        <v>-35.235676367362061</v>
      </c>
      <c r="Q99" s="373">
        <f t="shared" si="44"/>
        <v>-40.208273736935716</v>
      </c>
      <c r="R99" s="373">
        <f t="shared" si="44"/>
        <v>-42.316866182340632</v>
      </c>
      <c r="S99" s="373">
        <f t="shared" si="44"/>
        <v>-44.634253458092829</v>
      </c>
      <c r="T99" s="373">
        <f t="shared" si="44"/>
        <v>-45.060780073437066</v>
      </c>
      <c r="U99" s="373">
        <f t="shared" si="44"/>
        <v>-47.758843092752848</v>
      </c>
      <c r="V99" s="373">
        <f t="shared" si="44"/>
        <v>-47.181912846123176</v>
      </c>
      <c r="W99" s="373">
        <f t="shared" si="44"/>
        <v>-57.168709517778098</v>
      </c>
      <c r="X99" s="373">
        <f t="shared" si="44"/>
        <v>-57.178529719047035</v>
      </c>
      <c r="Y99" s="373">
        <f t="shared" si="44"/>
        <v>-57.978085106845512</v>
      </c>
      <c r="Z99" s="373">
        <f t="shared" si="44"/>
        <v>-59.322030156778467</v>
      </c>
      <c r="AA99" s="373">
        <f t="shared" si="44"/>
        <v>-57.298634655559809</v>
      </c>
      <c r="AB99" s="373">
        <f t="shared" si="44"/>
        <v>-58.390723501790355</v>
      </c>
      <c r="AC99" s="373">
        <f t="shared" si="44"/>
        <v>-60.635035016875641</v>
      </c>
      <c r="AD99" s="373">
        <f t="shared" si="44"/>
        <v>-61.422594836000364</v>
      </c>
      <c r="AE99" s="373">
        <f t="shared" si="44"/>
        <v>-61.515720532733539</v>
      </c>
      <c r="AF99" s="373">
        <f t="shared" si="44"/>
        <v>-60.276612151771403</v>
      </c>
      <c r="AG99" s="373">
        <f t="shared" si="44"/>
        <v>-61.79942939249802</v>
      </c>
      <c r="AH99" s="373">
        <f t="shared" ref="AH99:AI99" si="45">-(100-((AH97/$B$97)*100))</f>
        <v>-60.420940583466184</v>
      </c>
      <c r="AI99" s="373">
        <f t="shared" si="45"/>
        <v>-62.181373289902368</v>
      </c>
      <c r="AJ99" s="373"/>
      <c r="AK99" s="373"/>
      <c r="AL99" s="373"/>
      <c r="AM99" s="373"/>
      <c r="AN99" s="373"/>
      <c r="AO99" s="373"/>
      <c r="AP99" s="373"/>
      <c r="AS99" s="280"/>
      <c r="AT99" s="280"/>
      <c r="AU99" s="280"/>
      <c r="BB99" s="108"/>
    </row>
    <row r="100" spans="1:54" s="28" customFormat="1" x14ac:dyDescent="0.4">
      <c r="A100" s="374" t="s">
        <v>50</v>
      </c>
      <c r="C100" s="280"/>
      <c r="D100" s="280"/>
      <c r="E100" s="280"/>
      <c r="F100" s="280"/>
      <c r="G100" s="280"/>
      <c r="H100" s="280"/>
      <c r="I100" s="280"/>
      <c r="J100" s="280"/>
      <c r="K100" s="280"/>
      <c r="L100" s="280"/>
      <c r="M100" s="280"/>
      <c r="N100" s="280"/>
      <c r="O100" s="280"/>
      <c r="P100" s="280"/>
      <c r="Q100" s="280"/>
      <c r="R100" s="280"/>
      <c r="S100" s="280"/>
      <c r="T100" s="280"/>
      <c r="U100" s="280"/>
      <c r="V100" s="280"/>
      <c r="W100" s="280"/>
      <c r="X100" s="280"/>
      <c r="Y100" s="280"/>
      <c r="Z100" s="280"/>
      <c r="AA100" s="280"/>
      <c r="AB100" s="280"/>
      <c r="AC100" s="280"/>
      <c r="AD100" s="280"/>
      <c r="AE100" s="375"/>
      <c r="AF100" s="375"/>
      <c r="AG100" s="375"/>
      <c r="AH100" s="375"/>
      <c r="AI100" s="375"/>
      <c r="AJ100" s="375"/>
      <c r="AK100" s="1020">
        <v>0.4</v>
      </c>
      <c r="AL100" s="375"/>
      <c r="AM100" s="375"/>
      <c r="AN100" s="375"/>
      <c r="AO100" s="375"/>
      <c r="AP100" s="392"/>
      <c r="AS100" s="280"/>
      <c r="AT100" s="280"/>
      <c r="AU100" s="280"/>
      <c r="BB100" s="108"/>
    </row>
    <row r="101" spans="1:54" s="28" customFormat="1" x14ac:dyDescent="0.4">
      <c r="A101" s="374" t="s">
        <v>51</v>
      </c>
      <c r="C101" s="280"/>
      <c r="D101" s="280"/>
      <c r="E101" s="280"/>
      <c r="F101" s="280"/>
      <c r="G101" s="280"/>
      <c r="H101" s="280"/>
      <c r="I101" s="280"/>
      <c r="J101" s="280"/>
      <c r="K101" s="280"/>
      <c r="L101" s="280"/>
      <c r="M101" s="280"/>
      <c r="N101" s="280"/>
      <c r="O101" s="280"/>
      <c r="P101" s="280"/>
      <c r="Q101" s="280"/>
      <c r="R101" s="280"/>
      <c r="S101" s="280"/>
      <c r="T101" s="280"/>
      <c r="U101" s="280"/>
      <c r="V101" s="280"/>
      <c r="W101" s="280"/>
      <c r="X101" s="280"/>
      <c r="Y101" s="280"/>
      <c r="Z101" s="280"/>
      <c r="AA101" s="280"/>
      <c r="AB101" s="280"/>
      <c r="AC101" s="280"/>
      <c r="AD101" s="280"/>
      <c r="AE101" s="280"/>
      <c r="AF101" s="280"/>
      <c r="AG101" s="280"/>
      <c r="AH101" s="280"/>
      <c r="AI101" s="280"/>
      <c r="AJ101" s="280"/>
      <c r="AK101" s="280"/>
      <c r="AL101" s="280"/>
      <c r="AM101" s="280"/>
      <c r="AN101" s="280"/>
      <c r="AO101" s="280"/>
      <c r="AP101" s="391">
        <v>0.4</v>
      </c>
      <c r="AS101" s="280"/>
      <c r="AT101" s="280"/>
      <c r="AU101" s="280"/>
      <c r="BB101" s="108"/>
    </row>
    <row r="102" spans="1:54" s="28" customFormat="1" ht="16.5" thickBot="1" x14ac:dyDescent="0.45">
      <c r="A102" s="376" t="s">
        <v>52</v>
      </c>
      <c r="B102" s="377">
        <f>B97*(1-0.72)</f>
        <v>0.52297423524236863</v>
      </c>
      <c r="C102" s="349"/>
      <c r="D102" s="349"/>
      <c r="E102" s="349"/>
      <c r="F102" s="349"/>
      <c r="G102" s="349"/>
      <c r="H102" s="349"/>
      <c r="I102" s="349"/>
      <c r="J102" s="349"/>
      <c r="K102" s="349"/>
      <c r="L102" s="349"/>
      <c r="M102" s="349"/>
      <c r="N102" s="349"/>
      <c r="O102" s="349"/>
      <c r="P102" s="349"/>
      <c r="Q102" s="349"/>
      <c r="R102" s="349"/>
      <c r="S102" s="349"/>
      <c r="T102" s="349"/>
      <c r="U102" s="349"/>
      <c r="V102" s="349"/>
      <c r="W102" s="349"/>
      <c r="X102" s="349"/>
      <c r="Y102" s="349"/>
      <c r="Z102" s="349"/>
      <c r="AA102" s="349"/>
      <c r="AB102" s="349"/>
      <c r="AC102" s="349"/>
      <c r="AD102" s="349"/>
      <c r="AE102" s="349"/>
      <c r="AF102" s="349"/>
      <c r="AG102" s="349"/>
      <c r="AH102" s="382"/>
      <c r="AI102" s="382"/>
      <c r="AJ102" s="349"/>
      <c r="AK102" s="349"/>
      <c r="AL102" s="349"/>
      <c r="AM102" s="349"/>
      <c r="AN102" s="349"/>
      <c r="AO102" s="349"/>
      <c r="AP102" s="349"/>
      <c r="AS102" s="280"/>
      <c r="AT102" s="280"/>
      <c r="AU102" s="280"/>
      <c r="BB102" s="108"/>
    </row>
    <row r="103" spans="1:54" s="28" customFormat="1" x14ac:dyDescent="0.4">
      <c r="A103" s="389" t="s">
        <v>1063</v>
      </c>
      <c r="B103" s="363"/>
      <c r="C103" s="280"/>
      <c r="D103" s="280"/>
      <c r="E103" s="280"/>
      <c r="F103" s="280"/>
      <c r="G103" s="280"/>
      <c r="H103" s="280"/>
      <c r="I103" s="280"/>
      <c r="J103" s="280"/>
      <c r="K103" s="280"/>
      <c r="L103" s="280"/>
      <c r="M103" s="280"/>
      <c r="N103" s="280"/>
      <c r="O103" s="280"/>
      <c r="P103" s="280"/>
      <c r="Q103" s="280"/>
      <c r="R103" s="280"/>
      <c r="S103" s="280"/>
      <c r="T103" s="280"/>
      <c r="U103" s="280"/>
      <c r="V103" s="280"/>
      <c r="W103" s="280"/>
      <c r="X103" s="280"/>
      <c r="Y103" s="280"/>
      <c r="Z103" s="280"/>
      <c r="AA103" s="280"/>
      <c r="AB103" s="280"/>
      <c r="AC103" s="280"/>
      <c r="AD103" s="280"/>
      <c r="AE103" s="280"/>
      <c r="AF103" s="280"/>
      <c r="AG103" s="280"/>
      <c r="AH103" s="268"/>
      <c r="AI103" s="268"/>
      <c r="AJ103" s="280"/>
      <c r="AK103" s="280"/>
      <c r="AL103" s="280"/>
      <c r="AM103" s="280"/>
      <c r="AN103" s="280"/>
      <c r="AO103" s="280"/>
      <c r="AP103" s="280"/>
      <c r="AS103" s="280"/>
      <c r="AT103" s="280"/>
      <c r="AU103" s="280"/>
      <c r="BB103" s="108"/>
    </row>
    <row r="104" spans="1:54" s="28" customFormat="1" x14ac:dyDescent="0.4">
      <c r="A104" s="91"/>
      <c r="B104" s="363"/>
      <c r="C104" s="280"/>
      <c r="D104" s="280"/>
      <c r="E104" s="280"/>
      <c r="F104" s="280"/>
      <c r="G104" s="280"/>
      <c r="H104" s="280"/>
      <c r="I104" s="280"/>
      <c r="J104" s="280"/>
      <c r="K104" s="280"/>
      <c r="L104" s="280"/>
      <c r="M104" s="280"/>
      <c r="N104" s="280"/>
      <c r="O104" s="280"/>
      <c r="P104" s="280"/>
      <c r="Q104" s="280"/>
      <c r="R104" s="280"/>
      <c r="S104" s="280"/>
      <c r="T104" s="280"/>
      <c r="U104" s="280"/>
      <c r="V104" s="280"/>
      <c r="W104" s="280"/>
      <c r="X104" s="280"/>
      <c r="Y104" s="280"/>
      <c r="Z104" s="280"/>
      <c r="AA104" s="280"/>
      <c r="AB104" s="280"/>
      <c r="AC104" s="280"/>
      <c r="AD104" s="280"/>
      <c r="AE104" s="280"/>
      <c r="AF104" s="280"/>
      <c r="AG104" s="280"/>
      <c r="AH104" s="267"/>
      <c r="AI104" s="268"/>
      <c r="AJ104" s="280"/>
      <c r="AK104" s="280"/>
      <c r="AL104" s="280"/>
      <c r="AM104" s="280"/>
      <c r="AN104" s="280"/>
      <c r="AO104" s="280"/>
      <c r="AP104" s="280"/>
      <c r="AS104" s="280"/>
      <c r="AT104" s="280"/>
      <c r="AU104" s="280"/>
      <c r="BB104" s="108"/>
    </row>
    <row r="105" spans="1:54" s="28" customFormat="1" ht="17" x14ac:dyDescent="0.45">
      <c r="A105" s="88" t="s">
        <v>1379</v>
      </c>
      <c r="B105" s="363"/>
      <c r="C105" s="280"/>
      <c r="D105" s="280"/>
      <c r="E105" s="280"/>
      <c r="F105" s="280"/>
      <c r="G105" s="280"/>
      <c r="H105" s="280"/>
      <c r="I105" s="280"/>
      <c r="J105" s="280"/>
      <c r="K105" s="280"/>
      <c r="L105" s="280"/>
      <c r="M105" s="280"/>
      <c r="N105" s="280"/>
      <c r="O105" s="280"/>
      <c r="P105" s="280"/>
      <c r="Q105" s="280"/>
      <c r="R105" s="280"/>
      <c r="S105" s="280"/>
      <c r="T105" s="280"/>
      <c r="U105" s="280"/>
      <c r="V105" s="280"/>
      <c r="W105" s="280"/>
      <c r="X105" s="280"/>
      <c r="Y105" s="280"/>
      <c r="Z105" s="280"/>
      <c r="AA105" s="280"/>
      <c r="AB105" s="280"/>
      <c r="AC105" s="280"/>
      <c r="AD105" s="280"/>
      <c r="AE105" s="280"/>
      <c r="AF105" s="280"/>
      <c r="AG105" s="280"/>
      <c r="AH105" s="267"/>
      <c r="AI105" s="268"/>
      <c r="AJ105" s="1013" t="s">
        <v>0</v>
      </c>
      <c r="AK105" s="280"/>
      <c r="AL105" s="280"/>
      <c r="AM105" s="280"/>
      <c r="AN105" s="280"/>
      <c r="AO105" s="280"/>
      <c r="AP105" s="280"/>
      <c r="AS105" s="280"/>
      <c r="AT105" s="280"/>
      <c r="AU105" s="280"/>
      <c r="BB105" s="108"/>
    </row>
    <row r="106" spans="1:54" s="86" customFormat="1" ht="16.5" thickBot="1" x14ac:dyDescent="0.45">
      <c r="A106" s="88" t="s">
        <v>752</v>
      </c>
      <c r="B106" s="977" t="s">
        <v>391</v>
      </c>
      <c r="C106" s="975" t="s">
        <v>392</v>
      </c>
      <c r="D106" s="975" t="s">
        <v>393</v>
      </c>
      <c r="E106" s="975" t="s">
        <v>394</v>
      </c>
      <c r="F106" s="975" t="s">
        <v>395</v>
      </c>
      <c r="G106" s="975" t="s">
        <v>396</v>
      </c>
      <c r="H106" s="975" t="s">
        <v>397</v>
      </c>
      <c r="I106" s="975" t="s">
        <v>398</v>
      </c>
      <c r="J106" s="975" t="s">
        <v>399</v>
      </c>
      <c r="K106" s="975" t="s">
        <v>400</v>
      </c>
      <c r="L106" s="975" t="s">
        <v>401</v>
      </c>
      <c r="M106" s="975" t="s">
        <v>402</v>
      </c>
      <c r="N106" s="975" t="s">
        <v>403</v>
      </c>
      <c r="O106" s="975" t="s">
        <v>404</v>
      </c>
      <c r="P106" s="975" t="s">
        <v>405</v>
      </c>
      <c r="Q106" s="975" t="s">
        <v>406</v>
      </c>
      <c r="R106" s="975" t="s">
        <v>407</v>
      </c>
      <c r="S106" s="975" t="s">
        <v>408</v>
      </c>
      <c r="T106" s="975" t="s">
        <v>409</v>
      </c>
      <c r="U106" s="975" t="s">
        <v>410</v>
      </c>
      <c r="V106" s="975" t="s">
        <v>411</v>
      </c>
      <c r="W106" s="975" t="s">
        <v>412</v>
      </c>
      <c r="X106" s="975" t="s">
        <v>413</v>
      </c>
      <c r="Y106" s="975" t="s">
        <v>414</v>
      </c>
      <c r="Z106" s="975" t="s">
        <v>415</v>
      </c>
      <c r="AA106" s="975" t="s">
        <v>416</v>
      </c>
      <c r="AB106" s="975" t="s">
        <v>417</v>
      </c>
      <c r="AC106" s="975" t="s">
        <v>418</v>
      </c>
      <c r="AD106" s="975" t="s">
        <v>419</v>
      </c>
      <c r="AE106" s="975" t="s">
        <v>420</v>
      </c>
      <c r="AF106" s="975" t="s">
        <v>421</v>
      </c>
      <c r="AG106" s="975" t="s">
        <v>422</v>
      </c>
      <c r="AH106" s="975" t="s">
        <v>423</v>
      </c>
      <c r="AI106" s="975" t="s">
        <v>424</v>
      </c>
      <c r="AJ106" s="975" t="s">
        <v>425</v>
      </c>
      <c r="AK106" s="975" t="s">
        <v>426</v>
      </c>
      <c r="AL106" s="975" t="s">
        <v>477</v>
      </c>
      <c r="AM106" s="975" t="s">
        <v>478</v>
      </c>
      <c r="AN106" s="975" t="s">
        <v>479</v>
      </c>
      <c r="AO106" s="975" t="s">
        <v>480</v>
      </c>
      <c r="AP106" s="975" t="s">
        <v>481</v>
      </c>
      <c r="AS106" s="230"/>
      <c r="AT106" s="230"/>
      <c r="AU106" s="230"/>
      <c r="BB106" s="230"/>
    </row>
    <row r="107" spans="1:54" ht="17" x14ac:dyDescent="0.45">
      <c r="A107" s="388" t="s">
        <v>472</v>
      </c>
      <c r="B107" s="318">
        <f>'Industrial Process'!B59/1000000</f>
        <v>0.65625199051509786</v>
      </c>
      <c r="C107" s="318">
        <f>'Industrial Process'!C59/1000000</f>
        <v>0.71515416896556006</v>
      </c>
      <c r="D107" s="318">
        <f>'Industrial Process'!D59/1000000</f>
        <v>0.73849101987423305</v>
      </c>
      <c r="E107" s="318">
        <f>'Industrial Process'!E59/1000000</f>
        <v>0.84634390373530799</v>
      </c>
      <c r="F107" s="318">
        <f>'Industrial Process'!F59/1000000</f>
        <v>0.99268777160783084</v>
      </c>
      <c r="G107" s="318">
        <f>'Industrial Process'!G59/1000000</f>
        <v>1.2942356697070025</v>
      </c>
      <c r="H107" s="318">
        <f>'Industrial Process'!H59/1000000</f>
        <v>1.5173940091650766</v>
      </c>
      <c r="I107" s="318">
        <f>'Industrial Process'!I59/1000000</f>
        <v>1.7296705098776286</v>
      </c>
      <c r="J107" s="318">
        <f>'Industrial Process'!J59/1000000</f>
        <v>2.0517836695231537</v>
      </c>
      <c r="K107" s="318">
        <f>'Industrial Process'!K59/1000000</f>
        <v>2.1722864635428154</v>
      </c>
      <c r="L107" s="318">
        <f>'Industrial Process'!L59/1000000</f>
        <v>2.2344480754691962</v>
      </c>
      <c r="M107" s="318">
        <f>'Industrial Process'!M59/1000000</f>
        <v>2.2873664104114422</v>
      </c>
      <c r="N107" s="318">
        <f>'Industrial Process'!N59/1000000</f>
        <v>2.3543108214792743</v>
      </c>
      <c r="O107" s="318">
        <f>'Industrial Process'!O59/1000000</f>
        <v>2.4553345934789768</v>
      </c>
      <c r="P107" s="318">
        <f>'Industrial Process'!P59/1000000</f>
        <v>2.3943985038673308</v>
      </c>
      <c r="Q107" s="318">
        <f>'Industrial Process'!Q59/1000000</f>
        <v>2.491187372700066</v>
      </c>
      <c r="R107" s="318">
        <f>'Industrial Process'!R59/1000000</f>
        <v>2.6398819487247986</v>
      </c>
      <c r="S107" s="318">
        <f>'Industrial Process'!S59/1000000</f>
        <v>2.7783370634740137</v>
      </c>
      <c r="T107" s="318">
        <f>'Industrial Process'!T59/1000000</f>
        <v>2.927455558375383</v>
      </c>
      <c r="U107" s="318">
        <f>'Industrial Process'!U59/1000000</f>
        <v>3.375736296088339</v>
      </c>
      <c r="V107" s="318">
        <f>'Industrial Process'!V59/1000000</f>
        <v>2.8556574039997655</v>
      </c>
      <c r="W107" s="318">
        <f>'Industrial Process'!W59/1000000</f>
        <v>2.8359689544329019</v>
      </c>
      <c r="X107" s="318">
        <f>'Industrial Process'!X59/1000000</f>
        <v>3.1262089958054671</v>
      </c>
      <c r="Y107" s="318">
        <f>'Industrial Process'!Y59/1000000</f>
        <v>3.8058037367623898</v>
      </c>
      <c r="Z107" s="318">
        <f>'Industrial Process'!Z59/1000000</f>
        <v>4.2054910787649353</v>
      </c>
      <c r="AA107" s="318">
        <f>'Industrial Process'!AA59/1000000</f>
        <v>3.7540424332673563</v>
      </c>
      <c r="AB107" s="296">
        <f>'Industrial Process'!AB59/1000000</f>
        <v>3.8048005415260682</v>
      </c>
      <c r="AC107" s="296">
        <f>'Industrial Process'!AC59/1000000</f>
        <v>3.3089432868880282</v>
      </c>
      <c r="AD107" s="297">
        <f>'Industrial Process'!AD59/1000000</f>
        <v>3.8135695724326135</v>
      </c>
      <c r="AE107" s="296">
        <f>'Industrial Process'!AE59/1000000</f>
        <v>3.6460572396013302</v>
      </c>
      <c r="AF107" s="296">
        <f>'Industrial Process'!AF59/1000000</f>
        <v>4.0321955751119818</v>
      </c>
      <c r="AG107" s="296">
        <f>'Industrial Process'!AG59/1000000</f>
        <v>3.9978101361882903</v>
      </c>
      <c r="AH107" s="296">
        <f>'Industrial Process'!AH59/1000000</f>
        <v>3.4348267758324091</v>
      </c>
      <c r="AI107" s="296">
        <f>'Industrial Process'!AI59/1000000</f>
        <v>3.5821232543038848</v>
      </c>
      <c r="AJ107" s="1016">
        <f>'Industrial Process'!AJ59/1000000</f>
        <v>0</v>
      </c>
      <c r="AK107" s="1016"/>
      <c r="AL107" s="1016"/>
      <c r="AM107" s="1016"/>
      <c r="AN107" s="1016"/>
      <c r="AO107" s="1016"/>
      <c r="AP107" s="1016"/>
      <c r="AS107" s="272"/>
      <c r="AT107" s="272"/>
      <c r="AU107" s="272"/>
    </row>
    <row r="108" spans="1:54" ht="17" x14ac:dyDescent="0.45">
      <c r="A108" s="1166" t="s">
        <v>476</v>
      </c>
      <c r="B108" s="283">
        <f>'Industrial Process'!B40/1000000</f>
        <v>0.17486870435586824</v>
      </c>
      <c r="C108" s="283">
        <f>'Industrial Process'!C40/1000000</f>
        <v>0.3878304234603735</v>
      </c>
      <c r="D108" s="283">
        <f>'Industrial Process'!D40/1000000</f>
        <v>0.40023247605520762</v>
      </c>
      <c r="E108" s="283">
        <f>'Industrial Process'!E40/1000000</f>
        <v>0.42023687605212945</v>
      </c>
      <c r="F108" s="283">
        <f>'Industrial Process'!F40/1000000</f>
        <v>0.4334889497962397</v>
      </c>
      <c r="G108" s="283">
        <f>'Industrial Process'!G40/1000000</f>
        <v>0.44746344781835184</v>
      </c>
      <c r="H108" s="283">
        <f>'Industrial Process'!H40/1000000</f>
        <v>0.45802929926775171</v>
      </c>
      <c r="I108" s="283">
        <f>'Industrial Process'!I40/1000000</f>
        <v>0.46976739201575396</v>
      </c>
      <c r="J108" s="283">
        <f>'Industrial Process'!J40/1000000</f>
        <v>0.63538096874096284</v>
      </c>
      <c r="K108" s="283">
        <f>'Industrial Process'!K40/1000000</f>
        <v>0.6092394751695932</v>
      </c>
      <c r="L108" s="283">
        <f>'Industrial Process'!L40/1000000</f>
        <v>0.58249075085347612</v>
      </c>
      <c r="M108" s="283">
        <f>'Industrial Process'!M40/1000000</f>
        <v>0.56396567361901784</v>
      </c>
      <c r="N108" s="283">
        <f>'Industrial Process'!N40/1000000</f>
        <v>0.55865880789417932</v>
      </c>
      <c r="O108" s="283">
        <f>'Industrial Process'!O40/1000000</f>
        <v>0.58970609253057016</v>
      </c>
      <c r="P108" s="283">
        <f>'Industrial Process'!P40/1000000</f>
        <v>0.47735351808103949</v>
      </c>
      <c r="Q108" s="283">
        <f>'Industrial Process'!Q40/1000000</f>
        <v>0.46962030387739312</v>
      </c>
      <c r="R108" s="283">
        <f>'Industrial Process'!R40/1000000</f>
        <v>0.50740598296630346</v>
      </c>
      <c r="S108" s="283">
        <f>'Industrial Process'!S40/1000000</f>
        <v>0.53083734118677972</v>
      </c>
      <c r="T108" s="283">
        <f>'Industrial Process'!T40/1000000</f>
        <v>0.49442586019728985</v>
      </c>
      <c r="U108" s="283">
        <f>'Industrial Process'!U40/1000000</f>
        <v>0.44421175763995507</v>
      </c>
      <c r="V108" s="283">
        <f>'Industrial Process'!V40/1000000</f>
        <v>0.33821302954767513</v>
      </c>
      <c r="W108" s="283">
        <f>'Industrial Process'!W40/1000000</f>
        <v>0.29017066105155959</v>
      </c>
      <c r="X108" s="283">
        <f>'Industrial Process'!X40/1000000</f>
        <v>0.26524846563584481</v>
      </c>
      <c r="Y108" s="283">
        <f>'Industrial Process'!Y40/1000000</f>
        <v>0.28619765710258016</v>
      </c>
      <c r="Z108" s="283">
        <f>'Industrial Process'!Z40/1000000</f>
        <v>0.26883302058368164</v>
      </c>
      <c r="AA108" s="283">
        <f>'Industrial Process'!AA40/1000000</f>
        <v>0.31256086558279017</v>
      </c>
      <c r="AB108" s="283">
        <f>'Industrial Process'!AB40/1000000</f>
        <v>0.29477802562555011</v>
      </c>
      <c r="AC108" s="283">
        <f>'Industrial Process'!AC40/1000000</f>
        <v>0.30546786913245677</v>
      </c>
      <c r="AD108" s="283">
        <f>'Industrial Process'!AD40/1000000</f>
        <v>0.32145180707168591</v>
      </c>
      <c r="AE108" s="280">
        <f>'Industrial Process'!AE40/1000000</f>
        <v>0.28466873577995927</v>
      </c>
      <c r="AF108" s="280">
        <f>'Industrial Process'!AF40/1000000</f>
        <v>0.29307563163437833</v>
      </c>
      <c r="AG108" s="280">
        <f>'Industrial Process'!AG40/1000000</f>
        <v>0.30171295462001463</v>
      </c>
      <c r="AH108" s="280">
        <f>'Industrial Process'!AH40/1000000</f>
        <v>0.29028017707405729</v>
      </c>
      <c r="AI108" s="280">
        <f>'Industrial Process'!AI40/1000000</f>
        <v>0.23556022439996074</v>
      </c>
      <c r="AJ108" s="1014">
        <f>'Industrial Process'!AJ40/1000000</f>
        <v>0</v>
      </c>
      <c r="AK108" s="1014"/>
      <c r="AL108" s="1014"/>
      <c r="AM108" s="1014"/>
      <c r="AN108" s="1014"/>
      <c r="AO108" s="1014"/>
      <c r="AP108" s="1014"/>
      <c r="AS108" s="272"/>
      <c r="AT108" s="272"/>
      <c r="AU108" s="272"/>
    </row>
    <row r="109" spans="1:54" ht="17" x14ac:dyDescent="0.45">
      <c r="A109" s="1364" t="s">
        <v>1184</v>
      </c>
      <c r="B109" s="283">
        <f>'Industrial Process'!B48/1000000</f>
        <v>0</v>
      </c>
      <c r="C109" s="283">
        <f>'Industrial Process'!C48/1000000</f>
        <v>8.6512066184279562E-2</v>
      </c>
      <c r="D109" s="283">
        <f>'Industrial Process'!D48/1000000</f>
        <v>8.0639996051633855E-2</v>
      </c>
      <c r="E109" s="283">
        <f>'Industrial Process'!E48/1000000</f>
        <v>9.1013398689123212E-2</v>
      </c>
      <c r="F109" s="283">
        <f>'Industrial Process'!F48/1000000</f>
        <v>9.0524850533941589E-2</v>
      </c>
      <c r="G109" s="283">
        <f>'Industrial Process'!G48/1000000</f>
        <v>9.0370120970871923E-2</v>
      </c>
      <c r="H109" s="283">
        <f>'Industrial Process'!H48/1000000</f>
        <v>8.9982645152109672E-2</v>
      </c>
      <c r="I109" s="283">
        <f>'Industrial Process'!I48/1000000</f>
        <v>9.5513070611131914E-2</v>
      </c>
      <c r="J109" s="283">
        <f>'Industrial Process'!J48/1000000</f>
        <v>9.4944275337907461E-2</v>
      </c>
      <c r="K109" s="283">
        <f>'Industrial Process'!K48/1000000</f>
        <v>9.4790054715288036E-2</v>
      </c>
      <c r="L109" s="283">
        <f>'Industrial Process'!L48/1000000</f>
        <v>9.4716149389234658E-2</v>
      </c>
      <c r="M109" s="283">
        <f>'Industrial Process'!M48/1000000</f>
        <v>9.3766316156895874E-2</v>
      </c>
      <c r="N109" s="283">
        <f>'Industrial Process'!N48/1000000</f>
        <v>8.3944724303467E-2</v>
      </c>
      <c r="O109" s="283">
        <f>'Industrial Process'!O48/1000000</f>
        <v>8.3705193644816558E-2</v>
      </c>
      <c r="P109" s="283">
        <f>'Industrial Process'!P48/1000000</f>
        <v>8.3153673656456942E-2</v>
      </c>
      <c r="Q109" s="283">
        <f>'Industrial Process'!Q48/1000000</f>
        <v>8.2692353909666463E-2</v>
      </c>
      <c r="R109" s="283">
        <f>'Industrial Process'!R48/1000000</f>
        <v>8.2754075776202779E-2</v>
      </c>
      <c r="S109" s="283">
        <f>'Industrial Process'!S48/1000000</f>
        <v>8.3122605334381233E-2</v>
      </c>
      <c r="T109" s="283">
        <f>'Industrial Process'!T48/1000000</f>
        <v>8.2523283093433791E-2</v>
      </c>
      <c r="U109" s="283">
        <f>'Industrial Process'!U48/1000000</f>
        <v>8.1705868262835546E-2</v>
      </c>
      <c r="V109" s="283">
        <f>'Industrial Process'!V48/1000000</f>
        <v>8.1977609053125122E-2</v>
      </c>
      <c r="W109" s="283">
        <f>'Industrial Process'!W48/1000000</f>
        <v>8.4371851631650813E-2</v>
      </c>
      <c r="X109" s="283">
        <f>'Industrial Process'!X48/1000000</f>
        <v>8.2636113759954777E-2</v>
      </c>
      <c r="Y109" s="283">
        <f>'Industrial Process'!Y48/1000000</f>
        <v>8.2039019868257304E-2</v>
      </c>
      <c r="Z109" s="283">
        <f>'Industrial Process'!Z48/1000000</f>
        <v>8.3293330647875793E-2</v>
      </c>
      <c r="AA109" s="283">
        <f>'Industrial Process'!AA48/1000000</f>
        <v>8.1520848219758579E-2</v>
      </c>
      <c r="AB109" s="283">
        <f>'Industrial Process'!AB48/1000000</f>
        <v>8.07818226458238E-2</v>
      </c>
      <c r="AC109" s="283">
        <f>'Industrial Process'!AC48/1000000</f>
        <v>8.0785013728343638E-2</v>
      </c>
      <c r="AD109" s="283">
        <f>'Industrial Process'!AD48/1000000</f>
        <v>8.0481802147618048E-2</v>
      </c>
      <c r="AE109" s="283">
        <f>'Industrial Process'!AE48/1000000</f>
        <v>8.0037333602807889E-2</v>
      </c>
      <c r="AF109" s="283">
        <f>'Industrial Process'!AF48/1000000</f>
        <v>7.9784790708161635E-2</v>
      </c>
      <c r="AG109" s="283">
        <f>'Industrial Process'!AG48/1000000</f>
        <v>8.0161665691486653E-2</v>
      </c>
      <c r="AH109" s="283">
        <f>'Industrial Process'!AH48/1000000</f>
        <v>8.0341497769797612E-2</v>
      </c>
      <c r="AI109" s="280">
        <f>'Industrial Process'!AI48/1000000</f>
        <v>8.0132215898059592E-2</v>
      </c>
      <c r="AJ109" s="1014">
        <f>'Industrial Process'!AJ48/1000000</f>
        <v>0</v>
      </c>
      <c r="AK109" s="1014"/>
      <c r="AL109" s="1014"/>
      <c r="AM109" s="1014"/>
      <c r="AN109" s="1014"/>
      <c r="AO109" s="1014"/>
      <c r="AP109" s="1014"/>
      <c r="AS109" s="272"/>
      <c r="AT109" s="272"/>
      <c r="AU109" s="272"/>
    </row>
    <row r="110" spans="1:54" ht="17" x14ac:dyDescent="0.45">
      <c r="A110" s="1305" t="s">
        <v>1021</v>
      </c>
      <c r="B110" s="283">
        <f>'Industrial Process'!B52/1000000</f>
        <v>0.48138328615922965</v>
      </c>
      <c r="C110" s="283">
        <f>'Industrial Process'!C52/1000000</f>
        <v>0.24081167932090697</v>
      </c>
      <c r="D110" s="283">
        <f>'Industrial Process'!D52/1000000</f>
        <v>0.25761854776739163</v>
      </c>
      <c r="E110" s="283">
        <f>'Industrial Process'!E52/1000000</f>
        <v>0.33509362899405531</v>
      </c>
      <c r="F110" s="283">
        <f>'Industrial Process'!F52/1000000</f>
        <v>0.46867397127764965</v>
      </c>
      <c r="G110" s="283">
        <f>'Industrial Process'!G52/1000000</f>
        <v>0.75640210091777871</v>
      </c>
      <c r="H110" s="283">
        <f>'Industrial Process'!H52/1000000</f>
        <v>0.96938206474521538</v>
      </c>
      <c r="I110" s="283">
        <f>'Industrial Process'!I52/1000000</f>
        <v>1.1643900472507427</v>
      </c>
      <c r="J110" s="283">
        <f>'Industrial Process'!J52/1000000</f>
        <v>1.3214584254442836</v>
      </c>
      <c r="K110" s="283">
        <f>'Industrial Process'!K52/1000000</f>
        <v>1.4682569336579341</v>
      </c>
      <c r="L110" s="283">
        <f>'Industrial Process'!L52/1000000</f>
        <v>1.5572411752264856</v>
      </c>
      <c r="M110" s="283">
        <f>'Industrial Process'!M52/1000000</f>
        <v>1.6296344206355287</v>
      </c>
      <c r="N110" s="283">
        <f>'Industrial Process'!N52/1000000</f>
        <v>1.7117072892816281</v>
      </c>
      <c r="O110" s="283">
        <f>'Industrial Process'!O52/1000000</f>
        <v>1.7819233073035901</v>
      </c>
      <c r="P110" s="283">
        <f>'Industrial Process'!P52/1000000</f>
        <v>1.8338913121298344</v>
      </c>
      <c r="Q110" s="283">
        <f>'Industrial Process'!Q52/1000000</f>
        <v>1.9388747149130063</v>
      </c>
      <c r="R110" s="283">
        <f>'Industrial Process'!R52/1000000</f>
        <v>2.0497218899822922</v>
      </c>
      <c r="S110" s="283">
        <f>'Industrial Process'!S52/1000000</f>
        <v>2.1643771169528523</v>
      </c>
      <c r="T110" s="283">
        <f>'Industrial Process'!T52/1000000</f>
        <v>2.3505064150846593</v>
      </c>
      <c r="U110" s="283">
        <f>'Industrial Process'!U52/1000000</f>
        <v>2.8498186701855484</v>
      </c>
      <c r="V110" s="283">
        <f>'Industrial Process'!V52/1000000</f>
        <v>2.435466765398965</v>
      </c>
      <c r="W110" s="283">
        <f>'Industrial Process'!W52/1000000</f>
        <v>2.4614264417496914</v>
      </c>
      <c r="X110" s="283">
        <f>'Industrial Process'!X52/1000000</f>
        <v>2.7783244164096677</v>
      </c>
      <c r="Y110" s="283">
        <f>'Industrial Process'!Y52/1000000</f>
        <v>3.4375670597915522</v>
      </c>
      <c r="Z110" s="283">
        <f>'Industrial Process'!Z52/1000000</f>
        <v>3.8533647275333771</v>
      </c>
      <c r="AA110" s="283">
        <f>'Industrial Process'!AA52/1000000</f>
        <v>3.3599607194648078</v>
      </c>
      <c r="AB110" s="283">
        <f>'Industrial Process'!AB52/1000000</f>
        <v>3.4292406932546937</v>
      </c>
      <c r="AC110" s="283">
        <f>'Industrial Process'!AC52/1000000</f>
        <v>2.9226904040272279</v>
      </c>
      <c r="AD110" s="283">
        <f>'Industrial Process'!AD52/1000000</f>
        <v>3.4116359632133095</v>
      </c>
      <c r="AE110" s="280">
        <f>'Industrial Process'!AE52/1000000</f>
        <v>3.2813511702185632</v>
      </c>
      <c r="AF110" s="280">
        <f>'Industrial Process'!AF52/1000000</f>
        <v>3.6593351527694415</v>
      </c>
      <c r="AG110" s="280">
        <f>'Industrial Process'!AG52/1000000</f>
        <v>3.6159355158767887</v>
      </c>
      <c r="AH110" s="280">
        <f>'Industrial Process'!AH52/1000000</f>
        <v>3.0642051009885543</v>
      </c>
      <c r="AI110" s="280">
        <f>'Industrial Process'!AI52/1000000</f>
        <v>3.2664308140058642</v>
      </c>
      <c r="AJ110" s="1014">
        <f>'Industrial Process'!AJ52/1000000</f>
        <v>0</v>
      </c>
      <c r="AK110" s="1014"/>
      <c r="AL110" s="1014"/>
      <c r="AM110" s="1014"/>
      <c r="AN110" s="1014"/>
      <c r="AO110" s="1014"/>
      <c r="AP110" s="1014"/>
      <c r="AS110" s="272"/>
      <c r="AT110" s="272"/>
      <c r="AU110" s="272"/>
    </row>
    <row r="111" spans="1:54" x14ac:dyDescent="0.4">
      <c r="A111" s="1169" t="s">
        <v>53</v>
      </c>
      <c r="B111" s="283">
        <f>'Industrial Process'!B58/1000000</f>
        <v>5.4099844792000005E-3</v>
      </c>
      <c r="C111" s="283">
        <f>'Industrial Process'!C58/1000000</f>
        <v>1.2456725928918428E-2</v>
      </c>
      <c r="D111" s="283">
        <f>'Industrial Process'!D58/1000000</f>
        <v>3.0509953018260268E-2</v>
      </c>
      <c r="E111" s="283">
        <f>'Industrial Process'!E58/1000000</f>
        <v>9.5349548969635795E-2</v>
      </c>
      <c r="F111" s="283">
        <f>'Industrial Process'!F58/1000000</f>
        <v>0.22864032793701461</v>
      </c>
      <c r="G111" s="283">
        <f>'Industrial Process'!G58/1000000</f>
        <v>0.50324444906125565</v>
      </c>
      <c r="H111" s="283">
        <f>'Industrial Process'!H58/1000000</f>
        <v>0.71329043101121559</v>
      </c>
      <c r="I111" s="283">
        <f>'Industrial Process'!I58/1000000</f>
        <v>0.90981376063792474</v>
      </c>
      <c r="J111" s="283">
        <f>'Industrial Process'!J58/1000000</f>
        <v>1.0514312798421779</v>
      </c>
      <c r="K111" s="283">
        <f>'Industrial Process'!K58/1000000</f>
        <v>1.1950754627345945</v>
      </c>
      <c r="L111" s="283">
        <f>'Industrial Process'!L58/1000000</f>
        <v>1.3146361249262182</v>
      </c>
      <c r="M111" s="283">
        <f>'Industrial Process'!M58/1000000</f>
        <v>1.4303274014756053</v>
      </c>
      <c r="N111" s="283">
        <f>'Industrial Process'!N58/1000000</f>
        <v>1.5153649915778933</v>
      </c>
      <c r="O111" s="283">
        <f>'Industrial Process'!O58/1000000</f>
        <v>1.5917099985965057</v>
      </c>
      <c r="P111" s="283">
        <f>'Industrial Process'!P58/1000000</f>
        <v>1.6509303100036388</v>
      </c>
      <c r="Q111" s="283">
        <f>'Industrial Process'!Q58/1000000</f>
        <v>1.7231731184963863</v>
      </c>
      <c r="R111" s="283">
        <f>'Industrial Process'!R58/1000000</f>
        <v>1.8308076928199013</v>
      </c>
      <c r="S111" s="283">
        <f>'Industrial Process'!S58/1000000</f>
        <v>1.9570017674197022</v>
      </c>
      <c r="T111" s="283">
        <f>'Industrial Process'!T58/1000000</f>
        <v>2.1094862459690829</v>
      </c>
      <c r="U111" s="283">
        <f>'Industrial Process'!U58/1000000</f>
        <v>2.6590095271709338</v>
      </c>
      <c r="V111" s="283">
        <f>'Industrial Process'!V58/1000000</f>
        <v>2.2597988369627764</v>
      </c>
      <c r="W111" s="283">
        <f>'Industrial Process'!W58/1000000</f>
        <v>2.2708428574691961</v>
      </c>
      <c r="X111" s="283">
        <f>'Industrial Process'!X58/1000000</f>
        <v>2.6031911555602658</v>
      </c>
      <c r="Y111" s="283">
        <f>'Industrial Process'!Y58/1000000</f>
        <v>3.2742537401804706</v>
      </c>
      <c r="Z111" s="283">
        <f>'Industrial Process'!Z58/1000000</f>
        <v>3.6942114882698167</v>
      </c>
      <c r="AA111" s="283">
        <f>'Industrial Process'!AA58/1000000</f>
        <v>3.2104104472265025</v>
      </c>
      <c r="AB111" s="283">
        <f>'Industrial Process'!AB58/1000000</f>
        <v>3.2756330705315864</v>
      </c>
      <c r="AC111" s="283">
        <f>'Industrial Process'!AC58/1000000</f>
        <v>2.7811078029878629</v>
      </c>
      <c r="AD111" s="283">
        <f>'Industrial Process'!AD58/1000000</f>
        <v>3.264582590080308</v>
      </c>
      <c r="AE111" s="283">
        <f>'Industrial Process'!AE58/1000000</f>
        <v>3.1527951508113641</v>
      </c>
      <c r="AF111" s="280">
        <f>'Industrial Process'!AF58/1000000</f>
        <v>3.553206468307883</v>
      </c>
      <c r="AG111" s="280">
        <f>'Industrial Process'!AG58/1000000</f>
        <v>3.4826192950711334</v>
      </c>
      <c r="AH111" s="280">
        <f>'Industrial Process'!AH58/1000000</f>
        <v>2.9370750188921164</v>
      </c>
      <c r="AI111" s="280">
        <f>'Industrial Process'!AI58/1000000</f>
        <v>3.164009787859476</v>
      </c>
      <c r="AJ111" s="1014">
        <f>'Industrial Process'!AJ58/1000000</f>
        <v>0</v>
      </c>
      <c r="AK111" s="1014"/>
      <c r="AL111" s="1014"/>
      <c r="AM111" s="1014"/>
      <c r="AN111" s="1014"/>
      <c r="AO111" s="1014"/>
      <c r="AP111" s="1014"/>
      <c r="AS111" s="272"/>
      <c r="AT111" s="272"/>
      <c r="AU111" s="272"/>
    </row>
    <row r="112" spans="1:54" x14ac:dyDescent="0.4">
      <c r="A112" s="1170" t="s">
        <v>54</v>
      </c>
      <c r="B112" s="283">
        <f>'Industrial Process'!B55/1000000</f>
        <v>8.8073545482425117E-2</v>
      </c>
      <c r="C112" s="283">
        <f>'Industrial Process'!C55/1000000</f>
        <v>6.8687375672581139E-2</v>
      </c>
      <c r="D112" s="283">
        <f>'Industrial Process'!D55/1000000</f>
        <v>6.8687375672581139E-2</v>
      </c>
      <c r="E112" s="283">
        <f>'Industrial Process'!E55/1000000</f>
        <v>8.5859219590726413E-2</v>
      </c>
      <c r="F112" s="283">
        <f>'Industrial Process'!F55/1000000</f>
        <v>9.4445141549799036E-2</v>
      </c>
      <c r="G112" s="283">
        <f>'Industrial Process'!G55/1000000</f>
        <v>0.11868550870854423</v>
      </c>
      <c r="H112" s="283">
        <f>'Industrial Process'!H55/1000000</f>
        <v>0.1317958492288781</v>
      </c>
      <c r="I112" s="283">
        <f>'Industrial Process'!I55/1000000</f>
        <v>0.13928186075055354</v>
      </c>
      <c r="J112" s="283">
        <f>'Industrial Process'!J55/1000000</f>
        <v>0.17078407838269841</v>
      </c>
      <c r="K112" s="283">
        <f>'Industrial Process'!K55/1000000</f>
        <v>0.17330476234678943</v>
      </c>
      <c r="L112" s="283">
        <f>'Industrial Process'!L55/1000000</f>
        <v>0.14608970036657434</v>
      </c>
      <c r="M112" s="283">
        <f>'Industrial Process'!M55/1000000</f>
        <v>0.10380302786908729</v>
      </c>
      <c r="N112" s="283">
        <f>'Industrial Process'!N55/1000000</f>
        <v>0.10678466505575596</v>
      </c>
      <c r="O112" s="283">
        <f>'Industrial Process'!O55/1000000</f>
        <v>0.10237203470196257</v>
      </c>
      <c r="P112" s="283">
        <f>'Industrial Process'!P55/1000000</f>
        <v>9.6836086763931101E-2</v>
      </c>
      <c r="Q112" s="283">
        <f>'Industrial Process'!Q55/1000000</f>
        <v>9.1604045373279305E-2</v>
      </c>
      <c r="R112" s="283">
        <f>'Industrial Process'!R55/1000000</f>
        <v>0.10006023805140754</v>
      </c>
      <c r="S112" s="283">
        <f>'Industrial Process'!S55/1000000</f>
        <v>9.1343210095773758E-2</v>
      </c>
      <c r="T112" s="283">
        <f>'Industrial Process'!T55/1000000</f>
        <v>8.4723448373459909E-2</v>
      </c>
      <c r="U112" s="283">
        <f>'Industrial Process'!U55/1000000</f>
        <v>6.0982813009592615E-2</v>
      </c>
      <c r="V112" s="283">
        <f>'Industrial Process'!V55/1000000</f>
        <v>7.9237951781557361E-2</v>
      </c>
      <c r="W112" s="283">
        <f>'Industrial Process'!W55/1000000</f>
        <v>0.10732824258206997</v>
      </c>
      <c r="X112" s="283">
        <f>'Industrial Process'!X55/1000000</f>
        <v>9.9448690769326428E-2</v>
      </c>
      <c r="Y112" s="283">
        <f>'Industrial Process'!Y55/1000000</f>
        <v>8.4397571332260182E-2</v>
      </c>
      <c r="Z112" s="283">
        <f>'Industrial Process'!Z55/1000000</f>
        <v>8.2231850991114103E-2</v>
      </c>
      <c r="AA112" s="283">
        <f>'Industrial Process'!AA55/1000000</f>
        <v>7.5731365477471418E-2</v>
      </c>
      <c r="AB112" s="283">
        <f>'Industrial Process'!AB55/1000000</f>
        <v>7.4323330776261534E-2</v>
      </c>
      <c r="AC112" s="283">
        <f>'Industrial Process'!AC55/1000000</f>
        <v>7.8446746126000721E-2</v>
      </c>
      <c r="AD112" s="283">
        <f>'Industrial Process'!AD55/1000000</f>
        <v>7.2250736409737587E-2</v>
      </c>
      <c r="AE112" s="283">
        <f>'Industrial Process'!AE55/1000000</f>
        <v>6.1995193872062003E-2</v>
      </c>
      <c r="AF112" s="280">
        <f>'Industrial Process'!AF55/1000000</f>
        <v>4.2663984536608975E-2</v>
      </c>
      <c r="AG112" s="280">
        <f>'Industrial Process'!AG55/1000000</f>
        <v>5.4598892611646431E-2</v>
      </c>
      <c r="AH112" s="280">
        <f>'Industrial Process'!AH55/1000000</f>
        <v>5.6432113461140458E-2</v>
      </c>
      <c r="AI112" s="280">
        <f>'Industrial Process'!AI55/1000000</f>
        <v>4.3496332942007221E-2</v>
      </c>
      <c r="AJ112" s="1014">
        <f>'Industrial Process'!AJ55/1000000</f>
        <v>0</v>
      </c>
      <c r="AK112" s="1014"/>
      <c r="AL112" s="1014"/>
      <c r="AM112" s="1014"/>
      <c r="AN112" s="1014"/>
      <c r="AO112" s="1014"/>
      <c r="AP112" s="1014"/>
      <c r="AS112" s="272"/>
      <c r="AT112" s="272"/>
      <c r="AU112" s="272"/>
    </row>
    <row r="113" spans="1:54" x14ac:dyDescent="0.4">
      <c r="A113" s="1170" t="s">
        <v>55</v>
      </c>
      <c r="B113" s="280">
        <f>'Industrial Process'!B56/1000000</f>
        <v>0.38789975619760453</v>
      </c>
      <c r="C113" s="283">
        <f>'Industrial Process'!C56/1000000</f>
        <v>0.15040000000000001</v>
      </c>
      <c r="D113" s="283">
        <f>'Industrial Process'!D56/1000000</f>
        <v>0.14899000000000001</v>
      </c>
      <c r="E113" s="283">
        <f>'Industrial Process'!E56/1000000</f>
        <v>0.14429</v>
      </c>
      <c r="F113" s="283">
        <f>'Industrial Process'!F56/1000000</f>
        <v>0.13583000000000001</v>
      </c>
      <c r="G113" s="283">
        <f>'Industrial Process'!G56/1000000</f>
        <v>0.12454999999999999</v>
      </c>
      <c r="H113" s="283">
        <f>'Industrial Process'!H56/1000000</f>
        <v>0.11421000000000001</v>
      </c>
      <c r="I113" s="283">
        <f>'Industrial Process'!I56/1000000</f>
        <v>0.105045</v>
      </c>
      <c r="J113" s="283">
        <f>'Industrial Process'!J56/1000000</f>
        <v>8.8830000000000006E-2</v>
      </c>
      <c r="K113" s="283">
        <f>'Industrial Process'!K56/1000000</f>
        <v>8.9300000000000004E-2</v>
      </c>
      <c r="L113" s="283">
        <f>'Industrial Process'!L56/1000000</f>
        <v>8.5775000000000004E-2</v>
      </c>
      <c r="M113" s="283">
        <f>'Industrial Process'!M56/1000000</f>
        <v>8.4599999999999995E-2</v>
      </c>
      <c r="N113" s="283">
        <f>'Industrial Process'!N56/1000000</f>
        <v>7.8490000000000004E-2</v>
      </c>
      <c r="O113" s="283">
        <f>'Industrial Process'!O56/1000000</f>
        <v>7.6609999999999998E-2</v>
      </c>
      <c r="P113" s="283">
        <f>'Industrial Process'!P56/1000000</f>
        <v>7.4730000000000005E-2</v>
      </c>
      <c r="Q113" s="283">
        <f>'Industrial Process'!Q56/1000000</f>
        <v>7.1910000000000002E-2</v>
      </c>
      <c r="R113" s="283">
        <f>'Industrial Process'!R56/1000000</f>
        <v>6.6269999999999996E-2</v>
      </c>
      <c r="S113" s="283">
        <f>'Industrial Process'!S56/1000000</f>
        <v>6.2509999999999996E-2</v>
      </c>
      <c r="T113" s="283">
        <f>'Industrial Process'!T56/1000000</f>
        <v>5.9924999999999999E-2</v>
      </c>
      <c r="U113" s="283">
        <f>'Industrial Process'!U56/1000000</f>
        <v>5.5225000000000003E-2</v>
      </c>
      <c r="V113" s="283">
        <f>'Industrial Process'!V56/1000000</f>
        <v>4.6530000000000002E-2</v>
      </c>
      <c r="W113" s="283">
        <f>'Industrial Process'!W56/1000000</f>
        <v>4.4179999999999997E-2</v>
      </c>
      <c r="X113" s="283">
        <f>'Industrial Process'!X56/1000000</f>
        <v>3.8539999999999998E-2</v>
      </c>
      <c r="Y113" s="283">
        <f>'Industrial Process'!Y56/1000000</f>
        <v>3.5720000000000002E-2</v>
      </c>
      <c r="Z113" s="283">
        <f>'Industrial Process'!Z56/1000000</f>
        <v>3.619E-2</v>
      </c>
      <c r="AA113" s="283">
        <f>'Industrial Process'!AA56/1000000</f>
        <v>3.243E-2</v>
      </c>
      <c r="AB113" s="283">
        <f>'Industrial Process'!AB56/1000000</f>
        <v>3.1725000000000003E-2</v>
      </c>
      <c r="AC113" s="283">
        <f>'Industrial Process'!AC56/1000000</f>
        <v>3.1725000000000003E-2</v>
      </c>
      <c r="AD113" s="283">
        <f>'Industrial Process'!AD56/1000000</f>
        <v>3.243E-2</v>
      </c>
      <c r="AE113" s="283">
        <f>'Industrial Process'!AE56/1000000</f>
        <v>3.4544999999999999E-2</v>
      </c>
      <c r="AF113" s="280">
        <f>'Industrial Process'!AF56/1000000</f>
        <v>3.3605000000000003E-2</v>
      </c>
      <c r="AG113" s="280">
        <f>'Industrial Process'!AG56/1000000</f>
        <v>3.5485000000000003E-2</v>
      </c>
      <c r="AH113" s="280">
        <f>'Industrial Process'!AH56/1000000</f>
        <v>3.4075000000000001E-2</v>
      </c>
      <c r="AI113" s="280">
        <f>'Industrial Process'!AI56/1000000</f>
        <v>3.3840000000000002E-2</v>
      </c>
      <c r="AJ113" s="1014">
        <f>'Industrial Process'!AJ56/1000000</f>
        <v>0</v>
      </c>
      <c r="AK113" s="1014"/>
      <c r="AL113" s="1014"/>
      <c r="AM113" s="1014"/>
      <c r="AN113" s="1014"/>
      <c r="AO113" s="1014"/>
      <c r="AP113" s="1014"/>
      <c r="AS113" s="272"/>
      <c r="AT113" s="272"/>
      <c r="AU113" s="272"/>
    </row>
    <row r="114" spans="1:54" x14ac:dyDescent="0.4">
      <c r="A114" s="1164" t="s">
        <v>379</v>
      </c>
      <c r="B114" s="280" t="s">
        <v>369</v>
      </c>
      <c r="C114" s="283">
        <f>('Industrial Process'!C53+'Industrial Process'!C57)/1000000</f>
        <v>9.2675777194073904E-3</v>
      </c>
      <c r="D114" s="283">
        <f>('Industrial Process'!D53+'Industrial Process'!D57)/1000000</f>
        <v>9.4312190765502499E-3</v>
      </c>
      <c r="E114" s="283">
        <f>('Industrial Process'!E53+'Industrial Process'!E57)/1000000</f>
        <v>9.5948604336931059E-3</v>
      </c>
      <c r="F114" s="283">
        <f>('Industrial Process'!F53+'Industrial Process'!F57)/1000000</f>
        <v>9.758501790835962E-3</v>
      </c>
      <c r="G114" s="283">
        <f>('Industrial Process'!G53+'Industrial Process'!G57)/1000000</f>
        <v>9.9221431479788215E-3</v>
      </c>
      <c r="H114" s="283">
        <f>('Industrial Process'!H53+'Industrial Process'!H57)/1000000</f>
        <v>1.0085784505121678E-2</v>
      </c>
      <c r="I114" s="283">
        <f>('Industrial Process'!I53+'Industrial Process'!I57)/1000000</f>
        <v>1.0249425862264534E-2</v>
      </c>
      <c r="J114" s="283">
        <f>('Industrial Process'!J53+'Industrial Process'!J57)/1000000</f>
        <v>1.0413067219407393E-2</v>
      </c>
      <c r="K114" s="283">
        <f>('Industrial Process'!K53+'Industrial Process'!K57)/1000000</f>
        <v>1.0576708576550249E-2</v>
      </c>
      <c r="L114" s="283">
        <f>('Industrial Process'!L53+'Industrial Process'!L57)/1000000</f>
        <v>1.0740349933693105E-2</v>
      </c>
      <c r="M114" s="283">
        <f>('Industrial Process'!M53+'Industrial Process'!M57)/1000000</f>
        <v>1.0903991290835961E-2</v>
      </c>
      <c r="N114" s="283">
        <f>('Industrial Process'!N53+'Industrial Process'!N57)/1000000</f>
        <v>1.1067632647978821E-2</v>
      </c>
      <c r="O114" s="283">
        <f>('Industrial Process'!O53+'Industrial Process'!O57)/1000000</f>
        <v>1.1231274005121677E-2</v>
      </c>
      <c r="P114" s="283">
        <f>('Industrial Process'!P53+'Industrial Process'!P57)/1000000</f>
        <v>1.1394915362264533E-2</v>
      </c>
      <c r="Q114" s="283">
        <f>('Industrial Process'!Q53+'Industrial Process'!Q57)/1000000</f>
        <v>5.218755104334085E-2</v>
      </c>
      <c r="R114" s="283">
        <f>('Industrial Process'!R53+'Industrial Process'!R57)/1000000</f>
        <v>5.2351192400483706E-2</v>
      </c>
      <c r="S114" s="283">
        <f>('Industrial Process'!S53+'Industrial Process'!S57)/1000000</f>
        <v>5.2862633757626558E-2</v>
      </c>
      <c r="T114" s="283">
        <f>('Industrial Process'!T53+'Industrial Process'!T57)/1000000</f>
        <v>9.4451395380491465E-2</v>
      </c>
      <c r="U114" s="283">
        <f>('Industrial Process'!U53+'Industrial Process'!U57)/1000000</f>
        <v>6.8976134501271727E-2</v>
      </c>
      <c r="V114" s="283">
        <f>('Industrial Process'!V53+'Industrial Process'!V57)/1000000</f>
        <v>4.4468584223186738E-2</v>
      </c>
      <c r="W114" s="283">
        <f>('Industrial Process'!W53+'Industrial Process'!W57)/1000000</f>
        <v>3.4034008615038407E-2</v>
      </c>
      <c r="X114" s="283">
        <f>('Industrial Process'!X53+'Industrial Process'!X57)/1000000</f>
        <v>3.2297040068994039E-2</v>
      </c>
      <c r="Y114" s="283">
        <f>('Industrial Process'!Y53+'Industrial Process'!Y57)/1000000</f>
        <v>3.8151961991987775E-2</v>
      </c>
      <c r="Z114" s="283">
        <f>('Industrial Process'!Z53+'Industrial Process'!Z57)/1000000</f>
        <v>3.5571782722439778E-2</v>
      </c>
      <c r="AA114" s="283">
        <f>('Industrial Process'!AA53+'Industrial Process'!AA57)/1000000</f>
        <v>3.775794576442968E-2</v>
      </c>
      <c r="AB114" s="283">
        <f>('Industrial Process'!AB53+'Industrial Process'!AB57)/1000000</f>
        <v>4.3928330950441977E-2</v>
      </c>
      <c r="AC114" s="283">
        <f>('Industrial Process'!AC53+'Industrial Process'!AC57)/1000000</f>
        <v>2.6367068626530415E-2</v>
      </c>
      <c r="AD114" s="283">
        <f>('Industrial Process'!AD53+'Industrial Process'!AD57)/1000000</f>
        <v>3.7328850436429764E-2</v>
      </c>
      <c r="AE114" s="283">
        <f>('Industrial Process'!AE53+'Industrial Process'!AE57)/1000000</f>
        <v>2.6972039248303357E-2</v>
      </c>
      <c r="AF114" s="280">
        <f>('Industrial Process'!AF53+'Industrial Process'!AF57)/1000000</f>
        <v>2.8878418546188091E-2</v>
      </c>
      <c r="AG114" s="280">
        <f>('Industrial Process'!AG53+'Industrial Process'!AG57)/1000000</f>
        <v>4.2251046815247571E-2</v>
      </c>
      <c r="AH114" s="280">
        <f>('Industrial Process'!AH53+'Industrial Process'!AH57)/1000000</f>
        <v>3.5641687256536145E-2</v>
      </c>
      <c r="AI114" s="280">
        <f>('Industrial Process'!AI53+'Industrial Process'!AI57)/1000000</f>
        <v>2.4103411825619397E-2</v>
      </c>
      <c r="AJ114" s="1014">
        <f>('Industrial Process'!AJ53+'Industrial Process'!AJ57)/1000000</f>
        <v>0</v>
      </c>
      <c r="AK114" s="1014"/>
      <c r="AL114" s="1014"/>
      <c r="AM114" s="1014"/>
      <c r="AN114" s="1014"/>
      <c r="AO114" s="1014"/>
      <c r="AP114" s="1014"/>
      <c r="AS114" s="272"/>
      <c r="AT114" s="272"/>
      <c r="AU114" s="272"/>
    </row>
    <row r="115" spans="1:54" s="28" customFormat="1" x14ac:dyDescent="0.4">
      <c r="A115" s="379" t="s">
        <v>5</v>
      </c>
      <c r="B115" s="380">
        <f>B107</f>
        <v>0.65625199051509786</v>
      </c>
      <c r="C115" s="373">
        <f>C107</f>
        <v>0.71515416896556006</v>
      </c>
      <c r="D115" s="373">
        <f t="shared" ref="D115:AE115" si="46">D107</f>
        <v>0.73849101987423305</v>
      </c>
      <c r="E115" s="373">
        <f t="shared" si="46"/>
        <v>0.84634390373530799</v>
      </c>
      <c r="F115" s="373">
        <f t="shared" si="46"/>
        <v>0.99268777160783084</v>
      </c>
      <c r="G115" s="373">
        <f t="shared" si="46"/>
        <v>1.2942356697070025</v>
      </c>
      <c r="H115" s="373">
        <f t="shared" si="46"/>
        <v>1.5173940091650766</v>
      </c>
      <c r="I115" s="373">
        <f t="shared" si="46"/>
        <v>1.7296705098776286</v>
      </c>
      <c r="J115" s="373">
        <f t="shared" si="46"/>
        <v>2.0517836695231537</v>
      </c>
      <c r="K115" s="373">
        <f t="shared" si="46"/>
        <v>2.1722864635428154</v>
      </c>
      <c r="L115" s="373">
        <f t="shared" si="46"/>
        <v>2.2344480754691962</v>
      </c>
      <c r="M115" s="373">
        <f t="shared" si="46"/>
        <v>2.2873664104114422</v>
      </c>
      <c r="N115" s="373">
        <f t="shared" si="46"/>
        <v>2.3543108214792743</v>
      </c>
      <c r="O115" s="373">
        <f t="shared" si="46"/>
        <v>2.4553345934789768</v>
      </c>
      <c r="P115" s="373">
        <f t="shared" si="46"/>
        <v>2.3943985038673308</v>
      </c>
      <c r="Q115" s="373">
        <f t="shared" si="46"/>
        <v>2.491187372700066</v>
      </c>
      <c r="R115" s="373">
        <f t="shared" si="46"/>
        <v>2.6398819487247986</v>
      </c>
      <c r="S115" s="373">
        <f t="shared" si="46"/>
        <v>2.7783370634740137</v>
      </c>
      <c r="T115" s="373">
        <f t="shared" si="46"/>
        <v>2.927455558375383</v>
      </c>
      <c r="U115" s="373">
        <f t="shared" si="46"/>
        <v>3.375736296088339</v>
      </c>
      <c r="V115" s="373">
        <f t="shared" si="46"/>
        <v>2.8556574039997655</v>
      </c>
      <c r="W115" s="373">
        <f t="shared" si="46"/>
        <v>2.8359689544329019</v>
      </c>
      <c r="X115" s="373">
        <f t="shared" si="46"/>
        <v>3.1262089958054671</v>
      </c>
      <c r="Y115" s="373">
        <f t="shared" si="46"/>
        <v>3.8058037367623898</v>
      </c>
      <c r="Z115" s="373">
        <f t="shared" si="46"/>
        <v>4.2054910787649353</v>
      </c>
      <c r="AA115" s="373">
        <f t="shared" si="46"/>
        <v>3.7540424332673563</v>
      </c>
      <c r="AB115" s="373">
        <f t="shared" si="46"/>
        <v>3.8048005415260682</v>
      </c>
      <c r="AC115" s="373">
        <f t="shared" si="46"/>
        <v>3.3089432868880282</v>
      </c>
      <c r="AD115" s="373">
        <f t="shared" si="46"/>
        <v>3.8135695724326135</v>
      </c>
      <c r="AE115" s="373">
        <f t="shared" si="46"/>
        <v>3.6460572396013302</v>
      </c>
      <c r="AF115" s="373">
        <f t="shared" ref="AF115:AG115" si="47">AF107</f>
        <v>4.0321955751119818</v>
      </c>
      <c r="AG115" s="373">
        <f t="shared" si="47"/>
        <v>3.9978101361882903</v>
      </c>
      <c r="AH115" s="373">
        <f t="shared" ref="AH115:AI115" si="48">AH107</f>
        <v>3.4348267758324091</v>
      </c>
      <c r="AI115" s="373">
        <f t="shared" si="48"/>
        <v>3.5821232543038848</v>
      </c>
      <c r="AJ115" s="373"/>
      <c r="AK115" s="373"/>
      <c r="AL115" s="373"/>
      <c r="AM115" s="373"/>
      <c r="AN115" s="373"/>
      <c r="AO115" s="373"/>
      <c r="AP115" s="373"/>
      <c r="AS115" s="280"/>
      <c r="AT115" s="280"/>
      <c r="AU115" s="280"/>
      <c r="BB115" s="108"/>
    </row>
    <row r="116" spans="1:54" s="28" customFormat="1" x14ac:dyDescent="0.4">
      <c r="A116" s="374" t="s">
        <v>978</v>
      </c>
      <c r="B116" s="380"/>
      <c r="C116" s="373">
        <f>-(100-((C115/B115)*100))</f>
        <v>8.9755428252841511</v>
      </c>
      <c r="D116" s="373">
        <f t="shared" ref="D116:AI116" si="49">-(100-((D115/C115)*100))</f>
        <v>3.263191619567678</v>
      </c>
      <c r="E116" s="373">
        <f t="shared" si="49"/>
        <v>14.604494971305499</v>
      </c>
      <c r="F116" s="373">
        <f t="shared" si="49"/>
        <v>17.291300525311229</v>
      </c>
      <c r="G116" s="373">
        <f t="shared" si="49"/>
        <v>30.3769127336748</v>
      </c>
      <c r="H116" s="373">
        <f t="shared" si="49"/>
        <v>17.242481001052454</v>
      </c>
      <c r="I116" s="373">
        <f t="shared" si="49"/>
        <v>13.989543877885353</v>
      </c>
      <c r="J116" s="373">
        <f t="shared" si="49"/>
        <v>18.622804621228937</v>
      </c>
      <c r="K116" s="373">
        <f t="shared" si="49"/>
        <v>5.8730750131989851</v>
      </c>
      <c r="L116" s="373">
        <f t="shared" si="49"/>
        <v>2.8615752558251728</v>
      </c>
      <c r="M116" s="373">
        <f t="shared" si="49"/>
        <v>2.3682955770244973</v>
      </c>
      <c r="N116" s="373">
        <f t="shared" si="49"/>
        <v>2.926702550283153</v>
      </c>
      <c r="O116" s="373">
        <f t="shared" si="49"/>
        <v>4.2910125153409666</v>
      </c>
      <c r="P116" s="373">
        <f t="shared" si="49"/>
        <v>-2.4817835326184792</v>
      </c>
      <c r="Q116" s="373">
        <f t="shared" si="49"/>
        <v>4.0423040975178424</v>
      </c>
      <c r="R116" s="373">
        <f t="shared" si="49"/>
        <v>5.9688234475743513</v>
      </c>
      <c r="S116" s="373">
        <f t="shared" si="49"/>
        <v>5.2447464484575193</v>
      </c>
      <c r="T116" s="373">
        <f t="shared" si="49"/>
        <v>5.3671851720868062</v>
      </c>
      <c r="U116" s="373">
        <f t="shared" si="49"/>
        <v>15.312981829235127</v>
      </c>
      <c r="V116" s="373">
        <f t="shared" si="49"/>
        <v>-15.406383866275903</v>
      </c>
      <c r="W116" s="373">
        <f t="shared" si="49"/>
        <v>-0.68945418800193181</v>
      </c>
      <c r="X116" s="373">
        <f t="shared" si="49"/>
        <v>10.234246073776347</v>
      </c>
      <c r="Y116" s="373">
        <f t="shared" si="49"/>
        <v>21.738621501913542</v>
      </c>
      <c r="Z116" s="373">
        <f t="shared" si="49"/>
        <v>10.502048178200624</v>
      </c>
      <c r="AA116" s="373">
        <f t="shared" si="49"/>
        <v>-10.734742674336132</v>
      </c>
      <c r="AB116" s="373">
        <f t="shared" si="49"/>
        <v>1.3520920224264614</v>
      </c>
      <c r="AC116" s="373">
        <f t="shared" si="49"/>
        <v>-13.032411271660422</v>
      </c>
      <c r="AD116" s="373">
        <f t="shared" si="49"/>
        <v>15.250375778400624</v>
      </c>
      <c r="AE116" s="373">
        <f t="shared" si="49"/>
        <v>-4.3925338098507467</v>
      </c>
      <c r="AF116" s="373">
        <f t="shared" si="49"/>
        <v>10.590572504365639</v>
      </c>
      <c r="AG116" s="373">
        <f t="shared" si="49"/>
        <v>-0.85277210103423329</v>
      </c>
      <c r="AH116" s="373">
        <f t="shared" si="49"/>
        <v>-14.082293585174043</v>
      </c>
      <c r="AI116" s="373">
        <f t="shared" si="49"/>
        <v>4.2883233445092657</v>
      </c>
      <c r="AJ116" s="373"/>
      <c r="AK116" s="373"/>
      <c r="AL116" s="373"/>
      <c r="AM116" s="373"/>
      <c r="AN116" s="373"/>
      <c r="AO116" s="373"/>
      <c r="AP116" s="373"/>
      <c r="AS116" s="280"/>
      <c r="AT116" s="280"/>
      <c r="AU116" s="280"/>
      <c r="BB116" s="108"/>
    </row>
    <row r="117" spans="1:54" s="28" customFormat="1" ht="16.5" thickBot="1" x14ac:dyDescent="0.45">
      <c r="A117" s="1024" t="s">
        <v>977</v>
      </c>
      <c r="B117" s="380"/>
      <c r="C117" s="373">
        <f>-(100-((C115/$B$115)*100))</f>
        <v>8.9755428252841511</v>
      </c>
      <c r="D117" s="373">
        <f t="shared" ref="D117:AF117" si="50">-(100-((D115/$B$115)*100))</f>
        <v>12.531623606137202</v>
      </c>
      <c r="E117" s="373">
        <f t="shared" si="50"/>
        <v>28.966298916823916</v>
      </c>
      <c r="F117" s="373">
        <f t="shared" si="50"/>
        <v>51.266249238903129</v>
      </c>
      <c r="G117" s="373">
        <f t="shared" si="50"/>
        <v>97.216265765707732</v>
      </c>
      <c r="H117" s="373">
        <f t="shared" si="50"/>
        <v>131.22124292134504</v>
      </c>
      <c r="I117" s="373">
        <f t="shared" si="50"/>
        <v>163.56804015481845</v>
      </c>
      <c r="J117" s="373">
        <f t="shared" si="50"/>
        <v>212.65180131685253</v>
      </c>
      <c r="K117" s="373">
        <f t="shared" si="50"/>
        <v>231.01407613830918</v>
      </c>
      <c r="L117" s="373">
        <f t="shared" si="50"/>
        <v>240.48629303438128</v>
      </c>
      <c r="M117" s="373">
        <f t="shared" si="50"/>
        <v>248.55001485268923</v>
      </c>
      <c r="N117" s="373">
        <f t="shared" si="50"/>
        <v>258.75103702639518</v>
      </c>
      <c r="O117" s="373">
        <f t="shared" si="50"/>
        <v>274.14508892411334</v>
      </c>
      <c r="P117" s="373">
        <f t="shared" si="50"/>
        <v>264.85961771909399</v>
      </c>
      <c r="Q117" s="373">
        <f t="shared" si="50"/>
        <v>279.60835299634084</v>
      </c>
      <c r="R117" s="373">
        <f t="shared" si="50"/>
        <v>302.26650537893721</v>
      </c>
      <c r="S117" s="373">
        <f t="shared" si="50"/>
        <v>323.36436363313322</v>
      </c>
      <c r="T117" s="373">
        <f t="shared" si="50"/>
        <v>346.08711298195038</v>
      </c>
      <c r="U117" s="373">
        <f t="shared" si="50"/>
        <v>414.396351535436</v>
      </c>
      <c r="V117" s="373">
        <f t="shared" si="50"/>
        <v>335.14647502376869</v>
      </c>
      <c r="W117" s="373">
        <f t="shared" si="50"/>
        <v>332.14633942777459</v>
      </c>
      <c r="X117" s="373">
        <f t="shared" si="50"/>
        <v>376.37325920362974</v>
      </c>
      <c r="Y117" s="373">
        <f t="shared" si="50"/>
        <v>479.93023895823637</v>
      </c>
      <c r="Z117" s="373">
        <f t="shared" si="50"/>
        <v>540.83479205358435</v>
      </c>
      <c r="AA117" s="373">
        <f t="shared" si="50"/>
        <v>472.04282615901491</v>
      </c>
      <c r="AB117" s="373">
        <f t="shared" si="50"/>
        <v>479.77737157637375</v>
      </c>
      <c r="AC117" s="373">
        <f t="shared" si="50"/>
        <v>404.21840005251795</v>
      </c>
      <c r="AD117" s="373">
        <f t="shared" si="50"/>
        <v>481.11360080436634</v>
      </c>
      <c r="AE117" s="373">
        <f t="shared" si="50"/>
        <v>455.58798941539339</v>
      </c>
      <c r="AF117" s="373">
        <f t="shared" si="50"/>
        <v>514.42793825997796</v>
      </c>
      <c r="AG117" s="373">
        <f t="shared" ref="AG117:AH117" si="51">-(100-((AG115/$B$115)*100))</f>
        <v>509.1882682215371</v>
      </c>
      <c r="AH117" s="373">
        <f t="shared" si="51"/>
        <v>423.40058780414267</v>
      </c>
      <c r="AI117" s="373">
        <f t="shared" ref="AI117" si="52">-(100-((AI115/$B$115)*100))</f>
        <v>445.84569739624646</v>
      </c>
      <c r="AJ117" s="373"/>
      <c r="AK117" s="373"/>
      <c r="AL117" s="373"/>
      <c r="AM117" s="373"/>
      <c r="AN117" s="373"/>
      <c r="AO117" s="373"/>
      <c r="AP117" s="373"/>
      <c r="AS117" s="280"/>
      <c r="AT117" s="280"/>
      <c r="AU117" s="280"/>
      <c r="BB117" s="108"/>
    </row>
    <row r="118" spans="1:54" s="28" customFormat="1" x14ac:dyDescent="0.4">
      <c r="A118" s="374" t="s">
        <v>56</v>
      </c>
      <c r="C118" s="280"/>
      <c r="D118" s="280"/>
      <c r="E118" s="280"/>
      <c r="F118" s="280"/>
      <c r="G118" s="280"/>
      <c r="H118" s="280"/>
      <c r="I118" s="280"/>
      <c r="J118" s="280"/>
      <c r="K118" s="280"/>
      <c r="L118" s="280"/>
      <c r="M118" s="280"/>
      <c r="N118" s="280"/>
      <c r="O118" s="280"/>
      <c r="P118" s="280"/>
      <c r="Q118" s="280"/>
      <c r="R118" s="280"/>
      <c r="S118" s="280"/>
      <c r="T118" s="280"/>
      <c r="U118" s="280"/>
      <c r="V118" s="280"/>
      <c r="W118" s="280"/>
      <c r="X118" s="280"/>
      <c r="Y118" s="280"/>
      <c r="Z118" s="280"/>
      <c r="AA118" s="280"/>
      <c r="AB118" s="280"/>
      <c r="AC118" s="280"/>
      <c r="AD118" s="280"/>
      <c r="AE118" s="375"/>
      <c r="AF118" s="375"/>
      <c r="AG118" s="375"/>
      <c r="AH118" s="375"/>
      <c r="AI118" s="375"/>
      <c r="AJ118" s="375"/>
      <c r="AK118" s="1020">
        <v>3.6</v>
      </c>
      <c r="AL118" s="375"/>
      <c r="AM118" s="375"/>
      <c r="AN118" s="375"/>
      <c r="AO118" s="375"/>
      <c r="AP118" s="392"/>
      <c r="AS118" s="280"/>
      <c r="AT118" s="280"/>
      <c r="AU118" s="280"/>
      <c r="BB118" s="108"/>
    </row>
    <row r="119" spans="1:54" s="28" customFormat="1" x14ac:dyDescent="0.4">
      <c r="A119" s="374" t="s">
        <v>57</v>
      </c>
      <c r="C119" s="280"/>
      <c r="D119" s="280"/>
      <c r="E119" s="280"/>
      <c r="F119" s="280"/>
      <c r="G119" s="280"/>
      <c r="H119" s="280"/>
      <c r="I119" s="280"/>
      <c r="J119" s="280"/>
      <c r="K119" s="280"/>
      <c r="L119" s="280"/>
      <c r="M119" s="280"/>
      <c r="N119" s="280"/>
      <c r="O119" s="280"/>
      <c r="P119" s="280"/>
      <c r="Q119" s="280"/>
      <c r="R119" s="280"/>
      <c r="S119" s="280"/>
      <c r="T119" s="280"/>
      <c r="U119" s="280"/>
      <c r="V119" s="280"/>
      <c r="W119" s="280"/>
      <c r="X119" s="280"/>
      <c r="Y119" s="280"/>
      <c r="Z119" s="280"/>
      <c r="AA119" s="280"/>
      <c r="AB119" s="280"/>
      <c r="AC119" s="280"/>
      <c r="AD119" s="280"/>
      <c r="AE119" s="280"/>
      <c r="AF119" s="280"/>
      <c r="AG119" s="280"/>
      <c r="AH119" s="280"/>
      <c r="AI119" s="280"/>
      <c r="AJ119" s="280"/>
      <c r="AK119" s="280"/>
      <c r="AL119" s="280"/>
      <c r="AM119" s="280"/>
      <c r="AN119" s="280"/>
      <c r="AO119" s="280"/>
      <c r="AP119" s="391">
        <v>2.5</v>
      </c>
      <c r="AS119" s="280"/>
      <c r="AT119" s="280"/>
      <c r="AU119" s="280"/>
      <c r="BB119" s="108"/>
    </row>
    <row r="120" spans="1:54" s="28" customFormat="1" x14ac:dyDescent="0.4">
      <c r="A120" s="378" t="s">
        <v>58</v>
      </c>
      <c r="B120" s="383">
        <f>B115+(B115*0.27)</f>
        <v>0.83344002795417427</v>
      </c>
      <c r="C120" s="280"/>
      <c r="D120" s="280"/>
      <c r="E120" s="280"/>
      <c r="F120" s="280"/>
      <c r="G120" s="280"/>
      <c r="H120" s="280"/>
      <c r="I120" s="280"/>
      <c r="J120" s="280"/>
      <c r="K120" s="280"/>
      <c r="L120" s="280"/>
      <c r="M120" s="280"/>
      <c r="N120" s="280"/>
      <c r="O120" s="280"/>
      <c r="P120" s="280"/>
      <c r="Q120" s="280"/>
      <c r="R120" s="280"/>
      <c r="S120" s="280"/>
      <c r="T120" s="280"/>
      <c r="U120" s="280"/>
      <c r="V120" s="280"/>
      <c r="W120" s="280"/>
      <c r="X120" s="280"/>
      <c r="Y120" s="280"/>
      <c r="Z120" s="280"/>
      <c r="AA120" s="280"/>
      <c r="AB120" s="280"/>
      <c r="AC120" s="280"/>
      <c r="AD120" s="280"/>
      <c r="AE120" s="280"/>
      <c r="AF120" s="280"/>
      <c r="AG120" s="280"/>
      <c r="AH120" s="280"/>
      <c r="AI120" s="280"/>
      <c r="AJ120" s="280"/>
      <c r="AK120" s="280"/>
      <c r="AL120" s="280"/>
      <c r="AM120" s="280"/>
      <c r="AN120" s="280"/>
      <c r="AO120" s="280"/>
      <c r="AP120" s="280"/>
      <c r="AS120" s="280"/>
      <c r="AT120" s="280"/>
      <c r="AU120" s="280"/>
      <c r="BB120" s="108"/>
    </row>
    <row r="121" spans="1:54" ht="16.5" thickBot="1" x14ac:dyDescent="0.45">
      <c r="A121" s="385" t="s">
        <v>1063</v>
      </c>
      <c r="AC121" s="328"/>
      <c r="AD121" s="328"/>
      <c r="AE121" s="328"/>
      <c r="AF121" s="328"/>
      <c r="AG121" s="328"/>
      <c r="AH121" s="328"/>
      <c r="AI121" s="328"/>
      <c r="AJ121" s="328"/>
      <c r="AK121" s="328"/>
      <c r="AL121" s="328"/>
      <c r="AM121" s="328"/>
      <c r="AN121" s="328"/>
      <c r="AO121" s="328"/>
      <c r="AP121" s="328"/>
      <c r="AQ121" s="328"/>
      <c r="AS121" s="329"/>
      <c r="AT121" s="329"/>
      <c r="AU121" s="329"/>
    </row>
    <row r="122" spans="1:54" x14ac:dyDescent="0.4">
      <c r="B122" s="281"/>
      <c r="C122" s="281"/>
      <c r="D122" s="281"/>
      <c r="E122" s="281"/>
      <c r="F122" s="281"/>
      <c r="G122" s="281"/>
      <c r="H122" s="281"/>
      <c r="I122" s="281"/>
      <c r="J122" s="281"/>
      <c r="K122" s="281"/>
      <c r="L122" s="281"/>
      <c r="M122" s="281"/>
      <c r="N122" s="281"/>
      <c r="O122" s="281"/>
      <c r="P122" s="281"/>
      <c r="Q122" s="281"/>
      <c r="R122" s="281"/>
      <c r="S122" s="281"/>
      <c r="T122" s="281"/>
      <c r="U122" s="281"/>
      <c r="V122" s="281"/>
      <c r="W122" s="281"/>
      <c r="X122" s="281"/>
      <c r="Y122" s="281"/>
      <c r="Z122" s="281"/>
      <c r="AA122" s="281"/>
      <c r="AB122" s="281"/>
      <c r="AC122" s="281"/>
      <c r="AD122" s="281"/>
      <c r="AE122" s="281"/>
      <c r="AF122" s="281"/>
      <c r="AG122" s="281"/>
      <c r="AH122" s="281"/>
      <c r="AI122" s="281"/>
      <c r="BB122" s="3"/>
    </row>
    <row r="123" spans="1:54" x14ac:dyDescent="0.4">
      <c r="A123" s="395" t="s">
        <v>1064</v>
      </c>
    </row>
  </sheetData>
  <hyperlinks>
    <hyperlink ref="A2" location="Contents!A1" display="Return to Contents tab" xr:uid="{0EDB9EDD-0A74-43C4-878F-9D656E570783}"/>
    <hyperlink ref="A3" location="'Sector Sublimits'!A23" display="Go to Data on Sector Sublimits Worksheet" xr:uid="{AD79B419-4F15-435A-8BA2-52158F90D4C4}"/>
  </hyperlinks>
  <pageMargins left="0.7" right="0.7" top="0.75" bottom="0.75" header="0.3" footer="0.3"/>
  <pageSetup scale="17" orientation="landscape" r:id="rId1"/>
  <drawing r:id="rId2"/>
  <tableParts count="6">
    <tablePart r:id="rId3"/>
    <tablePart r:id="rId4"/>
    <tablePart r:id="rId5"/>
    <tablePart r:id="rId6"/>
    <tablePart r:id="rId7"/>
    <tablePart r:id="rId8"/>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C44"/>
  <sheetViews>
    <sheetView zoomScaleNormal="100" zoomScaleSheetLayoutView="30" workbookViewId="0">
      <pane xSplit="1" topLeftCell="B1" activePane="topRight" state="frozen"/>
      <selection activeCell="A3" sqref="A3"/>
      <selection pane="topRight"/>
    </sheetView>
  </sheetViews>
  <sheetFormatPr defaultColWidth="8.81640625" defaultRowHeight="16" x14ac:dyDescent="0.4"/>
  <cols>
    <col min="1" max="1" width="59.26953125" style="3" bestFit="1" customWidth="1"/>
    <col min="2" max="35" width="6.453125" style="3" bestFit="1" customWidth="1"/>
    <col min="36" max="36" width="7.81640625" style="3" customWidth="1"/>
    <col min="37" max="37" width="16.81640625" style="3" customWidth="1"/>
    <col min="38" max="38" width="17.453125" style="3" customWidth="1"/>
    <col min="39" max="39" width="11.54296875" style="3" customWidth="1"/>
    <col min="40" max="40" width="25.1796875" style="3" customWidth="1"/>
    <col min="41" max="41" width="9.453125" style="3" customWidth="1"/>
    <col min="42" max="42" width="12.453125" style="3" customWidth="1"/>
    <col min="43" max="43" width="11.453125" style="3" customWidth="1"/>
    <col min="44" max="44" width="13.54296875" style="3" customWidth="1"/>
    <col min="45" max="46" width="11.453125" style="3" customWidth="1"/>
    <col min="47" max="47" width="11.54296875" style="3" customWidth="1"/>
    <col min="48" max="48" width="30" style="11" bestFit="1" customWidth="1"/>
    <col min="49" max="49" width="13.26953125" style="3" bestFit="1" customWidth="1"/>
    <col min="50" max="50" width="13" style="3" bestFit="1" customWidth="1"/>
    <col min="51" max="51" width="15.26953125" style="3" customWidth="1"/>
    <col min="52" max="53" width="8.81640625" style="3"/>
    <col min="54" max="54" width="13.54296875" style="3" customWidth="1"/>
    <col min="55" max="16384" width="8.81640625" style="3"/>
  </cols>
  <sheetData>
    <row r="1" spans="1:50" ht="21" x14ac:dyDescent="0.4">
      <c r="A1" s="263" t="s">
        <v>1618</v>
      </c>
    </row>
    <row r="2" spans="1:50" x14ac:dyDescent="0.4">
      <c r="A2" s="1011" t="s">
        <v>730</v>
      </c>
    </row>
    <row r="3" spans="1:50" x14ac:dyDescent="0.4">
      <c r="A3" s="1011" t="s">
        <v>1074</v>
      </c>
    </row>
    <row r="4" spans="1:50" x14ac:dyDescent="0.4">
      <c r="A4" s="266"/>
      <c r="C4" s="266"/>
      <c r="D4" s="266"/>
      <c r="E4" s="266"/>
    </row>
    <row r="5" spans="1:50" x14ac:dyDescent="0.4">
      <c r="A5" s="42" t="s">
        <v>1070</v>
      </c>
      <c r="B5" s="331"/>
      <c r="C5" s="266"/>
      <c r="D5" s="266"/>
      <c r="E5" s="266"/>
      <c r="AV5" s="3"/>
      <c r="AX5" s="11"/>
    </row>
    <row r="6" spans="1:50" ht="17" x14ac:dyDescent="0.45">
      <c r="A6" s="42" t="s">
        <v>954</v>
      </c>
      <c r="B6" s="54"/>
      <c r="C6" s="54"/>
      <c r="D6" s="54"/>
      <c r="E6" s="54"/>
      <c r="F6" s="54"/>
      <c r="G6" s="54"/>
      <c r="H6" s="54"/>
      <c r="I6" s="54"/>
      <c r="J6" s="54"/>
      <c r="K6" s="54"/>
      <c r="L6" s="54"/>
      <c r="M6" s="54"/>
      <c r="N6" s="54"/>
      <c r="O6" s="54"/>
      <c r="AV6" s="3"/>
      <c r="AX6" s="11"/>
    </row>
    <row r="7" spans="1:50" s="60" customFormat="1" ht="16.5" thickBot="1" x14ac:dyDescent="0.45">
      <c r="A7" s="96" t="s">
        <v>718</v>
      </c>
      <c r="B7" s="269" t="s">
        <v>391</v>
      </c>
      <c r="C7" s="270" t="s">
        <v>392</v>
      </c>
      <c r="D7" s="270" t="s">
        <v>393</v>
      </c>
      <c r="E7" s="270" t="s">
        <v>394</v>
      </c>
      <c r="F7" s="270" t="s">
        <v>395</v>
      </c>
      <c r="G7" s="270" t="s">
        <v>396</v>
      </c>
      <c r="H7" s="270" t="s">
        <v>397</v>
      </c>
      <c r="I7" s="270" t="s">
        <v>398</v>
      </c>
      <c r="J7" s="270" t="s">
        <v>399</v>
      </c>
      <c r="K7" s="270" t="s">
        <v>400</v>
      </c>
      <c r="L7" s="270" t="s">
        <v>401</v>
      </c>
      <c r="M7" s="270" t="s">
        <v>402</v>
      </c>
      <c r="N7" s="270" t="s">
        <v>403</v>
      </c>
      <c r="O7" s="270" t="s">
        <v>404</v>
      </c>
      <c r="P7" s="270" t="s">
        <v>405</v>
      </c>
      <c r="Q7" s="270" t="s">
        <v>406</v>
      </c>
      <c r="R7" s="270" t="s">
        <v>407</v>
      </c>
      <c r="S7" s="270" t="s">
        <v>408</v>
      </c>
      <c r="T7" s="270" t="s">
        <v>409</v>
      </c>
      <c r="U7" s="270" t="s">
        <v>410</v>
      </c>
      <c r="V7" s="270" t="s">
        <v>411</v>
      </c>
      <c r="W7" s="270" t="s">
        <v>412</v>
      </c>
      <c r="X7" s="270" t="s">
        <v>413</v>
      </c>
      <c r="Y7" s="270" t="s">
        <v>414</v>
      </c>
      <c r="Z7" s="270" t="s">
        <v>415</v>
      </c>
      <c r="AA7" s="270" t="s">
        <v>416</v>
      </c>
      <c r="AB7" s="270" t="s">
        <v>417</v>
      </c>
      <c r="AC7" s="270" t="s">
        <v>418</v>
      </c>
      <c r="AD7" s="270" t="s">
        <v>419</v>
      </c>
      <c r="AE7" s="270" t="s">
        <v>420</v>
      </c>
      <c r="AF7" s="270" t="s">
        <v>421</v>
      </c>
      <c r="AG7" s="270" t="s">
        <v>422</v>
      </c>
      <c r="AH7" s="270" t="s">
        <v>423</v>
      </c>
      <c r="AI7" s="270" t="s">
        <v>424</v>
      </c>
      <c r="AL7" s="271"/>
      <c r="AM7" s="71"/>
      <c r="AN7" s="71"/>
      <c r="AO7" s="71"/>
      <c r="AS7" s="112"/>
      <c r="AT7" s="112"/>
      <c r="AV7" s="112"/>
    </row>
    <row r="8" spans="1:50" ht="17" x14ac:dyDescent="0.45">
      <c r="A8" s="1106" t="s">
        <v>459</v>
      </c>
      <c r="B8" s="1107">
        <f>B9+B12+B15+B16+B21+B24</f>
        <v>87.113209003522158</v>
      </c>
      <c r="C8" s="375">
        <f t="shared" ref="C8:AD8" si="0">C9+C12+C15+C16+C21+C24</f>
        <v>84.743630631290202</v>
      </c>
      <c r="D8" s="375">
        <f t="shared" si="0"/>
        <v>86.717623000475527</v>
      </c>
      <c r="E8" s="375">
        <f t="shared" si="0"/>
        <v>84.637096805003253</v>
      </c>
      <c r="F8" s="375">
        <f t="shared" si="0"/>
        <v>84.800136445079048</v>
      </c>
      <c r="G8" s="375">
        <f t="shared" si="0"/>
        <v>82.46508367479926</v>
      </c>
      <c r="H8" s="375">
        <f t="shared" si="0"/>
        <v>82.996532498656819</v>
      </c>
      <c r="I8" s="375">
        <f t="shared" si="0"/>
        <v>87.721165739086445</v>
      </c>
      <c r="J8" s="375">
        <f t="shared" si="0"/>
        <v>85.744646452889356</v>
      </c>
      <c r="K8" s="375">
        <f t="shared" si="0"/>
        <v>84.597215327711851</v>
      </c>
      <c r="L8" s="375">
        <f t="shared" si="0"/>
        <v>87.105678864678424</v>
      </c>
      <c r="M8" s="375">
        <f t="shared" si="0"/>
        <v>86.529144081263041</v>
      </c>
      <c r="N8" s="375">
        <f t="shared" si="0"/>
        <v>88.205493344256155</v>
      </c>
      <c r="O8" s="375">
        <f t="shared" si="0"/>
        <v>89.755352813851118</v>
      </c>
      <c r="P8" s="375">
        <f t="shared" si="0"/>
        <v>87.796173689749409</v>
      </c>
      <c r="Q8" s="375">
        <f t="shared" si="0"/>
        <v>89.424569587890034</v>
      </c>
      <c r="R8" s="375">
        <f t="shared" si="0"/>
        <v>80.834635444611976</v>
      </c>
      <c r="S8" s="375">
        <f t="shared" si="0"/>
        <v>83.66540438853491</v>
      </c>
      <c r="T8" s="375">
        <f t="shared" si="0"/>
        <v>80.74589662184836</v>
      </c>
      <c r="U8" s="375">
        <f t="shared" si="0"/>
        <v>75.168339943582168</v>
      </c>
      <c r="V8" s="375">
        <f t="shared" si="0"/>
        <v>77.220666823922983</v>
      </c>
      <c r="W8" s="375">
        <f t="shared" si="0"/>
        <v>71.991799437025762</v>
      </c>
      <c r="X8" s="375">
        <f t="shared" si="0"/>
        <v>65.482218995696797</v>
      </c>
      <c r="Y8" s="375">
        <f t="shared" si="0"/>
        <v>69.569888312934665</v>
      </c>
      <c r="Z8" s="375">
        <f t="shared" si="0"/>
        <v>67.816779625857009</v>
      </c>
      <c r="AA8" s="375">
        <f t="shared" si="0"/>
        <v>69.37885785824146</v>
      </c>
      <c r="AB8" s="375">
        <f t="shared" si="0"/>
        <v>65.731296635332711</v>
      </c>
      <c r="AC8" s="375">
        <f t="shared" si="0"/>
        <v>65.42434327335765</v>
      </c>
      <c r="AD8" s="375">
        <f t="shared" si="0"/>
        <v>66.103945532454759</v>
      </c>
      <c r="AE8" s="375">
        <f>AE9+AE12+AE15+AE16+AE21+AE24</f>
        <v>65.038613408439943</v>
      </c>
      <c r="AF8" s="375">
        <f>AF9+AF12+AF15+AF16+AF21+AF24</f>
        <v>58.427227440642689</v>
      </c>
      <c r="AG8" s="375">
        <f>AG9+AG12+AG15+AG16+AG21+AG24</f>
        <v>61.518057095547604</v>
      </c>
      <c r="AH8" s="375">
        <f>AH9+AH12+AH15+AH16+AH21+AH24</f>
        <v>63.007620890893946</v>
      </c>
      <c r="AI8" s="1412">
        <f>AI9+AI12+AI15+AI16+AI21+AI24</f>
        <v>60.024451367813775</v>
      </c>
      <c r="AL8" s="480"/>
      <c r="AN8" s="272"/>
      <c r="AO8" s="272"/>
      <c r="AS8" s="40"/>
      <c r="AT8" s="40"/>
    </row>
    <row r="9" spans="1:50" ht="17" x14ac:dyDescent="0.45">
      <c r="A9" s="273" t="s">
        <v>460</v>
      </c>
      <c r="B9" s="274">
        <f t="shared" ref="B9" si="1">B10+B11</f>
        <v>15.31365040534536</v>
      </c>
      <c r="C9" s="274">
        <f t="shared" ref="C9:X9" si="2">C10+C11</f>
        <v>14.518561901071031</v>
      </c>
      <c r="D9" s="274">
        <f t="shared" si="2"/>
        <v>16.637356745667098</v>
      </c>
      <c r="E9" s="274">
        <f t="shared" si="2"/>
        <v>16.765001626446427</v>
      </c>
      <c r="F9" s="274">
        <f t="shared" si="2"/>
        <v>16.5798858667393</v>
      </c>
      <c r="G9" s="274">
        <f t="shared" si="2"/>
        <v>14.981382499081906</v>
      </c>
      <c r="H9" s="274">
        <f t="shared" si="2"/>
        <v>14.782858365913283</v>
      </c>
      <c r="I9" s="274">
        <f t="shared" si="2"/>
        <v>14.564592342096235</v>
      </c>
      <c r="J9" s="274">
        <f t="shared" si="2"/>
        <v>13.354760517636455</v>
      </c>
      <c r="K9" s="274">
        <f t="shared" si="2"/>
        <v>14.184525556803141</v>
      </c>
      <c r="L9" s="274">
        <f t="shared" si="2"/>
        <v>15.873185523164093</v>
      </c>
      <c r="M9" s="274">
        <f t="shared" si="2"/>
        <v>16.198710998491727</v>
      </c>
      <c r="N9" s="274">
        <f t="shared" si="2"/>
        <v>16.119354900942991</v>
      </c>
      <c r="O9" s="274">
        <f t="shared" si="2"/>
        <v>16.600836369533869</v>
      </c>
      <c r="P9" s="274">
        <f t="shared" si="2"/>
        <v>15.196403031679685</v>
      </c>
      <c r="Q9" s="274">
        <f t="shared" si="2"/>
        <v>15.024695557999227</v>
      </c>
      <c r="R9" s="274">
        <f t="shared" si="2"/>
        <v>12.923179297666044</v>
      </c>
      <c r="S9" s="274">
        <f t="shared" si="2"/>
        <v>13.604230714044231</v>
      </c>
      <c r="T9" s="274">
        <f t="shared" si="2"/>
        <v>14.483158972300863</v>
      </c>
      <c r="U9" s="274">
        <f t="shared" si="2"/>
        <v>13.98678803586758</v>
      </c>
      <c r="V9" s="274">
        <f t="shared" si="2"/>
        <v>13.730480782578111</v>
      </c>
      <c r="W9" s="274">
        <f t="shared" si="2"/>
        <v>13.745840787844321</v>
      </c>
      <c r="X9" s="274">
        <f t="shared" si="2"/>
        <v>11.893764667017985</v>
      </c>
      <c r="Y9" s="274">
        <f t="shared" ref="Y9:AD9" si="3">Y10+Y11</f>
        <v>12.423602730416979</v>
      </c>
      <c r="Z9" s="274">
        <f t="shared" si="3"/>
        <v>13.752359852039337</v>
      </c>
      <c r="AA9" s="274">
        <f t="shared" si="3"/>
        <v>13.664149986754941</v>
      </c>
      <c r="AB9" s="274">
        <f t="shared" si="3"/>
        <v>11.426913567612464</v>
      </c>
      <c r="AC9" s="274">
        <f t="shared" si="3"/>
        <v>12.417746232981566</v>
      </c>
      <c r="AD9" s="275">
        <f t="shared" si="3"/>
        <v>13.412382059760446</v>
      </c>
      <c r="AE9" s="274">
        <f t="shared" ref="AE9:AF9" si="4">AE10+AE11</f>
        <v>13.749066679828145</v>
      </c>
      <c r="AF9" s="274">
        <f t="shared" si="4"/>
        <v>12.234288890840196</v>
      </c>
      <c r="AG9" s="274">
        <f t="shared" ref="AG9:AH9" si="5">AG10+AG11</f>
        <v>12.614889979771682</v>
      </c>
      <c r="AH9" s="274">
        <f t="shared" si="5"/>
        <v>13.035171753664676</v>
      </c>
      <c r="AI9" s="1413">
        <f t="shared" ref="AI9" si="6">AI10+AI11</f>
        <v>11.849074030388028</v>
      </c>
      <c r="AL9" s="948"/>
      <c r="AM9" s="14"/>
      <c r="AN9" s="272"/>
      <c r="AO9" s="272"/>
      <c r="AR9" s="276"/>
      <c r="AS9" s="231"/>
      <c r="AT9" s="277"/>
      <c r="AU9" s="278"/>
      <c r="AV9" s="278"/>
    </row>
    <row r="10" spans="1:50" ht="17" x14ac:dyDescent="0.45">
      <c r="A10" s="279" t="s">
        <v>461</v>
      </c>
      <c r="B10" s="280">
        <f>'Combustion CO2'!B61</f>
        <v>15.09218729035536</v>
      </c>
      <c r="C10" s="280">
        <f>'Combustion CO2'!C61</f>
        <v>14.295364882071031</v>
      </c>
      <c r="D10" s="280">
        <f>'Combustion CO2'!D61</f>
        <v>16.396053585147097</v>
      </c>
      <c r="E10" s="280">
        <f>'Combustion CO2'!E61</f>
        <v>16.518072434056428</v>
      </c>
      <c r="F10" s="280">
        <f>'Combustion CO2'!F61</f>
        <v>16.3428113958593</v>
      </c>
      <c r="G10" s="280">
        <f>'Combustion CO2'!G61</f>
        <v>14.751248409471906</v>
      </c>
      <c r="H10" s="280">
        <f>'Combustion CO2'!H61</f>
        <v>14.548991126703283</v>
      </c>
      <c r="I10" s="280">
        <f>'Combustion CO2'!I61</f>
        <v>14.378872297176235</v>
      </c>
      <c r="J10" s="280">
        <f>'Combustion CO2'!J61</f>
        <v>13.187544748996455</v>
      </c>
      <c r="K10" s="280">
        <f>'Combustion CO2'!K61</f>
        <v>14.010791823643141</v>
      </c>
      <c r="L10" s="280">
        <f>'Combustion CO2'!L61</f>
        <v>15.683527402244092</v>
      </c>
      <c r="M10" s="280">
        <f>'Combustion CO2'!M61</f>
        <v>16.028702298201726</v>
      </c>
      <c r="N10" s="280">
        <f>'Combustion CO2'!N61</f>
        <v>15.947149742292989</v>
      </c>
      <c r="O10" s="280">
        <f>'Combustion CO2'!O61</f>
        <v>16.423981121913869</v>
      </c>
      <c r="P10" s="280">
        <f>'Combustion CO2'!P61</f>
        <v>15.023642667589685</v>
      </c>
      <c r="Q10" s="280">
        <f>'Combustion CO2'!Q61</f>
        <v>14.927432156389226</v>
      </c>
      <c r="R10" s="280">
        <f>'Combustion CO2'!R61</f>
        <v>12.839080399416044</v>
      </c>
      <c r="S10" s="280">
        <f>'Combustion CO2'!S61</f>
        <v>13.515090275824232</v>
      </c>
      <c r="T10" s="280">
        <f>'Combustion CO2'!T61</f>
        <v>14.388754011560863</v>
      </c>
      <c r="U10" s="280">
        <f>'Combustion CO2'!U61</f>
        <v>13.844098792417579</v>
      </c>
      <c r="V10" s="280">
        <f>'Combustion CO2'!V61</f>
        <v>13.58211312760811</v>
      </c>
      <c r="W10" s="280">
        <f>'Combustion CO2'!W61</f>
        <v>13.600460828624321</v>
      </c>
      <c r="X10" s="280">
        <f>'Combustion CO2'!X61</f>
        <v>11.771252865487984</v>
      </c>
      <c r="Y10" s="280">
        <f>'Combustion CO2'!Y61</f>
        <v>12.275948634716979</v>
      </c>
      <c r="Z10" s="280">
        <f>'Combustion CO2'!Z61</f>
        <v>13.597318047079337</v>
      </c>
      <c r="AA10" s="280">
        <f>'Combustion CO2'!AA61</f>
        <v>13.519448387674942</v>
      </c>
      <c r="AB10" s="280">
        <f>'Combustion CO2'!AB61</f>
        <v>11.310053467582465</v>
      </c>
      <c r="AC10" s="280">
        <f>'Combustion CO2'!AC61</f>
        <v>12.297294972031565</v>
      </c>
      <c r="AD10" s="281">
        <f>'Combustion CO2'!AD61</f>
        <v>13.287752133780446</v>
      </c>
      <c r="AE10" s="280">
        <f>'Combustion CO2'!AE61</f>
        <v>13.607792464408146</v>
      </c>
      <c r="AF10" s="280">
        <f>'Combustion CO2'!AF61</f>
        <v>12.105531353840195</v>
      </c>
      <c r="AG10" s="280">
        <f>'Combustion CO2'!AG61</f>
        <v>12.481778897291683</v>
      </c>
      <c r="AH10" s="280">
        <f>'Combustion CO2'!AH61</f>
        <v>12.880271418154676</v>
      </c>
      <c r="AI10" s="1414">
        <f>'Combustion CO2'!AI61</f>
        <v>11.712554814178027</v>
      </c>
      <c r="AK10" s="276"/>
      <c r="AL10" s="282"/>
      <c r="AM10" s="231"/>
      <c r="AN10" s="280"/>
      <c r="AO10" s="272"/>
      <c r="AS10" s="231"/>
      <c r="AT10" s="277"/>
      <c r="AU10" s="278"/>
      <c r="AV10" s="278"/>
    </row>
    <row r="11" spans="1:50" x14ac:dyDescent="0.4">
      <c r="A11" s="279" t="s">
        <v>27</v>
      </c>
      <c r="B11" s="283">
        <f>'Stationary CH4 and N2O'!B76</f>
        <v>0.22146311499000002</v>
      </c>
      <c r="C11" s="283">
        <f>'Stationary CH4 and N2O'!C76</f>
        <v>0.22319701900000005</v>
      </c>
      <c r="D11" s="283">
        <f>'Stationary CH4 and N2O'!D76</f>
        <v>0.24130316051999992</v>
      </c>
      <c r="E11" s="283">
        <f>'Stationary CH4 and N2O'!E76</f>
        <v>0.24692919239</v>
      </c>
      <c r="F11" s="283">
        <f>'Stationary CH4 and N2O'!F76</f>
        <v>0.23707447087999997</v>
      </c>
      <c r="G11" s="283">
        <f>'Stationary CH4 and N2O'!G76</f>
        <v>0.23013408960999995</v>
      </c>
      <c r="H11" s="283">
        <f>'Stationary CH4 and N2O'!H76</f>
        <v>0.23386723920999997</v>
      </c>
      <c r="I11" s="283">
        <f>'Stationary CH4 and N2O'!I76</f>
        <v>0.18572004491999994</v>
      </c>
      <c r="J11" s="283">
        <f>'Stationary CH4 and N2O'!J76</f>
        <v>0.16721576863999998</v>
      </c>
      <c r="K11" s="283">
        <f>'Stationary CH4 and N2O'!K76</f>
        <v>0.17373373315999999</v>
      </c>
      <c r="L11" s="283">
        <f>'Stationary CH4 and N2O'!L76</f>
        <v>0.18965812091999995</v>
      </c>
      <c r="M11" s="283">
        <f>'Stationary CH4 and N2O'!M76</f>
        <v>0.17000870028999995</v>
      </c>
      <c r="N11" s="283">
        <f>'Stationary CH4 and N2O'!N76</f>
        <v>0.17220515864999997</v>
      </c>
      <c r="O11" s="283">
        <f>'Stationary CH4 and N2O'!O76</f>
        <v>0.17685524761999996</v>
      </c>
      <c r="P11" s="283">
        <f>'Stationary CH4 and N2O'!P76</f>
        <v>0.17276036408999998</v>
      </c>
      <c r="Q11" s="283">
        <f>'Stationary CH4 and N2O'!Q76</f>
        <v>9.7263401609999994E-2</v>
      </c>
      <c r="R11" s="283">
        <f>'Stationary CH4 and N2O'!R76</f>
        <v>8.4098898249999984E-2</v>
      </c>
      <c r="S11" s="283">
        <f>'Stationary CH4 and N2O'!S76</f>
        <v>8.9140438219999993E-2</v>
      </c>
      <c r="T11" s="283">
        <f>'Stationary CH4 and N2O'!T76</f>
        <v>9.4404960739999974E-2</v>
      </c>
      <c r="U11" s="283">
        <f>'Stationary CH4 and N2O'!U76</f>
        <v>0.14268924344999998</v>
      </c>
      <c r="V11" s="283">
        <f>'Stationary CH4 and N2O'!V76</f>
        <v>0.14836765496999998</v>
      </c>
      <c r="W11" s="283">
        <f>'Stationary CH4 and N2O'!W76</f>
        <v>0.14537995921999997</v>
      </c>
      <c r="X11" s="283">
        <f>'Stationary CH4 and N2O'!X76</f>
        <v>0.12251180153000001</v>
      </c>
      <c r="Y11" s="283">
        <f>'Stationary CH4 and N2O'!Y76</f>
        <v>0.14765409569999999</v>
      </c>
      <c r="Z11" s="283">
        <f>'Stationary CH4 and N2O'!Z76</f>
        <v>0.15504180495999997</v>
      </c>
      <c r="AA11" s="280">
        <f>'Stationary CH4 and N2O'!AA76</f>
        <v>0.14470159907999999</v>
      </c>
      <c r="AB11" s="280">
        <f>'Stationary CH4 and N2O'!AB76</f>
        <v>0.11686010002999998</v>
      </c>
      <c r="AC11" s="280">
        <f>'Stationary CH4 and N2O'!AC76</f>
        <v>0.12045126095</v>
      </c>
      <c r="AD11" s="281">
        <f>'Stationary CH4 and N2O'!AD76</f>
        <v>0.12462992597999997</v>
      </c>
      <c r="AE11" s="280">
        <f>'Stationary CH4 and N2O'!AE76</f>
        <v>0.14127421541999999</v>
      </c>
      <c r="AF11" s="280">
        <f>'Stationary CH4 and N2O'!AF76</f>
        <v>0.12875753699999998</v>
      </c>
      <c r="AG11" s="280">
        <f>'Stationary CH4 and N2O'!AG76</f>
        <v>0.13311108247999998</v>
      </c>
      <c r="AH11" s="280">
        <f>'Stationary CH4 and N2O'!AH76</f>
        <v>0.15490033550999999</v>
      </c>
      <c r="AI11" s="1414">
        <f>'Stationary CH4 and N2O'!AI76</f>
        <v>0.13651921620999999</v>
      </c>
      <c r="AL11" s="284"/>
      <c r="AM11" s="231"/>
      <c r="AN11" s="280"/>
      <c r="AO11" s="272"/>
      <c r="AR11" s="276"/>
      <c r="AS11" s="285"/>
      <c r="AT11" s="277"/>
      <c r="AU11" s="278"/>
      <c r="AV11" s="278"/>
    </row>
    <row r="12" spans="1:50" ht="17" x14ac:dyDescent="0.45">
      <c r="A12" s="286" t="s">
        <v>462</v>
      </c>
      <c r="B12" s="287">
        <f t="shared" ref="B12" si="7">B13+B14</f>
        <v>8.4498373292805997</v>
      </c>
      <c r="C12" s="287">
        <f t="shared" ref="C12:X12" si="8">C13+C14</f>
        <v>9.2327174055964747</v>
      </c>
      <c r="D12" s="287">
        <f t="shared" si="8"/>
        <v>8.9900720556205993</v>
      </c>
      <c r="E12" s="287">
        <f t="shared" si="8"/>
        <v>8.0482362214060164</v>
      </c>
      <c r="F12" s="287">
        <f t="shared" si="8"/>
        <v>8.921629042544625</v>
      </c>
      <c r="G12" s="287">
        <f t="shared" si="8"/>
        <v>9.0187998178736368</v>
      </c>
      <c r="H12" s="287">
        <f t="shared" si="8"/>
        <v>9.1210152080864475</v>
      </c>
      <c r="I12" s="287">
        <f t="shared" si="8"/>
        <v>9.5098828363490036</v>
      </c>
      <c r="J12" s="287">
        <f t="shared" si="8"/>
        <v>8.1251718135853483</v>
      </c>
      <c r="K12" s="287">
        <f t="shared" si="8"/>
        <v>6.2393751516955165</v>
      </c>
      <c r="L12" s="287">
        <f t="shared" si="8"/>
        <v>6.8430242216658304</v>
      </c>
      <c r="M12" s="287">
        <f t="shared" si="8"/>
        <v>5.8080883608675817</v>
      </c>
      <c r="N12" s="287">
        <f t="shared" si="8"/>
        <v>5.9304043098722525</v>
      </c>
      <c r="O12" s="287">
        <f t="shared" si="8"/>
        <v>7.1634713428097143</v>
      </c>
      <c r="P12" s="287">
        <f t="shared" si="8"/>
        <v>6.5866158927197862</v>
      </c>
      <c r="Q12" s="287">
        <f t="shared" si="8"/>
        <v>6.7227133446511402</v>
      </c>
      <c r="R12" s="287">
        <f t="shared" si="8"/>
        <v>5.0430993802870772</v>
      </c>
      <c r="S12" s="287">
        <f t="shared" si="8"/>
        <v>5.3760374991415771</v>
      </c>
      <c r="T12" s="287">
        <f t="shared" si="8"/>
        <v>5.6229900450532995</v>
      </c>
      <c r="U12" s="287">
        <f t="shared" si="8"/>
        <v>5.8286978660278645</v>
      </c>
      <c r="V12" s="287">
        <f t="shared" si="8"/>
        <v>6.7611013025421904</v>
      </c>
      <c r="W12" s="287">
        <f t="shared" si="8"/>
        <v>6.3698006006574017</v>
      </c>
      <c r="X12" s="287">
        <f t="shared" si="8"/>
        <v>5.2680916237270869</v>
      </c>
      <c r="Y12" s="287">
        <f t="shared" ref="Y12:AD12" si="9">Y13+Y14</f>
        <v>6.7992810511147983</v>
      </c>
      <c r="Z12" s="287">
        <f t="shared" si="9"/>
        <v>7.1844944219819409</v>
      </c>
      <c r="AA12" s="287">
        <f t="shared" si="9"/>
        <v>7.5880162987844058</v>
      </c>
      <c r="AB12" s="287">
        <f t="shared" si="9"/>
        <v>7.0017819335319551</v>
      </c>
      <c r="AC12" s="287">
        <f t="shared" si="9"/>
        <v>7.3469777355165595</v>
      </c>
      <c r="AD12" s="288">
        <f t="shared" si="9"/>
        <v>7.8869271219136996</v>
      </c>
      <c r="AE12" s="287">
        <f t="shared" ref="AE12:AF12" si="10">AE13+AE14</f>
        <v>8.0663642861157765</v>
      </c>
      <c r="AF12" s="287">
        <f t="shared" si="10"/>
        <v>7.2632699026008742</v>
      </c>
      <c r="AG12" s="287">
        <f t="shared" ref="AG12:AH12" si="11">AG13+AG14</f>
        <v>7.3937392268636524</v>
      </c>
      <c r="AH12" s="287">
        <f t="shared" si="11"/>
        <v>8.1387980758273972</v>
      </c>
      <c r="AI12" s="1415">
        <f t="shared" ref="AI12" si="12">AI13+AI14</f>
        <v>7.5548664774684742</v>
      </c>
      <c r="AK12" s="276"/>
      <c r="AL12" s="285"/>
      <c r="AM12" s="231"/>
      <c r="AO12" s="272"/>
      <c r="AT12" s="277"/>
      <c r="AU12" s="278"/>
      <c r="AV12" s="278"/>
    </row>
    <row r="13" spans="1:50" ht="17" x14ac:dyDescent="0.45">
      <c r="A13" s="279" t="s">
        <v>463</v>
      </c>
      <c r="B13" s="280">
        <f>'Combustion CO2'!B66</f>
        <v>8.393199905810599</v>
      </c>
      <c r="C13" s="280">
        <f>'Combustion CO2'!C66</f>
        <v>9.1714074410264743</v>
      </c>
      <c r="D13" s="280">
        <f>'Combustion CO2'!D66</f>
        <v>8.9309955359805997</v>
      </c>
      <c r="E13" s="280">
        <f>'Combustion CO2'!E66</f>
        <v>7.9899165283760158</v>
      </c>
      <c r="F13" s="280">
        <f>'Combustion CO2'!F66</f>
        <v>8.8622762327746258</v>
      </c>
      <c r="G13" s="280">
        <f>'Combustion CO2'!G66</f>
        <v>8.9583234115736374</v>
      </c>
      <c r="H13" s="280">
        <f>'Combustion CO2'!H66</f>
        <v>9.0613426494264466</v>
      </c>
      <c r="I13" s="280">
        <f>'Combustion CO2'!I66</f>
        <v>9.4523565880490032</v>
      </c>
      <c r="J13" s="280">
        <f>'Combustion CO2'!J66</f>
        <v>8.0754548915353492</v>
      </c>
      <c r="K13" s="280">
        <f>'Combustion CO2'!K66</f>
        <v>6.1959925594355161</v>
      </c>
      <c r="L13" s="280">
        <f>'Combustion CO2'!L66</f>
        <v>6.7932535616058303</v>
      </c>
      <c r="M13" s="280">
        <f>'Combustion CO2'!M66</f>
        <v>5.7670060508675816</v>
      </c>
      <c r="N13" s="280">
        <f>'Combustion CO2'!N66</f>
        <v>5.8880337932122524</v>
      </c>
      <c r="O13" s="280">
        <f>'Combustion CO2'!O66</f>
        <v>7.1132084080597142</v>
      </c>
      <c r="P13" s="280">
        <f>'Combustion CO2'!P66</f>
        <v>6.5373600288097862</v>
      </c>
      <c r="Q13" s="280">
        <f>'Combustion CO2'!Q66</f>
        <v>6.6865712143985894</v>
      </c>
      <c r="R13" s="280">
        <f>'Combustion CO2'!R66</f>
        <v>5.0160944446169093</v>
      </c>
      <c r="S13" s="280">
        <f>'Combustion CO2'!S66</f>
        <v>5.3484329327599998</v>
      </c>
      <c r="T13" s="280">
        <f>'Combustion CO2'!T66</f>
        <v>5.5954704389832886</v>
      </c>
      <c r="U13" s="280">
        <f>'Combustion CO2'!U66</f>
        <v>5.7930992378099821</v>
      </c>
      <c r="V13" s="280">
        <f>'Combustion CO2'!V66</f>
        <v>6.7205520029870893</v>
      </c>
      <c r="W13" s="280">
        <f>'Combustion CO2'!W66</f>
        <v>6.3331977627934162</v>
      </c>
      <c r="X13" s="280">
        <f>'Combustion CO2'!X66</f>
        <v>5.2380301223549299</v>
      </c>
      <c r="Y13" s="280">
        <f>'Combustion CO2'!Y66</f>
        <v>6.7631182630681863</v>
      </c>
      <c r="Z13" s="280">
        <f>'Combustion CO2'!Z66</f>
        <v>7.1468891863233202</v>
      </c>
      <c r="AA13" s="280">
        <f>'Combustion CO2'!AA66</f>
        <v>7.5477779593100482</v>
      </c>
      <c r="AB13" s="280">
        <f>'Combustion CO2'!AB66</f>
        <v>6.9658066582217053</v>
      </c>
      <c r="AC13" s="280">
        <f>'Combustion CO2'!AC66</f>
        <v>7.3094808835971969</v>
      </c>
      <c r="AD13" s="281">
        <f>'Combustion CO2'!AD66</f>
        <v>7.8497504734391494</v>
      </c>
      <c r="AE13" s="280">
        <f>'Combustion CO2'!AE66</f>
        <v>8.0270134847250123</v>
      </c>
      <c r="AF13" s="280">
        <f>'Combustion CO2'!AF66</f>
        <v>7.2217716233752993</v>
      </c>
      <c r="AG13" s="280">
        <f>'Combustion CO2'!AG66</f>
        <v>7.3504067174673029</v>
      </c>
      <c r="AH13" s="280">
        <f>'Combustion CO2'!AH66</f>
        <v>8.0934423507441764</v>
      </c>
      <c r="AI13" s="1414">
        <f>'Combustion CO2'!AI66</f>
        <v>7.5112031192163426</v>
      </c>
      <c r="AL13" s="289"/>
      <c r="AM13" s="231"/>
      <c r="AN13" s="280"/>
      <c r="AR13" s="290"/>
      <c r="AS13" s="291"/>
      <c r="AT13" s="277"/>
      <c r="AU13" s="278"/>
      <c r="AV13" s="278"/>
    </row>
    <row r="14" spans="1:50" x14ac:dyDescent="0.4">
      <c r="A14" s="279" t="s">
        <v>30</v>
      </c>
      <c r="B14" s="283">
        <f>'Stationary CH4 and N2O'!B79</f>
        <v>5.6637423469999996E-2</v>
      </c>
      <c r="C14" s="283">
        <f>'Stationary CH4 and N2O'!C79</f>
        <v>6.1309964569999993E-2</v>
      </c>
      <c r="D14" s="283">
        <f>'Stationary CH4 and N2O'!D79</f>
        <v>5.9076519639999991E-2</v>
      </c>
      <c r="E14" s="283">
        <f>'Stationary CH4 and N2O'!E79</f>
        <v>5.8319693029999994E-2</v>
      </c>
      <c r="F14" s="283">
        <f>'Stationary CH4 and N2O'!F79</f>
        <v>5.9352809769999994E-2</v>
      </c>
      <c r="G14" s="283">
        <f>'Stationary CH4 and N2O'!G79</f>
        <v>6.0476406299999994E-2</v>
      </c>
      <c r="H14" s="283">
        <f>'Stationary CH4 and N2O'!H79</f>
        <v>5.9672558659999993E-2</v>
      </c>
      <c r="I14" s="283">
        <f>'Stationary CH4 and N2O'!I79</f>
        <v>5.7526248299999992E-2</v>
      </c>
      <c r="J14" s="283">
        <f>'Stationary CH4 and N2O'!J79</f>
        <v>4.9716922049999987E-2</v>
      </c>
      <c r="K14" s="283">
        <f>'Stationary CH4 and N2O'!K79</f>
        <v>4.3382592259999991E-2</v>
      </c>
      <c r="L14" s="283">
        <f>'Stationary CH4 and N2O'!L79</f>
        <v>4.9770660059999999E-2</v>
      </c>
      <c r="M14" s="283">
        <f>'Stationary CH4 and N2O'!M79</f>
        <v>4.108230999999999E-2</v>
      </c>
      <c r="N14" s="283">
        <f>'Stationary CH4 and N2O'!N79</f>
        <v>4.2370516659999996E-2</v>
      </c>
      <c r="O14" s="283">
        <f>'Stationary CH4 and N2O'!O79</f>
        <v>5.0262934749999995E-2</v>
      </c>
      <c r="P14" s="283">
        <f>'Stationary CH4 and N2O'!P79</f>
        <v>4.9255863909999996E-2</v>
      </c>
      <c r="Q14" s="283">
        <f>'Stationary CH4 and N2O'!Q79</f>
        <v>3.6142130252550454E-2</v>
      </c>
      <c r="R14" s="283">
        <f>'Stationary CH4 and N2O'!R79</f>
        <v>2.7004935670168092E-2</v>
      </c>
      <c r="S14" s="283">
        <f>'Stationary CH4 and N2O'!S79</f>
        <v>2.7604566381577697E-2</v>
      </c>
      <c r="T14" s="283">
        <f>'Stationary CH4 and N2O'!T79</f>
        <v>2.7519606070010756E-2</v>
      </c>
      <c r="U14" s="283">
        <f>'Stationary CH4 and N2O'!U79</f>
        <v>3.5598628217882788E-2</v>
      </c>
      <c r="V14" s="283">
        <f>'Stationary CH4 and N2O'!V79</f>
        <v>4.0549299555101122E-2</v>
      </c>
      <c r="W14" s="283">
        <f>'Stationary CH4 and N2O'!W79</f>
        <v>3.6602837863985917E-2</v>
      </c>
      <c r="X14" s="283">
        <f>'Stationary CH4 and N2O'!X79</f>
        <v>3.0061501372156855E-2</v>
      </c>
      <c r="Y14" s="283">
        <f>'Stationary CH4 and N2O'!Y79</f>
        <v>3.6162788046612306E-2</v>
      </c>
      <c r="Z14" s="283">
        <f>'Stationary CH4 and N2O'!Z79</f>
        <v>3.7605235658621054E-2</v>
      </c>
      <c r="AA14" s="280">
        <f>'Stationary CH4 and N2O'!AA79</f>
        <v>4.0238339474357322E-2</v>
      </c>
      <c r="AB14" s="280">
        <f>'Stationary CH4 and N2O'!AB79</f>
        <v>3.597527531024941E-2</v>
      </c>
      <c r="AC14" s="280">
        <f>'Stationary CH4 and N2O'!AC79</f>
        <v>3.7496851919362487E-2</v>
      </c>
      <c r="AD14" s="281">
        <f>'Stationary CH4 and N2O'!AD79</f>
        <v>3.7176648474549823E-2</v>
      </c>
      <c r="AE14" s="280">
        <f>'Stationary CH4 and N2O'!AE79</f>
        <v>3.9350801390763537E-2</v>
      </c>
      <c r="AF14" s="280">
        <f>'Stationary CH4 and N2O'!AF79</f>
        <v>4.1498279225575113E-2</v>
      </c>
      <c r="AG14" s="280">
        <f>'Stationary CH4 and N2O'!AG79</f>
        <v>4.3332509396349174E-2</v>
      </c>
      <c r="AH14" s="280">
        <f>'Stationary CH4 and N2O'!AH79</f>
        <v>4.5355725083220624E-2</v>
      </c>
      <c r="AI14" s="1414">
        <f>'Stationary CH4 and N2O'!AI79</f>
        <v>4.3663358252131954E-2</v>
      </c>
      <c r="AK14" s="290"/>
      <c r="AL14" s="291"/>
      <c r="AM14" s="231"/>
      <c r="AN14" s="291"/>
      <c r="AR14" s="228"/>
      <c r="AS14" s="281"/>
      <c r="AT14" s="277"/>
      <c r="AU14" s="278"/>
      <c r="AV14" s="292"/>
    </row>
    <row r="15" spans="1:50" ht="17" x14ac:dyDescent="0.45">
      <c r="A15" s="286" t="s">
        <v>464</v>
      </c>
      <c r="B15" s="287">
        <f>'Combustion CO2'!B186</f>
        <v>0</v>
      </c>
      <c r="C15" s="287">
        <f>'Combustion CO2'!C186</f>
        <v>0</v>
      </c>
      <c r="D15" s="287">
        <f>'Combustion CO2'!D186</f>
        <v>0</v>
      </c>
      <c r="E15" s="287">
        <f>'Combustion CO2'!E186</f>
        <v>0</v>
      </c>
      <c r="F15" s="287">
        <f>'Combustion CO2'!F186</f>
        <v>0</v>
      </c>
      <c r="G15" s="287">
        <f>'Combustion CO2'!G186</f>
        <v>0</v>
      </c>
      <c r="H15" s="287">
        <f>'Combustion CO2'!H186</f>
        <v>0</v>
      </c>
      <c r="I15" s="287">
        <f>'Combustion CO2'!I186</f>
        <v>0</v>
      </c>
      <c r="J15" s="287">
        <f>'Combustion CO2'!J186</f>
        <v>0</v>
      </c>
      <c r="K15" s="287">
        <f>'Combustion CO2'!K186</f>
        <v>0</v>
      </c>
      <c r="L15" s="287">
        <f>'Combustion CO2'!L186</f>
        <v>0</v>
      </c>
      <c r="M15" s="287">
        <f>'Combustion CO2'!M186</f>
        <v>0</v>
      </c>
      <c r="N15" s="287">
        <f>'Combustion CO2'!N186</f>
        <v>0</v>
      </c>
      <c r="O15" s="287">
        <f>'Combustion CO2'!O186</f>
        <v>0</v>
      </c>
      <c r="P15" s="287">
        <f>'Combustion CO2'!P186</f>
        <v>0</v>
      </c>
      <c r="Q15" s="287">
        <f>'Combustion CO2'!Q186</f>
        <v>0</v>
      </c>
      <c r="R15" s="287">
        <f>'Combustion CO2'!R186</f>
        <v>0</v>
      </c>
      <c r="S15" s="287">
        <f>'Combustion CO2'!S186</f>
        <v>0</v>
      </c>
      <c r="T15" s="287">
        <f>'Combustion CO2'!T186</f>
        <v>0</v>
      </c>
      <c r="U15" s="287">
        <f>'Combustion CO2'!U186</f>
        <v>0</v>
      </c>
      <c r="V15" s="287">
        <f>'Combustion CO2'!V186</f>
        <v>0</v>
      </c>
      <c r="W15" s="287">
        <f>'Combustion CO2'!W186</f>
        <v>0</v>
      </c>
      <c r="X15" s="287">
        <f>'Combustion CO2'!X186</f>
        <v>0</v>
      </c>
      <c r="Y15" s="287">
        <f>'Combustion CO2'!Y186</f>
        <v>0</v>
      </c>
      <c r="Z15" s="287">
        <f>'Combustion CO2'!Z186</f>
        <v>0</v>
      </c>
      <c r="AA15" s="287">
        <f>'Combustion CO2'!AA186</f>
        <v>0</v>
      </c>
      <c r="AB15" s="287">
        <f>'Combustion CO2'!AB186</f>
        <v>0</v>
      </c>
      <c r="AC15" s="287">
        <f>'Combustion CO2'!AC186</f>
        <v>0</v>
      </c>
      <c r="AD15" s="288">
        <f>'Combustion CO2'!AD186</f>
        <v>4.4567682329355309E-3</v>
      </c>
      <c r="AE15" s="287">
        <f>'Combustion CO2'!AE186</f>
        <v>8.7899315773823424E-3</v>
      </c>
      <c r="AF15" s="287">
        <f>'Combustion CO2'!AF186</f>
        <v>1.5362869634772607E-2</v>
      </c>
      <c r="AG15" s="287">
        <f>'Combustion CO2'!AG186</f>
        <v>2.6831734169418742E-2</v>
      </c>
      <c r="AH15" s="287">
        <f>'Combustion CO2'!AH186</f>
        <v>2.1138240382498417E-2</v>
      </c>
      <c r="AI15" s="1415">
        <f>'Combustion CO2'!AI186</f>
        <v>1.6433134590756165E-2</v>
      </c>
      <c r="AK15" s="37"/>
      <c r="AL15" s="293"/>
      <c r="AM15" s="231"/>
      <c r="AN15" s="291"/>
      <c r="AO15" s="280"/>
      <c r="AR15" s="14"/>
      <c r="AS15" s="294"/>
      <c r="AT15" s="277"/>
      <c r="AU15" s="278"/>
      <c r="AV15" s="278"/>
    </row>
    <row r="16" spans="1:50" ht="17" x14ac:dyDescent="0.45">
      <c r="A16" s="295" t="s">
        <v>465</v>
      </c>
      <c r="B16" s="296">
        <f t="shared" ref="B16" si="13">B17+B18+B19+B20</f>
        <v>5.6055444375748946</v>
      </c>
      <c r="C16" s="296">
        <f t="shared" ref="C16:AA16" si="14">C17+C18+C19+C20</f>
        <v>4.7203306522586423</v>
      </c>
      <c r="D16" s="296">
        <f t="shared" si="14"/>
        <v>6.4434881590501689</v>
      </c>
      <c r="E16" s="296">
        <f t="shared" si="14"/>
        <v>6.5995164430121873</v>
      </c>
      <c r="F16" s="296">
        <f t="shared" si="14"/>
        <v>5.7137275717032194</v>
      </c>
      <c r="G16" s="296">
        <f t="shared" si="14"/>
        <v>5.0295458063278202</v>
      </c>
      <c r="H16" s="296">
        <f t="shared" si="14"/>
        <v>5.0110348602786434</v>
      </c>
      <c r="I16" s="296">
        <f t="shared" si="14"/>
        <v>5.1112421995349511</v>
      </c>
      <c r="J16" s="296">
        <f t="shared" si="14"/>
        <v>4.808825190094586</v>
      </c>
      <c r="K16" s="296">
        <f t="shared" si="14"/>
        <v>5.5096311371002367</v>
      </c>
      <c r="L16" s="296">
        <f t="shared" si="14"/>
        <v>5.3806880710082661</v>
      </c>
      <c r="M16" s="296">
        <f t="shared" si="14"/>
        <v>6.5330841217154205</v>
      </c>
      <c r="N16" s="296">
        <f t="shared" si="14"/>
        <v>6.4337930645208612</v>
      </c>
      <c r="O16" s="296">
        <f t="shared" si="14"/>
        <v>4.3788872742004674</v>
      </c>
      <c r="P16" s="296">
        <f t="shared" si="14"/>
        <v>4.2709227144122419</v>
      </c>
      <c r="Q16" s="296">
        <f t="shared" si="14"/>
        <v>4.527964290294995</v>
      </c>
      <c r="R16" s="296">
        <f t="shared" si="14"/>
        <v>4.3980409384451322</v>
      </c>
      <c r="S16" s="296">
        <f t="shared" si="14"/>
        <v>4.3097813270969629</v>
      </c>
      <c r="T16" s="296">
        <f t="shared" si="14"/>
        <v>3.9782211484534664</v>
      </c>
      <c r="U16" s="296">
        <f t="shared" si="14"/>
        <v>3.2713308683350615</v>
      </c>
      <c r="V16" s="296">
        <f t="shared" si="14"/>
        <v>3.7405476391501797</v>
      </c>
      <c r="W16" s="296">
        <f t="shared" si="14"/>
        <v>3.8974105246934214</v>
      </c>
      <c r="X16" s="296">
        <f t="shared" si="14"/>
        <v>3.3496069838342475</v>
      </c>
      <c r="Y16" s="296">
        <f t="shared" si="14"/>
        <v>3.5368624475801331</v>
      </c>
      <c r="Z16" s="296">
        <f t="shared" si="14"/>
        <v>3.4604103256118655</v>
      </c>
      <c r="AA16" s="296">
        <f t="shared" si="14"/>
        <v>3.486507997416604</v>
      </c>
      <c r="AB16" s="296">
        <f t="shared" ref="AB16:AG16" si="15">AB17+AB18+AB19+AB20</f>
        <v>3.273910575910739</v>
      </c>
      <c r="AC16" s="296">
        <f t="shared" si="15"/>
        <v>3.3076976742527324</v>
      </c>
      <c r="AD16" s="297">
        <f t="shared" si="15"/>
        <v>3.3368151235079453</v>
      </c>
      <c r="AE16" s="296">
        <f t="shared" si="15"/>
        <v>3.4149898421526799</v>
      </c>
      <c r="AF16" s="296">
        <f t="shared" si="15"/>
        <v>3.1647813971898953</v>
      </c>
      <c r="AG16" s="296">
        <f t="shared" si="15"/>
        <v>3.3201117725995055</v>
      </c>
      <c r="AH16" s="296">
        <f t="shared" ref="AH16" si="16">AH17+AH18+AH19+AH20</f>
        <v>3.3385758874359195</v>
      </c>
      <c r="AI16" s="1416">
        <f>AI17+AI18+AI20</f>
        <v>3.0528433286907695</v>
      </c>
      <c r="AK16" s="298"/>
      <c r="AL16" s="294"/>
      <c r="AM16" s="231"/>
      <c r="AN16" s="291"/>
      <c r="AO16" s="280"/>
      <c r="AS16" s="294"/>
      <c r="AT16" s="277"/>
      <c r="AU16" s="278"/>
      <c r="AV16" s="278"/>
      <c r="AW16" s="299"/>
      <c r="AX16" s="299"/>
    </row>
    <row r="17" spans="1:50" ht="17" x14ac:dyDescent="0.45">
      <c r="A17" s="279" t="s">
        <v>466</v>
      </c>
      <c r="B17" s="280">
        <f>'Combustion CO2'!B71</f>
        <v>5.4029918486572228</v>
      </c>
      <c r="C17" s="280">
        <f>'Combustion CO2'!C71</f>
        <v>4.5241963792028006</v>
      </c>
      <c r="D17" s="280">
        <f>'Combustion CO2'!D71</f>
        <v>6.196120339667166</v>
      </c>
      <c r="E17" s="280">
        <f>'Combustion CO2'!E71</f>
        <v>6.3524480004604289</v>
      </c>
      <c r="F17" s="280">
        <f>'Combustion CO2'!F71</f>
        <v>5.4819205214131737</v>
      </c>
      <c r="G17" s="280">
        <f>'Combustion CO2'!G71</f>
        <v>4.799124624067149</v>
      </c>
      <c r="H17" s="280">
        <f>'Combustion CO2'!H71</f>
        <v>4.75504493150014</v>
      </c>
      <c r="I17" s="280">
        <f>'Combustion CO2'!I71</f>
        <v>4.8391149240722537</v>
      </c>
      <c r="J17" s="280">
        <f>'Combustion CO2'!J71</f>
        <v>4.6425953861799725</v>
      </c>
      <c r="K17" s="280">
        <f>'Combustion CO2'!K71</f>
        <v>5.324582932332838</v>
      </c>
      <c r="L17" s="280">
        <f>'Combustion CO2'!L71</f>
        <v>5.2136458030450861</v>
      </c>
      <c r="M17" s="280">
        <f>'Combustion CO2'!M71</f>
        <v>6.3114014118719561</v>
      </c>
      <c r="N17" s="280">
        <f>'Combustion CO2'!N71</f>
        <v>6.1690505039776617</v>
      </c>
      <c r="O17" s="280">
        <f>'Combustion CO2'!O71</f>
        <v>4.1418598354447296</v>
      </c>
      <c r="P17" s="280">
        <f>'Combustion CO2'!P71</f>
        <v>4.0150990192714158</v>
      </c>
      <c r="Q17" s="280">
        <f>'Combustion CO2'!Q71</f>
        <v>4.2697051145872669</v>
      </c>
      <c r="R17" s="280">
        <f>'Combustion CO2'!R71</f>
        <v>4.0677081935533161</v>
      </c>
      <c r="S17" s="280">
        <f>'Combustion CO2'!S71</f>
        <v>3.9614178944807481</v>
      </c>
      <c r="T17" s="280">
        <f>'Combustion CO2'!T71</f>
        <v>3.6776679080539032</v>
      </c>
      <c r="U17" s="280">
        <f>'Combustion CO2'!U71</f>
        <v>2.9614097522885445</v>
      </c>
      <c r="V17" s="280">
        <f>'Combustion CO2'!V71</f>
        <v>3.4875602377014707</v>
      </c>
      <c r="W17" s="280">
        <f>'Combustion CO2'!W71</f>
        <v>3.6789297255419582</v>
      </c>
      <c r="X17" s="280">
        <f>'Combustion CO2'!X71</f>
        <v>3.1915395199877956</v>
      </c>
      <c r="Y17" s="280">
        <f>'Combustion CO2'!Y71</f>
        <v>3.3630292704257805</v>
      </c>
      <c r="Z17" s="280">
        <f>'Combustion CO2'!Z71</f>
        <v>3.2602165239692171</v>
      </c>
      <c r="AA17" s="280">
        <f>'Combustion CO2'!AA71</f>
        <v>3.2823083352570848</v>
      </c>
      <c r="AB17" s="280">
        <f>'Combustion CO2'!AB71</f>
        <v>3.1662665581676284</v>
      </c>
      <c r="AC17" s="280">
        <f>'Combustion CO2'!AC71</f>
        <v>3.2336648396866163</v>
      </c>
      <c r="AD17" s="281">
        <f>'Combustion CO2'!AD71</f>
        <v>3.2038785042914624</v>
      </c>
      <c r="AE17" s="280">
        <f>'Combustion CO2'!AE71</f>
        <v>3.244068751389845</v>
      </c>
      <c r="AF17" s="280">
        <f>'Combustion CO2'!AF71</f>
        <v>3.0398049356378154</v>
      </c>
      <c r="AG17" s="280">
        <f>'Combustion CO2'!AG71</f>
        <v>3.2122856536414419</v>
      </c>
      <c r="AH17" s="280">
        <f>'Combustion CO2'!AH71</f>
        <v>3.2423547772972263</v>
      </c>
      <c r="AI17" s="1414">
        <f>'Combustion CO2'!AI71</f>
        <v>2.981429791228452</v>
      </c>
      <c r="AK17" s="298"/>
      <c r="AL17" s="294"/>
      <c r="AM17" s="231"/>
      <c r="AN17" s="291"/>
      <c r="AO17" s="280"/>
      <c r="AT17" s="277"/>
      <c r="AU17" s="278"/>
      <c r="AV17" s="292"/>
      <c r="AW17" s="299"/>
      <c r="AX17" s="299"/>
    </row>
    <row r="18" spans="1:50" x14ac:dyDescent="0.4">
      <c r="A18" s="279" t="s">
        <v>31</v>
      </c>
      <c r="B18" s="283">
        <f>'Stationary CH4 and N2O'!B82</f>
        <v>2.19391063196166E-2</v>
      </c>
      <c r="C18" s="283">
        <f>'Stationary CH4 and N2O'!C82</f>
        <v>1.8804278893775218E-2</v>
      </c>
      <c r="D18" s="283">
        <f>'Stationary CH4 and N2O'!D82</f>
        <v>2.2056999012336577E-2</v>
      </c>
      <c r="E18" s="283">
        <f>'Stationary CH4 and N2O'!E82</f>
        <v>2.2613327546758041E-2</v>
      </c>
      <c r="F18" s="283">
        <f>'Stationary CH4 and N2O'!F82</f>
        <v>2.0959623605712303E-2</v>
      </c>
      <c r="G18" s="283">
        <f>'Stationary CH4 and N2O'!G82</f>
        <v>2.0664401566270606E-2</v>
      </c>
      <c r="H18" s="283">
        <f>'Stationary CH4 and N2O'!H82</f>
        <v>2.055429936983752E-2</v>
      </c>
      <c r="I18" s="283">
        <f>'Stationary CH4 and N2O'!I82</f>
        <v>2.1758184382740957E-2</v>
      </c>
      <c r="J18" s="283">
        <f>'Stationary CH4 and N2O'!J82</f>
        <v>1.9170090193242201E-2</v>
      </c>
      <c r="K18" s="283">
        <f>'Stationary CH4 and N2O'!K82</f>
        <v>1.957597393398583E-2</v>
      </c>
      <c r="L18" s="283">
        <f>'Stationary CH4 and N2O'!L82</f>
        <v>1.946333915198022E-2</v>
      </c>
      <c r="M18" s="283">
        <f>'Stationary CH4 and N2O'!M82</f>
        <v>1.9251449816890667E-2</v>
      </c>
      <c r="N18" s="283">
        <f>'Stationary CH4 and N2O'!N82</f>
        <v>1.5284791688067982E-2</v>
      </c>
      <c r="O18" s="283">
        <f>'Stationary CH4 and N2O'!O82</f>
        <v>1.3991591491882279E-2</v>
      </c>
      <c r="P18" s="283">
        <f>'Stationary CH4 and N2O'!P82</f>
        <v>1.4130251723568998E-2</v>
      </c>
      <c r="Q18" s="283">
        <f>'Stationary CH4 and N2O'!Q82</f>
        <v>1.468346527025877E-2</v>
      </c>
      <c r="R18" s="283">
        <f>'Stationary CH4 and N2O'!R82</f>
        <v>1.4675220179428451E-2</v>
      </c>
      <c r="S18" s="283">
        <f>'Stationary CH4 and N2O'!S82</f>
        <v>1.4300494632537991E-2</v>
      </c>
      <c r="T18" s="283">
        <f>'Stationary CH4 and N2O'!T82</f>
        <v>1.3438749968192496E-2</v>
      </c>
      <c r="U18" s="283">
        <f>'Stationary CH4 and N2O'!U82</f>
        <v>1.0596025715565774E-2</v>
      </c>
      <c r="V18" s="283">
        <f>'Stationary CH4 and N2O'!V82</f>
        <v>1.5637049914401204E-2</v>
      </c>
      <c r="W18" s="283">
        <f>'Stationary CH4 and N2O'!W82</f>
        <v>1.9358746538103083E-2</v>
      </c>
      <c r="X18" s="283">
        <f>'Stationary CH4 and N2O'!X82</f>
        <v>1.8169997339342634E-2</v>
      </c>
      <c r="Y18" s="283">
        <f>'Stationary CH4 and N2O'!Y82</f>
        <v>1.8253734630129383E-2</v>
      </c>
      <c r="Z18" s="283">
        <f>'Stationary CH4 and N2O'!Z82</f>
        <v>1.7644754278004635E-2</v>
      </c>
      <c r="AA18" s="280">
        <f>'Stationary CH4 and N2O'!AA82</f>
        <v>1.7693717285210304E-2</v>
      </c>
      <c r="AB18" s="280">
        <f>'Stationary CH4 and N2O'!AB82</f>
        <v>1.6864802547429884E-2</v>
      </c>
      <c r="AC18" s="280">
        <f>'Stationary CH4 and N2O'!AC82</f>
        <v>9.7418122262509128E-3</v>
      </c>
      <c r="AD18" s="281">
        <f>'Stationary CH4 and N2O'!AD82</f>
        <v>9.5420662146183579E-3</v>
      </c>
      <c r="AE18" s="280">
        <f>'Stationary CH4 and N2O'!AE82</f>
        <v>9.5741570685917328E-3</v>
      </c>
      <c r="AF18" s="280">
        <f>'Stationary CH4 and N2O'!AF82</f>
        <v>9.297561033359051E-3</v>
      </c>
      <c r="AG18" s="280">
        <f>'Stationary CH4 and N2O'!AG82</f>
        <v>9.6053437311539539E-3</v>
      </c>
      <c r="AH18" s="280">
        <f>'Stationary CH4 and N2O'!AH82</f>
        <v>1.0423428329114713E-2</v>
      </c>
      <c r="AI18" s="1414">
        <f>'Stationary CH4 and N2O'!AI82</f>
        <v>1.0285247003878145E-2</v>
      </c>
      <c r="AJ18" s="281"/>
      <c r="AM18" s="277"/>
      <c r="AO18" s="300"/>
      <c r="AR18" s="14"/>
      <c r="AS18" s="231"/>
      <c r="AT18" s="277"/>
      <c r="AU18" s="278"/>
      <c r="AV18" s="278"/>
    </row>
    <row r="19" spans="1:50" ht="17" x14ac:dyDescent="0.45">
      <c r="A19" s="279" t="s">
        <v>957</v>
      </c>
      <c r="B19" s="283">
        <f>'Solid Waste'!B79</f>
        <v>0.1126915732517219</v>
      </c>
      <c r="C19" s="283">
        <f>'Solid Waste'!C79</f>
        <v>9.3901284558399967E-2</v>
      </c>
      <c r="D19" s="283">
        <f>'Solid Waste'!D79</f>
        <v>0.12802158039999997</v>
      </c>
      <c r="E19" s="283">
        <f>'Solid Waste'!E79</f>
        <v>0.10098487323000002</v>
      </c>
      <c r="F19" s="283">
        <f>'Solid Waste'!F79</f>
        <v>0.112018127784</v>
      </c>
      <c r="G19" s="283">
        <f>'Solid Waste'!G79</f>
        <v>0.10779425845439999</v>
      </c>
      <c r="H19" s="283">
        <f>'Solid Waste'!H79</f>
        <v>0.11934704939999999</v>
      </c>
      <c r="I19" s="283">
        <f>'Solid Waste'!I79</f>
        <v>0.12064871099999999</v>
      </c>
      <c r="J19" s="283">
        <f>'Solid Waste'!J79</f>
        <v>4.2237590039999995E-2</v>
      </c>
      <c r="K19" s="283">
        <f>'Solid Waste'!K79</f>
        <v>1.9280794800000004E-2</v>
      </c>
      <c r="L19" s="283">
        <f>'Solid Waste'!L79</f>
        <v>1.58976576E-2</v>
      </c>
      <c r="M19" s="283">
        <f>'Solid Waste'!M79</f>
        <v>2.6936267368421054E-2</v>
      </c>
      <c r="N19" s="283">
        <f>'Solid Waste'!N79</f>
        <v>1.6184417142857139E-2</v>
      </c>
      <c r="O19" s="283">
        <f>'Solid Waste'!O79</f>
        <v>1.6211368727272722E-2</v>
      </c>
      <c r="P19" s="283">
        <f>'Solid Waste'!P79</f>
        <v>1.6055490181818181E-2</v>
      </c>
      <c r="Q19" s="283">
        <f>'Solid Waste'!Q79</f>
        <v>1.6334272857142854E-2</v>
      </c>
      <c r="R19" s="283">
        <f>'Solid Waste'!R79</f>
        <v>5.1550650991932762E-2</v>
      </c>
      <c r="S19" s="283">
        <f>'Solid Waste'!S79</f>
        <v>5.8519102170219876E-2</v>
      </c>
      <c r="T19" s="283">
        <f>'Solid Waste'!T79</f>
        <v>5.7694358354617642E-2</v>
      </c>
      <c r="U19" s="283">
        <f>'Solid Waste'!U79</f>
        <v>6.3763619271019825E-2</v>
      </c>
      <c r="V19" s="283">
        <f>'Solid Waste'!V79</f>
        <v>2.2319670000000003E-2</v>
      </c>
      <c r="W19" s="283">
        <f>'Solid Waste'!W79</f>
        <v>2.3564499999999999E-2</v>
      </c>
      <c r="X19" s="283">
        <f>'Solid Waste'!X79</f>
        <v>2.6235499999999998E-2</v>
      </c>
      <c r="Y19" s="283">
        <f>'Solid Waste'!Y79</f>
        <v>2.7109049999999999E-2</v>
      </c>
      <c r="Z19" s="283">
        <f>'Solid Waste'!Z79</f>
        <v>2.7830348000000001E-2</v>
      </c>
      <c r="AA19" s="280">
        <f>'Solid Waste'!AA79</f>
        <v>2.6892700000000002E-2</v>
      </c>
      <c r="AB19" s="280">
        <f>'Solid Waste'!AB79</f>
        <v>3.0995358000000001E-2</v>
      </c>
      <c r="AC19" s="280">
        <f>'Solid Waste'!AC79</f>
        <v>2.80193E-2</v>
      </c>
      <c r="AD19" s="281">
        <f>'Solid Waste'!AD79</f>
        <v>4.0953804000000003E-2</v>
      </c>
      <c r="AE19" s="280">
        <f>'Solid Waste'!AE79</f>
        <v>1.9520982000000003E-2</v>
      </c>
      <c r="AF19" s="280">
        <f>'Solid Waste'!AF79</f>
        <v>1.7101537999999999E-2</v>
      </c>
      <c r="AG19" s="280">
        <f>'Solid Waste'!AG79</f>
        <v>2.8212000000000001E-2</v>
      </c>
      <c r="AH19" s="280">
        <f>'Solid Waste'!AH79</f>
        <v>6.7669460000000002E-3</v>
      </c>
      <c r="AI19" s="1417" t="s">
        <v>32</v>
      </c>
      <c r="AK19" s="14"/>
      <c r="AL19" s="231"/>
      <c r="AM19" s="277"/>
      <c r="AS19" s="291"/>
      <c r="AT19" s="277"/>
      <c r="AU19" s="278"/>
      <c r="AV19" s="292"/>
    </row>
    <row r="20" spans="1:50" ht="17" x14ac:dyDescent="0.45">
      <c r="A20" s="279" t="s">
        <v>958</v>
      </c>
      <c r="B20" s="283">
        <f>'Combustion CO2'!B172+'Stationary CH4 and N2O'!B96</f>
        <v>6.7921909346333326E-2</v>
      </c>
      <c r="C20" s="283">
        <f>'Combustion CO2'!C172+'Stationary CH4 and N2O'!C96</f>
        <v>8.3428709603666662E-2</v>
      </c>
      <c r="D20" s="283">
        <f>'Combustion CO2'!D172+'Stationary CH4 and N2O'!D96</f>
        <v>9.7289239970666658E-2</v>
      </c>
      <c r="E20" s="283">
        <f>'Combustion CO2'!E172+'Stationary CH4 and N2O'!E96</f>
        <v>0.12347024177499999</v>
      </c>
      <c r="F20" s="283">
        <f>'Combustion CO2'!F172+'Stationary CH4 and N2O'!F96</f>
        <v>9.8829298900333332E-2</v>
      </c>
      <c r="G20" s="283">
        <f>'Combustion CO2'!G172+'Stationary CH4 and N2O'!G96</f>
        <v>0.10196252223999999</v>
      </c>
      <c r="H20" s="283">
        <f>'Combustion CO2'!H172+'Stationary CH4 and N2O'!H96</f>
        <v>0.11608858000866666</v>
      </c>
      <c r="I20" s="283">
        <f>'Combustion CO2'!I172+'Stationary CH4 and N2O'!I96</f>
        <v>0.12972038007995582</v>
      </c>
      <c r="J20" s="283">
        <f>'Combustion CO2'!J172+'Stationary CH4 and N2O'!J96</f>
        <v>0.10482212368137114</v>
      </c>
      <c r="K20" s="283">
        <f>'Combustion CO2'!K172+'Stationary CH4 and N2O'!K96</f>
        <v>0.14619143603341275</v>
      </c>
      <c r="L20" s="283">
        <f>'Combustion CO2'!L172+'Stationary CH4 and N2O'!L96</f>
        <v>0.1316812712111993</v>
      </c>
      <c r="M20" s="283">
        <f>'Combustion CO2'!M172+'Stationary CH4 and N2O'!M96</f>
        <v>0.17549499265815219</v>
      </c>
      <c r="N20" s="283">
        <f>'Combustion CO2'!N172+'Stationary CH4 and N2O'!N96</f>
        <v>0.23327335171227376</v>
      </c>
      <c r="O20" s="283">
        <f>'Combustion CO2'!O172+'Stationary CH4 and N2O'!O96</f>
        <v>0.20682447853658284</v>
      </c>
      <c r="P20" s="283">
        <f>'Combustion CO2'!P172+'Stationary CH4 and N2O'!P96</f>
        <v>0.22563795323543934</v>
      </c>
      <c r="Q20" s="283">
        <f>'Combustion CO2'!Q172+'Stationary CH4 and N2O'!Q96</f>
        <v>0.22724143758032703</v>
      </c>
      <c r="R20" s="283">
        <f>'Combustion CO2'!R172+'Stationary CH4 and N2O'!R96</f>
        <v>0.26410687372045483</v>
      </c>
      <c r="S20" s="283">
        <f>'Combustion CO2'!S172+'Stationary CH4 and N2O'!S96</f>
        <v>0.27554383581345654</v>
      </c>
      <c r="T20" s="283">
        <f>'Combustion CO2'!T172+'Stationary CH4 and N2O'!T96</f>
        <v>0.22942013207675335</v>
      </c>
      <c r="U20" s="283">
        <f>'Combustion CO2'!U172+'Stationary CH4 and N2O'!U96</f>
        <v>0.23556147105993108</v>
      </c>
      <c r="V20" s="283">
        <f>'Combustion CO2'!V172+'Stationary CH4 and N2O'!V96</f>
        <v>0.21503068153430754</v>
      </c>
      <c r="W20" s="283">
        <f>'Combustion CO2'!W172+'Stationary CH4 and N2O'!W96</f>
        <v>0.1755575526133602</v>
      </c>
      <c r="X20" s="283">
        <f>'Combustion CO2'!X172+'Stationary CH4 and N2O'!X96</f>
        <v>0.11366196650710964</v>
      </c>
      <c r="Y20" s="283">
        <f>'Combustion CO2'!Y172+'Stationary CH4 and N2O'!Y96</f>
        <v>0.1284703925242234</v>
      </c>
      <c r="Z20" s="283">
        <f>'Combustion CO2'!Z172+'Stationary CH4 and N2O'!Z96</f>
        <v>0.1547186993646435</v>
      </c>
      <c r="AA20" s="283">
        <f>'Combustion CO2'!AA172+'Stationary CH4 and N2O'!AA96</f>
        <v>0.15961324487430897</v>
      </c>
      <c r="AB20" s="280">
        <f>'Combustion CO2'!AB172+'Stationary CH4 and N2O'!AB96</f>
        <v>5.9783857195680662E-2</v>
      </c>
      <c r="AC20" s="280">
        <f>'Combustion CO2'!AC172+'Stationary CH4 and N2O'!AC96</f>
        <v>3.6271722339865607E-2</v>
      </c>
      <c r="AD20" s="280">
        <f>'Combustion CO2'!AD172+'Stationary CH4 and N2O'!AD96</f>
        <v>8.2440749001864738E-2</v>
      </c>
      <c r="AE20" s="280">
        <f>'Combustion CO2'!AE172+'Stationary CH4 and N2O'!AE96</f>
        <v>0.14182595169424347</v>
      </c>
      <c r="AF20" s="280">
        <f>'Combustion CO2'!AF172+'Stationary CH4 and N2O'!AF96</f>
        <v>9.8577362518720957E-2</v>
      </c>
      <c r="AG20" s="280">
        <f>'Combustion CO2'!AG172+'Stationary CH4 and N2O'!AG96</f>
        <v>7.0008775226909792E-2</v>
      </c>
      <c r="AH20" s="280">
        <f>'Combustion CO2'!AH172+'Stationary CH4 and N2O'!AH96</f>
        <v>7.9030735809578728E-2</v>
      </c>
      <c r="AI20" s="1414">
        <f>'Combustion CO2'!AI172+'Stationary CH4 and N2O'!AI96</f>
        <v>6.1128290458439295E-2</v>
      </c>
      <c r="AL20" s="291"/>
      <c r="AM20" s="277"/>
      <c r="AR20" s="290"/>
      <c r="AS20" s="291"/>
      <c r="AT20" s="277"/>
      <c r="AU20" s="278"/>
      <c r="AV20" s="278"/>
    </row>
    <row r="21" spans="1:50" ht="17" x14ac:dyDescent="0.45">
      <c r="A21" s="301" t="s">
        <v>467</v>
      </c>
      <c r="B21" s="302">
        <f t="shared" ref="B21" si="17">B22+B23</f>
        <v>29.581745501205152</v>
      </c>
      <c r="C21" s="302">
        <f t="shared" ref="C21:X21" si="18">C22+C23</f>
        <v>28.007934560130941</v>
      </c>
      <c r="D21" s="302">
        <f t="shared" si="18"/>
        <v>27.563240820066049</v>
      </c>
      <c r="E21" s="302">
        <f t="shared" si="18"/>
        <v>27.772344463031306</v>
      </c>
      <c r="F21" s="302">
        <f t="shared" si="18"/>
        <v>28.042522309337134</v>
      </c>
      <c r="G21" s="302">
        <f t="shared" si="18"/>
        <v>28.704754954067852</v>
      </c>
      <c r="H21" s="302">
        <f t="shared" si="18"/>
        <v>29.563067414078876</v>
      </c>
      <c r="I21" s="302">
        <f t="shared" si="18"/>
        <v>29.897537474524093</v>
      </c>
      <c r="J21" s="302">
        <f t="shared" si="18"/>
        <v>30.181050408053974</v>
      </c>
      <c r="K21" s="302">
        <f t="shared" si="18"/>
        <v>30.789867518520762</v>
      </c>
      <c r="L21" s="302">
        <f t="shared" si="18"/>
        <v>31.933223453237744</v>
      </c>
      <c r="M21" s="302">
        <f t="shared" si="18"/>
        <v>31.42992969847694</v>
      </c>
      <c r="N21" s="302">
        <f t="shared" si="18"/>
        <v>31.574075255538787</v>
      </c>
      <c r="O21" s="302">
        <f t="shared" si="18"/>
        <v>31.97471459221569</v>
      </c>
      <c r="P21" s="302">
        <f t="shared" si="18"/>
        <v>33.213685399354738</v>
      </c>
      <c r="Q21" s="302">
        <f t="shared" si="18"/>
        <v>33.172330863894125</v>
      </c>
      <c r="R21" s="302">
        <f t="shared" si="18"/>
        <v>32.279926174657945</v>
      </c>
      <c r="S21" s="302">
        <f t="shared" si="18"/>
        <v>32.531308872264191</v>
      </c>
      <c r="T21" s="302">
        <f t="shared" si="18"/>
        <v>31.531388451441796</v>
      </c>
      <c r="U21" s="302">
        <f t="shared" si="18"/>
        <v>29.577725512467968</v>
      </c>
      <c r="V21" s="302">
        <f t="shared" si="18"/>
        <v>29.777150721285388</v>
      </c>
      <c r="W21" s="302">
        <f t="shared" si="18"/>
        <v>29.696806879044935</v>
      </c>
      <c r="X21" s="302">
        <f t="shared" si="18"/>
        <v>29.109024991059549</v>
      </c>
      <c r="Y21" s="302">
        <f t="shared" ref="Y21:AD21" si="19">Y22+Y23</f>
        <v>30.358885111491265</v>
      </c>
      <c r="Z21" s="302">
        <f t="shared" si="19"/>
        <v>28.534881580560413</v>
      </c>
      <c r="AA21" s="302">
        <f t="shared" si="19"/>
        <v>28.953989807069522</v>
      </c>
      <c r="AB21" s="302">
        <f t="shared" si="19"/>
        <v>29.294609318853226</v>
      </c>
      <c r="AC21" s="302">
        <f t="shared" si="19"/>
        <v>28.737551562426354</v>
      </c>
      <c r="AD21" s="303">
        <f t="shared" si="19"/>
        <v>29.329106616129806</v>
      </c>
      <c r="AE21" s="302">
        <f t="shared" ref="AE21:AF21" si="20">AE22+AE23</f>
        <v>29.076974889794318</v>
      </c>
      <c r="AF21" s="302">
        <f t="shared" si="20"/>
        <v>22.943498665902066</v>
      </c>
      <c r="AG21" s="302">
        <f t="shared" ref="AG21:AH21" si="21">AG22+AG23</f>
        <v>25.675300072198549</v>
      </c>
      <c r="AH21" s="302">
        <f t="shared" si="21"/>
        <v>26.243543311499938</v>
      </c>
      <c r="AI21" s="1418">
        <f t="shared" ref="AI21" si="22">AI22+AI23</f>
        <v>26.290528324068958</v>
      </c>
      <c r="AK21" s="290"/>
      <c r="AL21" s="291"/>
      <c r="AM21" s="277"/>
      <c r="AN21" s="280"/>
      <c r="AO21" s="280"/>
      <c r="AR21" s="304"/>
      <c r="AS21" s="305"/>
      <c r="AT21" s="277"/>
      <c r="AU21" s="278"/>
      <c r="AV21" s="292"/>
    </row>
    <row r="22" spans="1:50" ht="17" x14ac:dyDescent="0.45">
      <c r="A22" s="279" t="s">
        <v>468</v>
      </c>
      <c r="B22" s="280">
        <f>'Combustion CO2'!B76</f>
        <v>28.506437825265561</v>
      </c>
      <c r="C22" s="280">
        <f>'Combustion CO2'!C76</f>
        <v>26.924606252648257</v>
      </c>
      <c r="D22" s="280">
        <f>'Combustion CO2'!D76</f>
        <v>26.448466366325668</v>
      </c>
      <c r="E22" s="280">
        <f>'Combustion CO2'!E76</f>
        <v>26.684940195948617</v>
      </c>
      <c r="F22" s="280">
        <f>'Combustion CO2'!F76</f>
        <v>26.904845065360281</v>
      </c>
      <c r="G22" s="280">
        <f>'Combustion CO2'!G76</f>
        <v>27.543957964998537</v>
      </c>
      <c r="H22" s="280">
        <f>'Combustion CO2'!H76</f>
        <v>28.348712325078182</v>
      </c>
      <c r="I22" s="280">
        <f>'Combustion CO2'!I76</f>
        <v>28.69167682250546</v>
      </c>
      <c r="J22" s="280">
        <f>'Combustion CO2'!J76</f>
        <v>28.981165134559838</v>
      </c>
      <c r="K22" s="280">
        <f>'Combustion CO2'!K76</f>
        <v>29.667708078894687</v>
      </c>
      <c r="L22" s="280">
        <f>'Combustion CO2'!L76</f>
        <v>30.840346353806446</v>
      </c>
      <c r="M22" s="280">
        <f>'Combustion CO2'!M76</f>
        <v>30.390777107441533</v>
      </c>
      <c r="N22" s="280">
        <f>'Combustion CO2'!N76</f>
        <v>30.598758285542431</v>
      </c>
      <c r="O22" s="280">
        <f>'Combustion CO2'!O76</f>
        <v>31.043963055913089</v>
      </c>
      <c r="P22" s="280">
        <f>'Combustion CO2'!P76</f>
        <v>32.340396822593107</v>
      </c>
      <c r="Q22" s="280">
        <f>'Combustion CO2'!Q76</f>
        <v>32.345380523700079</v>
      </c>
      <c r="R22" s="280">
        <f>'Combustion CO2'!R76</f>
        <v>31.466623128123757</v>
      </c>
      <c r="S22" s="280">
        <f>'Combustion CO2'!S76</f>
        <v>31.819150693171292</v>
      </c>
      <c r="T22" s="280">
        <f>'Combustion CO2'!T76</f>
        <v>30.86282488303754</v>
      </c>
      <c r="U22" s="280">
        <f>'Combustion CO2'!U76</f>
        <v>28.977785301980987</v>
      </c>
      <c r="V22" s="280">
        <f>'Combustion CO2'!V76</f>
        <v>29.194406294139284</v>
      </c>
      <c r="W22" s="280">
        <f>'Combustion CO2'!W76</f>
        <v>29.122866885250296</v>
      </c>
      <c r="X22" s="280">
        <f>'Combustion CO2'!X76</f>
        <v>28.589464823242722</v>
      </c>
      <c r="Y22" s="280">
        <f>'Combustion CO2'!Y76</f>
        <v>29.863734621973759</v>
      </c>
      <c r="Z22" s="280">
        <f>'Combustion CO2'!Z76</f>
        <v>28.070166775754295</v>
      </c>
      <c r="AA22" s="280">
        <f>'Combustion CO2'!AA76</f>
        <v>28.563982489108188</v>
      </c>
      <c r="AB22" s="280">
        <f>'Combustion CO2'!AB76</f>
        <v>28.915475634666461</v>
      </c>
      <c r="AC22" s="280">
        <f>'Combustion CO2'!AC76</f>
        <v>28.383866566732596</v>
      </c>
      <c r="AD22" s="281">
        <f>'Combustion CO2'!AD76</f>
        <v>29.007851076241238</v>
      </c>
      <c r="AE22" s="280">
        <f>'Combustion CO2'!AE76</f>
        <v>28.718290747720118</v>
      </c>
      <c r="AF22" s="280">
        <f>'Combustion CO2'!AF76</f>
        <v>22.643265319497907</v>
      </c>
      <c r="AG22" s="280">
        <f>'Combustion CO2'!AG76</f>
        <v>25.369592412136143</v>
      </c>
      <c r="AH22" s="280">
        <f>'Combustion CO2'!AH76</f>
        <v>25.922326415031002</v>
      </c>
      <c r="AI22" s="1414">
        <f>'Combustion CO2'!AI76</f>
        <v>25.981513834476111</v>
      </c>
      <c r="AK22" s="304"/>
      <c r="AL22" s="305"/>
      <c r="AM22" s="277"/>
      <c r="AN22" s="280"/>
      <c r="AO22" s="280"/>
      <c r="AR22" s="304"/>
      <c r="AS22" s="305"/>
      <c r="AT22" s="277"/>
      <c r="AU22" s="278"/>
      <c r="AV22" s="292"/>
    </row>
    <row r="23" spans="1:50" x14ac:dyDescent="0.4">
      <c r="A23" s="279" t="s">
        <v>33</v>
      </c>
      <c r="B23" s="280">
        <f>'Mobile CH4 and N2O'!B42/1000000</f>
        <v>1.0753076759395894</v>
      </c>
      <c r="C23" s="280">
        <f>'Mobile CH4 and N2O'!C42/1000000</f>
        <v>1.083328307482686</v>
      </c>
      <c r="D23" s="280">
        <f>'Mobile CH4 and N2O'!D42/1000000</f>
        <v>1.1147744537403796</v>
      </c>
      <c r="E23" s="280">
        <f>'Mobile CH4 and N2O'!E42/1000000</f>
        <v>1.0874042670826884</v>
      </c>
      <c r="F23" s="280">
        <f>'Mobile CH4 and N2O'!F42/1000000</f>
        <v>1.1376772439768528</v>
      </c>
      <c r="G23" s="280">
        <f>'Mobile CH4 and N2O'!G42/1000000</f>
        <v>1.1607969890693142</v>
      </c>
      <c r="H23" s="280">
        <f>'Mobile CH4 and N2O'!H42/1000000</f>
        <v>1.2143550890006947</v>
      </c>
      <c r="I23" s="280">
        <f>'Mobile CH4 and N2O'!I42/1000000</f>
        <v>1.2058606520186317</v>
      </c>
      <c r="J23" s="280">
        <f>'Mobile CH4 and N2O'!J42/1000000</f>
        <v>1.1998852734941363</v>
      </c>
      <c r="K23" s="280">
        <f>'Mobile CH4 and N2O'!K42/1000000</f>
        <v>1.1221594396260741</v>
      </c>
      <c r="L23" s="280">
        <f>'Mobile CH4 and N2O'!L42/1000000</f>
        <v>1.0928770994312982</v>
      </c>
      <c r="M23" s="280">
        <f>'Mobile CH4 and N2O'!M42/1000000</f>
        <v>1.0391525910354076</v>
      </c>
      <c r="N23" s="280">
        <f>'Mobile CH4 and N2O'!N42/1000000</f>
        <v>0.97531696999635809</v>
      </c>
      <c r="O23" s="280">
        <f>'Mobile CH4 and N2O'!O42/1000000</f>
        <v>0.9307515363026021</v>
      </c>
      <c r="P23" s="280">
        <f>'Mobile CH4 and N2O'!P42/1000000</f>
        <v>0.87328857676163307</v>
      </c>
      <c r="Q23" s="280">
        <f>'Mobile CH4 and N2O'!Q42/1000000</f>
        <v>0.82695034019404612</v>
      </c>
      <c r="R23" s="280">
        <f>'Mobile CH4 and N2O'!R42/1000000</f>
        <v>0.81330304653418628</v>
      </c>
      <c r="S23" s="280">
        <f>'Mobile CH4 and N2O'!S42/1000000</f>
        <v>0.71215817909290102</v>
      </c>
      <c r="T23" s="280">
        <f>'Mobile CH4 and N2O'!T42/1000000</f>
        <v>0.66856356840425468</v>
      </c>
      <c r="U23" s="280">
        <f>'Mobile CH4 and N2O'!U42/1000000</f>
        <v>0.59994021048697932</v>
      </c>
      <c r="V23" s="280">
        <f>'Mobile CH4 and N2O'!V42/1000000</f>
        <v>0.58274442714610253</v>
      </c>
      <c r="W23" s="280">
        <f>'Mobile CH4 and N2O'!W42/1000000</f>
        <v>0.57393999379464022</v>
      </c>
      <c r="X23" s="280">
        <f>'Mobile CH4 and N2O'!X42/1000000</f>
        <v>0.51956016781682679</v>
      </c>
      <c r="Y23" s="280">
        <f>'Mobile CH4 and N2O'!Y42/1000000</f>
        <v>0.49515048951750656</v>
      </c>
      <c r="Z23" s="280">
        <f>'Mobile CH4 and N2O'!Z42/1000000</f>
        <v>0.46471480480611715</v>
      </c>
      <c r="AA23" s="280">
        <f>'Mobile CH4 and N2O'!AA42/1000000</f>
        <v>0.39000731796133276</v>
      </c>
      <c r="AB23" s="280">
        <f>'Mobile CH4 and N2O'!AB42/1000000</f>
        <v>0.37913368418676707</v>
      </c>
      <c r="AC23" s="280">
        <f>'Mobile CH4 and N2O'!AC42/1000000</f>
        <v>0.35368499569375861</v>
      </c>
      <c r="AD23" s="281">
        <f>'Mobile CH4 and N2O'!AD42/1000000</f>
        <v>0.3212555398885682</v>
      </c>
      <c r="AE23" s="280">
        <f>'Mobile CH4 and N2O'!AE42/1000000</f>
        <v>0.35868414207419819</v>
      </c>
      <c r="AF23" s="280">
        <f>'Mobile CH4 and N2O'!AF42/1000000</f>
        <v>0.300233346404158</v>
      </c>
      <c r="AG23" s="280">
        <f>'Mobile CH4 and N2O'!AG42/1000000</f>
        <v>0.30570766006240785</v>
      </c>
      <c r="AH23" s="280">
        <f>'Mobile CH4 and N2O'!AH42/1000000</f>
        <v>0.32121689646893553</v>
      </c>
      <c r="AI23" s="1414">
        <f>'Mobile CH4 and N2O'!AI42/1000000</f>
        <v>0.30901448959284655</v>
      </c>
      <c r="AK23" s="304"/>
      <c r="AL23" s="305"/>
      <c r="AM23" s="277"/>
      <c r="AO23" s="280"/>
      <c r="AR23" s="306"/>
      <c r="AS23" s="305"/>
      <c r="AT23" s="307"/>
      <c r="AU23" s="278"/>
      <c r="AV23" s="292"/>
    </row>
    <row r="24" spans="1:50" ht="17" x14ac:dyDescent="0.45">
      <c r="A24" s="308" t="s">
        <v>469</v>
      </c>
      <c r="B24" s="309">
        <f t="shared" ref="B24" si="23">B25+B26+B27+B28</f>
        <v>28.162431330116149</v>
      </c>
      <c r="C24" s="309">
        <f t="shared" ref="C24:X24" si="24">C25+C26+C27+C28</f>
        <v>28.264086112233116</v>
      </c>
      <c r="D24" s="309">
        <f t="shared" si="24"/>
        <v>27.083465220071602</v>
      </c>
      <c r="E24" s="309">
        <f t="shared" si="24"/>
        <v>25.451998051107321</v>
      </c>
      <c r="F24" s="309">
        <f t="shared" si="24"/>
        <v>25.542371654754771</v>
      </c>
      <c r="G24" s="309">
        <f t="shared" si="24"/>
        <v>24.730600597448042</v>
      </c>
      <c r="H24" s="309">
        <f t="shared" si="24"/>
        <v>24.51855665029958</v>
      </c>
      <c r="I24" s="309">
        <f t="shared" si="24"/>
        <v>28.637910886582169</v>
      </c>
      <c r="J24" s="309">
        <f t="shared" si="24"/>
        <v>29.274838523518994</v>
      </c>
      <c r="K24" s="309">
        <f t="shared" si="24"/>
        <v>27.873815963592197</v>
      </c>
      <c r="L24" s="309">
        <f t="shared" si="24"/>
        <v>27.07555759560249</v>
      </c>
      <c r="M24" s="309">
        <f t="shared" si="24"/>
        <v>26.559330901711363</v>
      </c>
      <c r="N24" s="309">
        <f t="shared" si="24"/>
        <v>28.147865813381259</v>
      </c>
      <c r="O24" s="309">
        <f t="shared" si="24"/>
        <v>29.637443235091379</v>
      </c>
      <c r="P24" s="309">
        <f t="shared" si="24"/>
        <v>28.52854665158296</v>
      </c>
      <c r="Q24" s="309">
        <f t="shared" si="24"/>
        <v>29.976865531050549</v>
      </c>
      <c r="R24" s="309">
        <f t="shared" si="24"/>
        <v>26.19038965355578</v>
      </c>
      <c r="S24" s="309">
        <f t="shared" si="24"/>
        <v>27.844045975987939</v>
      </c>
      <c r="T24" s="309">
        <f t="shared" si="24"/>
        <v>25.13013800459893</v>
      </c>
      <c r="U24" s="309">
        <f t="shared" si="24"/>
        <v>22.503797660883695</v>
      </c>
      <c r="V24" s="309">
        <f t="shared" si="24"/>
        <v>23.211386378367123</v>
      </c>
      <c r="W24" s="309">
        <f t="shared" si="24"/>
        <v>18.281940644785681</v>
      </c>
      <c r="X24" s="309">
        <f t="shared" si="24"/>
        <v>15.861730730057928</v>
      </c>
      <c r="Y24" s="309">
        <f t="shared" ref="Y24:AF24" si="25">Y25+Y26+Y27+Y28</f>
        <v>16.4512569723315</v>
      </c>
      <c r="Z24" s="309">
        <f t="shared" si="25"/>
        <v>14.88463344566345</v>
      </c>
      <c r="AA24" s="309">
        <f t="shared" si="25"/>
        <v>15.686193768215984</v>
      </c>
      <c r="AB24" s="309">
        <f t="shared" si="25"/>
        <v>14.734081239424333</v>
      </c>
      <c r="AC24" s="309">
        <f t="shared" si="25"/>
        <v>13.614370068180438</v>
      </c>
      <c r="AD24" s="310">
        <f t="shared" si="25"/>
        <v>12.134257842909928</v>
      </c>
      <c r="AE24" s="309">
        <f t="shared" si="25"/>
        <v>10.722427778971639</v>
      </c>
      <c r="AF24" s="309">
        <f t="shared" si="25"/>
        <v>12.806025714474893</v>
      </c>
      <c r="AG24" s="309">
        <f t="shared" ref="AG24:AH24" si="26">AG25+AG26+AG27+AG28</f>
        <v>12.487184309944796</v>
      </c>
      <c r="AH24" s="309">
        <f t="shared" si="26"/>
        <v>12.230393622083517</v>
      </c>
      <c r="AI24" s="1419">
        <f t="shared" ref="AI24" si="27">AI25+AI26+AI27+AI28</f>
        <v>11.260706072606789</v>
      </c>
      <c r="AK24" s="306"/>
      <c r="AL24" s="305"/>
      <c r="AM24" s="307"/>
      <c r="AO24" s="280"/>
      <c r="AS24" s="291"/>
      <c r="AT24" s="277"/>
      <c r="AU24" s="278"/>
      <c r="AV24" s="278"/>
    </row>
    <row r="25" spans="1:50" ht="17" x14ac:dyDescent="0.45">
      <c r="A25" s="279" t="s">
        <v>470</v>
      </c>
      <c r="B25" s="280">
        <f>'Combustion CO2'!B81</f>
        <v>25.256636732676711</v>
      </c>
      <c r="C25" s="280">
        <f>'Combustion CO2'!C81</f>
        <v>25.914728879913365</v>
      </c>
      <c r="D25" s="280">
        <f>'Combustion CO2'!D81</f>
        <v>24.426681636914616</v>
      </c>
      <c r="E25" s="280">
        <f>'Combustion CO2'!E81</f>
        <v>21.967535985573292</v>
      </c>
      <c r="F25" s="280">
        <f>'Combustion CO2'!F81</f>
        <v>22.308384804598031</v>
      </c>
      <c r="G25" s="280">
        <f>'Combustion CO2'!G81</f>
        <v>21.438788153844321</v>
      </c>
      <c r="H25" s="280">
        <f>'Combustion CO2'!H81</f>
        <v>20.883901096087193</v>
      </c>
      <c r="I25" s="280">
        <f>'Combustion CO2'!I81</f>
        <v>26.163942634042538</v>
      </c>
      <c r="J25" s="280">
        <f>'Combustion CO2'!J81</f>
        <v>26.747611926121515</v>
      </c>
      <c r="K25" s="280">
        <f>'Combustion CO2'!K81</f>
        <v>24.004093488628136</v>
      </c>
      <c r="L25" s="280">
        <f>'Combustion CO2'!L81</f>
        <v>22.176187156381239</v>
      </c>
      <c r="M25" s="280">
        <f>'Combustion CO2'!M81</f>
        <v>21.9644181064916</v>
      </c>
      <c r="N25" s="280">
        <f>'Combustion CO2'!N81</f>
        <v>22.920165736663847</v>
      </c>
      <c r="O25" s="280">
        <f>'Combustion CO2'!O81</f>
        <v>25.00860220508946</v>
      </c>
      <c r="P25" s="280">
        <f>'Combustion CO2'!P81</f>
        <v>23.742061768767062</v>
      </c>
      <c r="Q25" s="280">
        <f>'Combustion CO2'!Q81</f>
        <v>24.508508839562417</v>
      </c>
      <c r="R25" s="280">
        <f>'Combustion CO2'!R81</f>
        <v>21.605252315219431</v>
      </c>
      <c r="S25" s="280">
        <f>'Combustion CO2'!S81</f>
        <v>23.666295740032623</v>
      </c>
      <c r="T25" s="280">
        <f>'Combustion CO2'!T81</f>
        <v>20.168912335399149</v>
      </c>
      <c r="U25" s="280">
        <f>'Combustion CO2'!U81</f>
        <v>17.585116309401926</v>
      </c>
      <c r="V25" s="280">
        <f>'Combustion CO2'!V81</f>
        <v>18.286569094037727</v>
      </c>
      <c r="W25" s="280">
        <f>'Combustion CO2'!W81</f>
        <v>14.354837458195698</v>
      </c>
      <c r="X25" s="280">
        <f>'Combustion CO2'!X81</f>
        <v>12.131402331331717</v>
      </c>
      <c r="Y25" s="280">
        <f>'Combustion CO2'!Y81</f>
        <v>12.659822445437143</v>
      </c>
      <c r="Z25" s="280">
        <f>'Combustion CO2'!Z81</f>
        <v>10.782306921880684</v>
      </c>
      <c r="AA25" s="280">
        <f>'Combustion CO2'!AA81</f>
        <v>11.311329440348851</v>
      </c>
      <c r="AB25" s="280">
        <f>'Combustion CO2'!AB81</f>
        <v>10.704619766914323</v>
      </c>
      <c r="AC25" s="280">
        <f>'Combustion CO2'!AC81</f>
        <v>10.277411017637217</v>
      </c>
      <c r="AD25" s="281">
        <f>'Combustion CO2'!AD81</f>
        <v>7.6499388544811335</v>
      </c>
      <c r="AE25" s="280">
        <f>'Combustion CO2'!AE81</f>
        <v>6.2240808974230486</v>
      </c>
      <c r="AF25" s="280">
        <f>'Combustion CO2'!AF81</f>
        <v>5.7447834902179773</v>
      </c>
      <c r="AG25" s="280">
        <f>'Combustion CO2'!AG81</f>
        <v>6.1409138216974188</v>
      </c>
      <c r="AH25" s="280">
        <f>'Combustion CO2'!AH81</f>
        <v>6.805501872639649</v>
      </c>
      <c r="AI25" s="1414">
        <f>'Combustion CO2'!AI81</f>
        <v>5.9727830458898277</v>
      </c>
      <c r="AJ25" s="1040"/>
      <c r="AL25" s="291"/>
      <c r="AM25" s="277"/>
      <c r="AN25" s="280"/>
      <c r="AO25" s="280"/>
      <c r="AS25" s="291"/>
      <c r="AT25" s="277"/>
      <c r="AU25" s="278"/>
      <c r="AV25" s="278"/>
    </row>
    <row r="26" spans="1:50" ht="17" x14ac:dyDescent="0.45">
      <c r="A26" s="279" t="s">
        <v>956</v>
      </c>
      <c r="B26" s="283">
        <f>'Stationary CH4 and N2O'!B85</f>
        <v>9.3884288699999999E-2</v>
      </c>
      <c r="C26" s="283">
        <f>'Stationary CH4 and N2O'!C85</f>
        <v>9.6822959449999968E-2</v>
      </c>
      <c r="D26" s="283">
        <f>'Stationary CH4 and N2O'!D85</f>
        <v>9.0914300149999988E-2</v>
      </c>
      <c r="E26" s="283">
        <f>'Stationary CH4 and N2O'!E85</f>
        <v>8.1111164489999998E-2</v>
      </c>
      <c r="F26" s="283">
        <f>'Stationary CH4 and N2O'!F85</f>
        <v>8.0477643539999991E-2</v>
      </c>
      <c r="G26" s="283">
        <f>'Stationary CH4 and N2O'!G85</f>
        <v>7.487524039E-2</v>
      </c>
      <c r="H26" s="283">
        <f>'Stationary CH4 and N2O'!H85</f>
        <v>7.7779169514999996E-2</v>
      </c>
      <c r="I26" s="283">
        <f>'Stationary CH4 and N2O'!I85</f>
        <v>9.6196196615999999E-2</v>
      </c>
      <c r="J26" s="283">
        <f>'Stationary CH4 and N2O'!J85</f>
        <v>9.9711417475199987E-2</v>
      </c>
      <c r="K26" s="283">
        <f>'Stationary CH4 and N2O'!K85</f>
        <v>9.1105053121899982E-2</v>
      </c>
      <c r="L26" s="283">
        <f>'Stationary CH4 and N2O'!L85</f>
        <v>8.6038897661899996E-2</v>
      </c>
      <c r="M26" s="283">
        <f>'Stationary CH4 and N2O'!M85</f>
        <v>8.4135110418599987E-2</v>
      </c>
      <c r="N26" s="283">
        <f>'Stationary CH4 and N2O'!N85</f>
        <v>8.3639338406599997E-2</v>
      </c>
      <c r="O26" s="283">
        <f>'Stationary CH4 and N2O'!O85</f>
        <v>8.5136165160799998E-2</v>
      </c>
      <c r="P26" s="283">
        <f>'Stationary CH4 and N2O'!P85</f>
        <v>8.1217752578399999E-2</v>
      </c>
      <c r="Q26" s="283">
        <f>'Stationary CH4 and N2O'!Q85</f>
        <v>8.7053430643999993E-2</v>
      </c>
      <c r="R26" s="283">
        <f>'Stationary CH4 and N2O'!R85</f>
        <v>7.388594993E-2</v>
      </c>
      <c r="S26" s="283">
        <f>'Stationary CH4 and N2O'!S85</f>
        <v>7.9954547018999983E-2</v>
      </c>
      <c r="T26" s="283">
        <f>'Stationary CH4 and N2O'!T85</f>
        <v>7.0447017651999996E-2</v>
      </c>
      <c r="U26" s="283">
        <f>'Stationary CH4 and N2O'!U85</f>
        <v>5.9428616861800003E-2</v>
      </c>
      <c r="V26" s="283">
        <f>'Stationary CH4 and N2O'!V85</f>
        <v>5.5503888081399999E-2</v>
      </c>
      <c r="W26" s="283">
        <f>'Stationary CH4 and N2O'!W85</f>
        <v>3.6155926511399997E-2</v>
      </c>
      <c r="X26" s="283">
        <f>'Stationary CH4 and N2O'!X85</f>
        <v>2.6671556131799997E-2</v>
      </c>
      <c r="Y26" s="283">
        <f>'Stationary CH4 and N2O'!Y85</f>
        <v>3.4448873260999997E-2</v>
      </c>
      <c r="Z26" s="283">
        <f>'Stationary CH4 and N2O'!Z85</f>
        <v>3.1111986384599999E-2</v>
      </c>
      <c r="AA26" s="283">
        <f>'Stationary CH4 and N2O'!AA85</f>
        <v>2.8343924454799996E-2</v>
      </c>
      <c r="AB26" s="280">
        <f>'Stationary CH4 and N2O'!AB85</f>
        <v>2.6786002749199997E-2</v>
      </c>
      <c r="AC26" s="280">
        <f>'Stationary CH4 and N2O'!AC85</f>
        <v>2.2732699960599997E-2</v>
      </c>
      <c r="AD26" s="281">
        <f>'Stationary CH4 and N2O'!AD85</f>
        <v>1.5684509824999998E-2</v>
      </c>
      <c r="AE26" s="280">
        <f>'Stationary CH4 and N2O'!AE85</f>
        <v>1.3002606939999998E-2</v>
      </c>
      <c r="AF26" s="280">
        <f>'Stationary CH4 and N2O'!AF85</f>
        <v>1.28849316122E-2</v>
      </c>
      <c r="AG26" s="280">
        <f>'Stationary CH4 and N2O'!AG85</f>
        <v>1.1772683811199999E-2</v>
      </c>
      <c r="AH26" s="280">
        <f>'Stationary CH4 and N2O'!AH85</f>
        <v>1.1837122608E-2</v>
      </c>
      <c r="AI26" s="1414">
        <f>'Stationary CH4 and N2O'!AI85</f>
        <v>9.3250753383999994E-3</v>
      </c>
      <c r="AL26" s="291"/>
      <c r="AM26" s="277"/>
      <c r="AN26" s="280"/>
      <c r="AO26" s="280"/>
      <c r="AS26" s="291"/>
      <c r="AT26" s="277"/>
      <c r="AU26" s="278"/>
      <c r="AV26" s="278"/>
    </row>
    <row r="27" spans="1:50" ht="17" x14ac:dyDescent="0.45">
      <c r="A27" s="279" t="s">
        <v>955</v>
      </c>
      <c r="B27" s="283">
        <f>'Solid Waste'!B65</f>
        <v>0.92601628752123666</v>
      </c>
      <c r="C27" s="283">
        <f>'Solid Waste'!C65</f>
        <v>1.0801301569133455</v>
      </c>
      <c r="D27" s="283">
        <f>'Solid Waste'!D65</f>
        <v>1.0906473008397313</v>
      </c>
      <c r="E27" s="283">
        <f>'Solid Waste'!E65</f>
        <v>1.242718904054505</v>
      </c>
      <c r="F27" s="283">
        <f>'Solid Waste'!F65</f>
        <v>1.2928195089196404</v>
      </c>
      <c r="G27" s="283">
        <f>'Solid Waste'!G65</f>
        <v>1.2744958903414088</v>
      </c>
      <c r="H27" s="283">
        <f>'Solid Waste'!H65</f>
        <v>1.4468622619050446</v>
      </c>
      <c r="I27" s="283">
        <f>'Solid Waste'!I65</f>
        <v>1.4555860623276906</v>
      </c>
      <c r="J27" s="283">
        <f>'Solid Waste'!J65</f>
        <v>1.5164204737577511</v>
      </c>
      <c r="K27" s="283">
        <f>'Solid Waste'!K65</f>
        <v>1.557924676415414</v>
      </c>
      <c r="L27" s="283">
        <f>'Solid Waste'!L65</f>
        <v>1.6955563813287422</v>
      </c>
      <c r="M27" s="283">
        <f>'Solid Waste'!M65</f>
        <v>1.7803166091743412</v>
      </c>
      <c r="N27" s="283">
        <f>'Solid Waste'!N65</f>
        <v>1.7760175871093165</v>
      </c>
      <c r="O27" s="283">
        <f>'Solid Waste'!O65</f>
        <v>1.8060576400639383</v>
      </c>
      <c r="P27" s="283">
        <f>'Solid Waste'!P65</f>
        <v>1.8435570813811437</v>
      </c>
      <c r="Q27" s="283">
        <f>'Solid Waste'!Q65</f>
        <v>1.9668336222264622</v>
      </c>
      <c r="R27" s="283">
        <f>'Solid Waste'!R65</f>
        <v>1.9577518984647779</v>
      </c>
      <c r="S27" s="283">
        <f>'Solid Waste'!S65</f>
        <v>1.8710997732851635</v>
      </c>
      <c r="T27" s="283">
        <f>'Solid Waste'!T65</f>
        <v>2.1772402484491562</v>
      </c>
      <c r="U27" s="283">
        <f>'Solid Waste'!U65</f>
        <v>2.1156528506438166</v>
      </c>
      <c r="V27" s="283">
        <f>'Solid Waste'!V65</f>
        <v>2.4268167200000001</v>
      </c>
      <c r="W27" s="283">
        <f>'Solid Waste'!W65</f>
        <v>1.1283393000000002</v>
      </c>
      <c r="X27" s="283">
        <f>'Solid Waste'!X65</f>
        <v>1.1245143</v>
      </c>
      <c r="Y27" s="283">
        <f>'Solid Waste'!Y65</f>
        <v>1.1794822839999999</v>
      </c>
      <c r="Z27" s="283">
        <f>'Solid Waste'!Z65</f>
        <v>1.2139940979999999</v>
      </c>
      <c r="AA27" s="283">
        <f>'Solid Waste'!AA65</f>
        <v>1.218505508</v>
      </c>
      <c r="AB27" s="280">
        <f>'Solid Waste'!AB65</f>
        <v>1.234089784</v>
      </c>
      <c r="AC27" s="280">
        <f>'Solid Waste'!AC65</f>
        <v>1.1685330480000002</v>
      </c>
      <c r="AD27" s="280">
        <f>'Solid Waste'!AD65</f>
        <v>1.163976994</v>
      </c>
      <c r="AE27" s="280">
        <f>'Solid Waste'!AE65</f>
        <v>1.085687544</v>
      </c>
      <c r="AF27" s="280">
        <f>'Solid Waste'!AF65</f>
        <v>1.164040612</v>
      </c>
      <c r="AG27" s="280">
        <f>'Solid Waste'!AG65</f>
        <v>1.2226291460000001</v>
      </c>
      <c r="AH27" s="280">
        <f>'Solid Waste'!AH65</f>
        <v>1.2807188459999999</v>
      </c>
      <c r="AI27" s="1414">
        <f>'Solid Waste'!AI65</f>
        <v>1.2317745919999998</v>
      </c>
      <c r="AL27" s="291"/>
      <c r="AM27" s="277"/>
      <c r="AN27" s="280"/>
      <c r="AO27" s="280"/>
      <c r="AR27" s="311"/>
      <c r="AS27" s="294"/>
      <c r="AT27" s="277"/>
      <c r="AU27" s="278"/>
      <c r="AV27" s="278"/>
    </row>
    <row r="28" spans="1:50" ht="17" x14ac:dyDescent="0.45">
      <c r="A28" s="312" t="s">
        <v>986</v>
      </c>
      <c r="B28" s="280">
        <f>'Electricity Imports'!B9</f>
        <v>1.8858940212182027</v>
      </c>
      <c r="C28" s="280">
        <f>'Electricity Imports'!C9</f>
        <v>1.1724041159564047</v>
      </c>
      <c r="D28" s="280">
        <f>'Electricity Imports'!D9</f>
        <v>1.4752219821672543</v>
      </c>
      <c r="E28" s="280">
        <f>'Electricity Imports'!E9</f>
        <v>2.1606319969895238</v>
      </c>
      <c r="F28" s="280">
        <f>'Electricity Imports'!F9</f>
        <v>1.8606896976971012</v>
      </c>
      <c r="G28" s="280">
        <f>'Electricity Imports'!G9</f>
        <v>1.9424413128723124</v>
      </c>
      <c r="H28" s="280">
        <f>'Electricity Imports'!H9</f>
        <v>2.1100141227923412</v>
      </c>
      <c r="I28" s="280">
        <f>'Electricity Imports'!I9</f>
        <v>0.92218599359594056</v>
      </c>
      <c r="J28" s="280">
        <f>'Electricity Imports'!J9</f>
        <v>0.9110947061645297</v>
      </c>
      <c r="K28" s="280">
        <f>'Electricity Imports'!K9</f>
        <v>2.2206927454267458</v>
      </c>
      <c r="L28" s="280">
        <f>'Electricity Imports'!L9</f>
        <v>3.1177751602306079</v>
      </c>
      <c r="M28" s="280">
        <f>'Electricity Imports'!M9</f>
        <v>2.7304610756268213</v>
      </c>
      <c r="N28" s="280">
        <f>'Electricity Imports'!N9</f>
        <v>3.3680431512014977</v>
      </c>
      <c r="O28" s="280">
        <f>'Electricity Imports'!O9</f>
        <v>2.7376472247771821</v>
      </c>
      <c r="P28" s="280">
        <f>'Electricity Imports'!P9</f>
        <v>2.8617100488563549</v>
      </c>
      <c r="Q28" s="280">
        <f>'Electricity Imports'!Q9</f>
        <v>3.4144696386176672</v>
      </c>
      <c r="R28" s="280">
        <f>'Electricity Imports'!R9</f>
        <v>2.5534994899415717</v>
      </c>
      <c r="S28" s="280">
        <f>'Electricity Imports'!S9</f>
        <v>2.2266959156511517</v>
      </c>
      <c r="T28" s="280">
        <f>'Electricity Imports'!T9</f>
        <v>2.7135384030986245</v>
      </c>
      <c r="U28" s="280">
        <f>'Electricity Imports'!U9</f>
        <v>2.7435998839761511</v>
      </c>
      <c r="V28" s="280">
        <f>'Electricity Imports'!V9</f>
        <v>2.4424966762479952</v>
      </c>
      <c r="W28" s="280">
        <f>'Electricity Imports'!W9</f>
        <v>2.762607960078582</v>
      </c>
      <c r="X28" s="280">
        <f>'Electricity Imports'!X9</f>
        <v>2.5791425425944108</v>
      </c>
      <c r="Y28" s="280">
        <f>'Electricity Imports'!Y9</f>
        <v>2.5775033696333551</v>
      </c>
      <c r="Z28" s="280">
        <f>'Electricity Imports'!Z9</f>
        <v>2.8572204393981666</v>
      </c>
      <c r="AA28" s="280">
        <f>'Electricity Imports'!AA9</f>
        <v>3.1280148954123335</v>
      </c>
      <c r="AB28" s="280">
        <f>'Electricity Imports'!AB9</f>
        <v>2.7685856857608093</v>
      </c>
      <c r="AC28" s="280">
        <f>'Electricity Imports'!AC9</f>
        <v>2.1456933025826213</v>
      </c>
      <c r="AD28" s="281">
        <f>'Electricity Imports'!AD9</f>
        <v>3.3046574846037937</v>
      </c>
      <c r="AE28" s="280">
        <f>'Electricity Imports'!AE9</f>
        <v>3.3996567306085903</v>
      </c>
      <c r="AF28" s="280">
        <f>'Electricity Imports'!AF9</f>
        <v>5.8843166806447158</v>
      </c>
      <c r="AG28" s="280">
        <f>'Electricity Imports'!AG9</f>
        <v>5.111868658436177</v>
      </c>
      <c r="AH28" s="280">
        <f>'Electricity Imports'!AH9</f>
        <v>4.1323357808358683</v>
      </c>
      <c r="AI28" s="1414">
        <f>'Electricity Imports'!AI9</f>
        <v>4.0468233593785614</v>
      </c>
      <c r="AK28" s="311"/>
      <c r="AL28" s="294"/>
      <c r="AM28" s="277"/>
      <c r="AN28" s="280"/>
      <c r="AO28" s="280"/>
      <c r="AS28" s="294"/>
      <c r="AT28" s="277"/>
      <c r="AU28" s="278"/>
      <c r="AV28" s="278"/>
    </row>
    <row r="29" spans="1:50" ht="17" x14ac:dyDescent="0.45">
      <c r="A29" s="313" t="s">
        <v>471</v>
      </c>
      <c r="B29" s="314">
        <f>B30+B31</f>
        <v>1.8677651258656023</v>
      </c>
      <c r="C29" s="314">
        <f>C30+C31</f>
        <v>1.852887425897749</v>
      </c>
      <c r="D29" s="314">
        <f t="shared" ref="D29:AE29" si="28">D30+D31</f>
        <v>1.8397743556365584</v>
      </c>
      <c r="E29" s="314">
        <f t="shared" si="28"/>
        <v>1.7613444610359528</v>
      </c>
      <c r="F29" s="314">
        <f t="shared" si="28"/>
        <v>1.7049153610944481</v>
      </c>
      <c r="G29" s="314">
        <f t="shared" si="28"/>
        <v>1.6709702656070302</v>
      </c>
      <c r="H29" s="314">
        <f t="shared" si="28"/>
        <v>1.5924548496297186</v>
      </c>
      <c r="I29" s="314">
        <f t="shared" si="28"/>
        <v>1.5411686000890501</v>
      </c>
      <c r="J29" s="314">
        <f t="shared" si="28"/>
        <v>1.4818949902988792</v>
      </c>
      <c r="K29" s="314">
        <f t="shared" si="28"/>
        <v>1.4228973383008028</v>
      </c>
      <c r="L29" s="314">
        <f t="shared" si="28"/>
        <v>1.3849041465119019</v>
      </c>
      <c r="M29" s="314">
        <f t="shared" si="28"/>
        <v>1.3148628860365357</v>
      </c>
      <c r="N29" s="314">
        <f t="shared" si="28"/>
        <v>1.2775637306450169</v>
      </c>
      <c r="O29" s="314">
        <f t="shared" si="28"/>
        <v>1.2248834953868954</v>
      </c>
      <c r="P29" s="314">
        <f t="shared" si="28"/>
        <v>1.2096454508131458</v>
      </c>
      <c r="Q29" s="314">
        <f t="shared" si="28"/>
        <v>1.116769011294539</v>
      </c>
      <c r="R29" s="314">
        <f t="shared" si="28"/>
        <v>1.0773854569526293</v>
      </c>
      <c r="S29" s="314">
        <f t="shared" si="28"/>
        <v>1.0341021055848829</v>
      </c>
      <c r="T29" s="314">
        <f t="shared" si="28"/>
        <v>1.0261355902109481</v>
      </c>
      <c r="U29" s="314">
        <f t="shared" si="28"/>
        <v>0.97574211006229161</v>
      </c>
      <c r="V29" s="314">
        <f t="shared" si="28"/>
        <v>0.98651781200941091</v>
      </c>
      <c r="W29" s="314">
        <f t="shared" si="28"/>
        <v>0.79998790658513375</v>
      </c>
      <c r="X29" s="314">
        <f t="shared" si="28"/>
        <v>0.79980448829054251</v>
      </c>
      <c r="Y29" s="314">
        <f t="shared" si="28"/>
        <v>0.78487067159526314</v>
      </c>
      <c r="Z29" s="314">
        <f t="shared" si="28"/>
        <v>0.75976893464181838</v>
      </c>
      <c r="AA29" s="314">
        <f t="shared" si="28"/>
        <v>0.79756121017191395</v>
      </c>
      <c r="AB29" s="314">
        <f t="shared" si="28"/>
        <v>0.77716355555855188</v>
      </c>
      <c r="AC29" s="314">
        <f t="shared" si="28"/>
        <v>0.73524508776400288</v>
      </c>
      <c r="AD29" s="314">
        <f t="shared" si="28"/>
        <v>0.72053532011706112</v>
      </c>
      <c r="AE29" s="315">
        <f t="shared" si="28"/>
        <v>0.71879595083025949</v>
      </c>
      <c r="AF29" s="315">
        <f t="shared" ref="AF29:AG29" si="29">AF30+AF31</f>
        <v>0.74193958504154822</v>
      </c>
      <c r="AG29" s="315">
        <f t="shared" si="29"/>
        <v>0.71349693568858774</v>
      </c>
      <c r="AH29" s="315">
        <f t="shared" ref="AH29:AI29" si="30">AH30+AH31</f>
        <v>0.73924386892764427</v>
      </c>
      <c r="AI29" s="1420">
        <f t="shared" si="30"/>
        <v>0.70636312077249752</v>
      </c>
      <c r="AL29" s="294"/>
      <c r="AM29" s="277"/>
      <c r="AN29" s="280"/>
      <c r="AO29" s="280"/>
      <c r="AS29" s="136"/>
      <c r="AT29" s="277"/>
      <c r="AU29" s="278"/>
      <c r="AV29" s="278"/>
    </row>
    <row r="30" spans="1:50" x14ac:dyDescent="0.4">
      <c r="A30" s="279" t="s">
        <v>34</v>
      </c>
      <c r="B30" s="283">
        <f>'NG Sum Distribution PostMeter'!C59+'NG Sum Distribution PostMeter'!C60</f>
        <v>1.6981171446349697</v>
      </c>
      <c r="C30" s="283">
        <f>'NG Sum Distribution PostMeter'!D59+'NG Sum Distribution PostMeter'!D60</f>
        <v>1.6781368503696887</v>
      </c>
      <c r="D30" s="283">
        <f>'NG Sum Distribution PostMeter'!E59+'NG Sum Distribution PostMeter'!E60</f>
        <v>1.6650160146858353</v>
      </c>
      <c r="E30" s="283">
        <f>'NG Sum Distribution PostMeter'!F59+'NG Sum Distribution PostMeter'!F60</f>
        <v>1.5886060588676603</v>
      </c>
      <c r="F30" s="283">
        <f>'NG Sum Distribution PostMeter'!G59+'NG Sum Distribution PostMeter'!G60</f>
        <v>1.5341390258270902</v>
      </c>
      <c r="G30" s="283">
        <f>'NG Sum Distribution PostMeter'!H59+'NG Sum Distribution PostMeter'!H60</f>
        <v>1.5022669886244333</v>
      </c>
      <c r="H30" s="283">
        <f>'NG Sum Distribution PostMeter'!I59+'NG Sum Distribution PostMeter'!I60</f>
        <v>1.425467376127973</v>
      </c>
      <c r="I30" s="283">
        <f>'NG Sum Distribution PostMeter'!J59+'NG Sum Distribution PostMeter'!J60</f>
        <v>1.3761942204657138</v>
      </c>
      <c r="J30" s="283">
        <f>'NG Sum Distribution PostMeter'!K59+'NG Sum Distribution PostMeter'!K60</f>
        <v>1.3188501590234014</v>
      </c>
      <c r="K30" s="283">
        <f>'NG Sum Distribution PostMeter'!L59+'NG Sum Distribution PostMeter'!L60</f>
        <v>1.261641548877162</v>
      </c>
      <c r="L30" s="283">
        <f>'NG Sum Distribution PostMeter'!M59+'NG Sum Distribution PostMeter'!M60</f>
        <v>1.2234268228376644</v>
      </c>
      <c r="M30" s="283">
        <f>'NG Sum Distribution PostMeter'!N59+'NG Sum Distribution PostMeter'!N60</f>
        <v>1.1548456256403652</v>
      </c>
      <c r="N30" s="283">
        <f>'NG Sum Distribution PostMeter'!O59+'NG Sum Distribution PostMeter'!O60</f>
        <v>1.1192932542656782</v>
      </c>
      <c r="O30" s="283">
        <f>'NG Sum Distribution PostMeter'!P59+'NG Sum Distribution PostMeter'!P60</f>
        <v>1.0689397263294127</v>
      </c>
      <c r="P30" s="283">
        <f>'NG Sum Distribution PostMeter'!Q59+'NG Sum Distribution PostMeter'!Q60</f>
        <v>1.0549659757958125</v>
      </c>
      <c r="Q30" s="283">
        <f>'NG Sum Distribution PostMeter'!R59+'NG Sum Distribution PostMeter'!R60</f>
        <v>0.96388581295203757</v>
      </c>
      <c r="R30" s="283">
        <f>'NG Sum Distribution PostMeter'!S59+'NG Sum Distribution PostMeter'!S60</f>
        <v>0.92709111626173912</v>
      </c>
      <c r="S30" s="283">
        <f>'NG Sum Distribution PostMeter'!T59+'NG Sum Distribution PostMeter'!T60</f>
        <v>0.88512738029058702</v>
      </c>
      <c r="T30" s="283">
        <f>'NG Sum Distribution PostMeter'!U59+'NG Sum Distribution PostMeter'!U60</f>
        <v>0.83374515920712233</v>
      </c>
      <c r="U30" s="283">
        <f>'NG Sum Distribution PostMeter'!V59+'NG Sum Distribution PostMeter'!V60</f>
        <v>0.78517646934640628</v>
      </c>
      <c r="V30" s="283">
        <f>'NG Sum Distribution PostMeter'!W59+'NG Sum Distribution PostMeter'!W60</f>
        <v>0.75292583432142168</v>
      </c>
      <c r="W30" s="283">
        <f>'NG Sum Distribution PostMeter'!X59+'NG Sum Distribution PostMeter'!X60</f>
        <v>0.69892539643020735</v>
      </c>
      <c r="X30" s="283">
        <f>'NG Sum Distribution PostMeter'!Y59+'NG Sum Distribution PostMeter'!Y60</f>
        <v>0.69397194514018645</v>
      </c>
      <c r="Y30" s="283">
        <f>'NG Sum Distribution PostMeter'!Z59+'NG Sum Distribution PostMeter'!Z60</f>
        <v>0.67896910883578931</v>
      </c>
      <c r="Z30" s="283">
        <f>'NG Sum Distribution PostMeter'!AA59+'NG Sum Distribution PostMeter'!AA60</f>
        <v>0.65553191641877318</v>
      </c>
      <c r="AA30" s="283">
        <f>'NG Sum Distribution PostMeter'!AB59+'NG Sum Distribution PostMeter'!AB60</f>
        <v>0.65849530228214248</v>
      </c>
      <c r="AB30" s="283">
        <f>'NG Sum Distribution PostMeter'!AC59+'NG Sum Distribution PostMeter'!AC60</f>
        <v>0.65450594465976542</v>
      </c>
      <c r="AC30" s="283">
        <f>'NG Sum Distribution PostMeter'!AD59+'NG Sum Distribution PostMeter'!AD60</f>
        <v>0.66705800983925934</v>
      </c>
      <c r="AD30" s="283">
        <f>'NG Sum Distribution PostMeter'!AE59+'NG Sum Distribution PostMeter'!AE60</f>
        <v>0.65440896196676102</v>
      </c>
      <c r="AE30" s="283">
        <f>'NG Sum Distribution PostMeter'!AF59+'NG Sum Distribution PostMeter'!AF60</f>
        <v>0.64095108202000439</v>
      </c>
      <c r="AF30" s="283">
        <f>'NG Sum Distribution PostMeter'!AG59+'NG Sum Distribution PostMeter'!AG60</f>
        <v>0.66932288513178717</v>
      </c>
      <c r="AG30" s="283">
        <f>'NG Sum Distribution PostMeter'!AH59+'NG Sum Distribution PostMeter'!AH60</f>
        <v>0.62669498750766606</v>
      </c>
      <c r="AH30" s="283">
        <f>'NG Sum Distribution PostMeter'!AI59+'NG Sum Distribution PostMeter'!AI60</f>
        <v>0.64121538579268966</v>
      </c>
      <c r="AI30" s="283">
        <f>'NG Sum Distribution PostMeter'!AJ59+'NG Sum Distribution PostMeter'!AJ60</f>
        <v>0.60731598850412949</v>
      </c>
      <c r="AL30" s="136"/>
      <c r="AM30" s="277"/>
      <c r="AN30" s="291"/>
      <c r="AO30" s="291"/>
      <c r="AS30" s="136"/>
      <c r="AT30" s="277"/>
      <c r="AU30" s="278"/>
      <c r="AV30" s="278"/>
    </row>
    <row r="31" spans="1:50" x14ac:dyDescent="0.4">
      <c r="A31" s="279" t="s">
        <v>19</v>
      </c>
      <c r="B31" s="283">
        <f>'NG Sum Distribution PostMeter'!C61</f>
        <v>0.16964798123063266</v>
      </c>
      <c r="C31" s="283">
        <f>'NG Sum Distribution PostMeter'!D61</f>
        <v>0.17475057552806023</v>
      </c>
      <c r="D31" s="283">
        <f>'NG Sum Distribution PostMeter'!E61</f>
        <v>0.17475834095072315</v>
      </c>
      <c r="E31" s="283">
        <f>'NG Sum Distribution PostMeter'!F61</f>
        <v>0.17273840216829248</v>
      </c>
      <c r="F31" s="283">
        <f>'NG Sum Distribution PostMeter'!G61</f>
        <v>0.17077633526735789</v>
      </c>
      <c r="G31" s="283">
        <f>'NG Sum Distribution PostMeter'!H61</f>
        <v>0.16870327698259682</v>
      </c>
      <c r="H31" s="283">
        <f>'NG Sum Distribution PostMeter'!I61</f>
        <v>0.16698747350174553</v>
      </c>
      <c r="I31" s="283">
        <f>'NG Sum Distribution PostMeter'!J61</f>
        <v>0.16497437962333633</v>
      </c>
      <c r="J31" s="283">
        <f>'NG Sum Distribution PostMeter'!K61</f>
        <v>0.16304483127547775</v>
      </c>
      <c r="K31" s="283">
        <f>'NG Sum Distribution PostMeter'!L61</f>
        <v>0.16125578942364072</v>
      </c>
      <c r="L31" s="283">
        <f>'NG Sum Distribution PostMeter'!M61</f>
        <v>0.16147732367423742</v>
      </c>
      <c r="M31" s="283">
        <f>'NG Sum Distribution PostMeter'!N61</f>
        <v>0.1600172603961704</v>
      </c>
      <c r="N31" s="283">
        <f>'NG Sum Distribution PostMeter'!O61</f>
        <v>0.15827047637933872</v>
      </c>
      <c r="O31" s="283">
        <f>'NG Sum Distribution PostMeter'!P61</f>
        <v>0.15594376905748275</v>
      </c>
      <c r="P31" s="283">
        <f>'NG Sum Distribution PostMeter'!Q61</f>
        <v>0.15467947501733323</v>
      </c>
      <c r="Q31" s="283">
        <f>'NG Sum Distribution PostMeter'!R61</f>
        <v>0.15288319834250139</v>
      </c>
      <c r="R31" s="283">
        <f>'NG Sum Distribution PostMeter'!S61</f>
        <v>0.15029434069089012</v>
      </c>
      <c r="S31" s="283">
        <f>'NG Sum Distribution PostMeter'!T61</f>
        <v>0.14897472529429581</v>
      </c>
      <c r="T31" s="283">
        <f>'NG Sum Distribution PostMeter'!U61</f>
        <v>0.1923904310038258</v>
      </c>
      <c r="U31" s="283">
        <f>'NG Sum Distribution PostMeter'!V61</f>
        <v>0.19056564071588536</v>
      </c>
      <c r="V31" s="283">
        <f>'NG Sum Distribution PostMeter'!W61</f>
        <v>0.23359197768798926</v>
      </c>
      <c r="W31" s="283">
        <f>'NG Sum Distribution PostMeter'!X61</f>
        <v>0.10106251015492639</v>
      </c>
      <c r="X31" s="283">
        <f>'NG Sum Distribution PostMeter'!Y61</f>
        <v>0.10583254315035609</v>
      </c>
      <c r="Y31" s="283">
        <f>'NG Sum Distribution PostMeter'!Z61</f>
        <v>0.10590156275947388</v>
      </c>
      <c r="Z31" s="283">
        <f>'NG Sum Distribution PostMeter'!AA61</f>
        <v>0.10423701822304517</v>
      </c>
      <c r="AA31" s="283">
        <f>'NG Sum Distribution PostMeter'!AB61</f>
        <v>0.13906590788977144</v>
      </c>
      <c r="AB31" s="283">
        <f>'NG Sum Distribution PostMeter'!AC61</f>
        <v>0.12265761089878646</v>
      </c>
      <c r="AC31" s="283">
        <f>'NG Sum Distribution PostMeter'!AD61</f>
        <v>6.8187077924743517E-2</v>
      </c>
      <c r="AD31" s="283">
        <f>'NG Sum Distribution PostMeter'!AE61</f>
        <v>6.612635815030013E-2</v>
      </c>
      <c r="AE31" s="283">
        <f>'NG Sum Distribution PostMeter'!AF61</f>
        <v>7.7844868810255041E-2</v>
      </c>
      <c r="AF31" s="283">
        <f>'NG Sum Distribution PostMeter'!AG61</f>
        <v>7.2616699909761065E-2</v>
      </c>
      <c r="AG31" s="283">
        <f>'NG Sum Distribution PostMeter'!AH61</f>
        <v>8.6801948180921656E-2</v>
      </c>
      <c r="AH31" s="283">
        <f>'NG Sum Distribution PostMeter'!AI61</f>
        <v>9.802848313495463E-2</v>
      </c>
      <c r="AI31" s="1414">
        <f>'NG Sum Distribution PostMeter'!AJ61</f>
        <v>9.9047132268368018E-2</v>
      </c>
      <c r="AL31" s="136"/>
      <c r="AM31" s="277"/>
      <c r="AN31" s="272"/>
      <c r="AO31" s="272"/>
      <c r="AS31" s="316"/>
      <c r="AT31" s="277"/>
      <c r="AU31" s="278"/>
      <c r="AV31" s="278"/>
    </row>
    <row r="32" spans="1:50" ht="17" x14ac:dyDescent="0.45">
      <c r="A32" s="317" t="s">
        <v>472</v>
      </c>
      <c r="B32" s="318">
        <f>'Industrial Process'!B59/1000000</f>
        <v>0.65625199051509786</v>
      </c>
      <c r="C32" s="318">
        <f>'Industrial Process'!C59/1000000</f>
        <v>0.71515416896556006</v>
      </c>
      <c r="D32" s="318">
        <f>'Industrial Process'!D59/1000000</f>
        <v>0.73849101987423305</v>
      </c>
      <c r="E32" s="318">
        <f>'Industrial Process'!E59/1000000</f>
        <v>0.84634390373530799</v>
      </c>
      <c r="F32" s="318">
        <f>'Industrial Process'!F59/1000000</f>
        <v>0.99268777160783084</v>
      </c>
      <c r="G32" s="318">
        <f>'Industrial Process'!G59/1000000</f>
        <v>1.2942356697070025</v>
      </c>
      <c r="H32" s="318">
        <f>'Industrial Process'!H59/1000000</f>
        <v>1.5173940091650766</v>
      </c>
      <c r="I32" s="318">
        <f>'Industrial Process'!I59/1000000</f>
        <v>1.7296705098776286</v>
      </c>
      <c r="J32" s="318">
        <f>'Industrial Process'!J59/1000000</f>
        <v>2.0517836695231537</v>
      </c>
      <c r="K32" s="318">
        <f>'Industrial Process'!K59/1000000</f>
        <v>2.1722864635428154</v>
      </c>
      <c r="L32" s="318">
        <f>'Industrial Process'!L59/1000000</f>
        <v>2.2344480754691962</v>
      </c>
      <c r="M32" s="318">
        <f>'Industrial Process'!M59/1000000</f>
        <v>2.2873664104114422</v>
      </c>
      <c r="N32" s="318">
        <f>'Industrial Process'!N59/1000000</f>
        <v>2.3543108214792743</v>
      </c>
      <c r="O32" s="318">
        <f>'Industrial Process'!O59/1000000</f>
        <v>2.4553345934789768</v>
      </c>
      <c r="P32" s="318">
        <f>'Industrial Process'!P59/1000000</f>
        <v>2.3943985038673308</v>
      </c>
      <c r="Q32" s="318">
        <f>'Industrial Process'!Q59/1000000</f>
        <v>2.491187372700066</v>
      </c>
      <c r="R32" s="318">
        <f>'Industrial Process'!R59/1000000</f>
        <v>2.6398819487247986</v>
      </c>
      <c r="S32" s="318">
        <f>'Industrial Process'!S59/1000000</f>
        <v>2.7783370634740137</v>
      </c>
      <c r="T32" s="318">
        <f>'Industrial Process'!T59/1000000</f>
        <v>2.927455558375383</v>
      </c>
      <c r="U32" s="318">
        <f>'Industrial Process'!U59/1000000</f>
        <v>3.375736296088339</v>
      </c>
      <c r="V32" s="318">
        <f>'Industrial Process'!V59/1000000</f>
        <v>2.8556574039997655</v>
      </c>
      <c r="W32" s="318">
        <f>'Industrial Process'!W59/1000000</f>
        <v>2.8359689544329019</v>
      </c>
      <c r="X32" s="318">
        <f>'Industrial Process'!X59/1000000</f>
        <v>3.1262089958054671</v>
      </c>
      <c r="Y32" s="318">
        <f>'Industrial Process'!Y59/1000000</f>
        <v>3.8058037367623898</v>
      </c>
      <c r="Z32" s="318">
        <f>'Industrial Process'!Z59/1000000</f>
        <v>4.2054910787649353</v>
      </c>
      <c r="AA32" s="318">
        <f>'Industrial Process'!AA59/1000000</f>
        <v>3.7540424332673563</v>
      </c>
      <c r="AB32" s="296">
        <f>'Industrial Process'!AB59/1000000</f>
        <v>3.8048005415260682</v>
      </c>
      <c r="AC32" s="296">
        <f>'Industrial Process'!AC59/1000000</f>
        <v>3.3089432868880282</v>
      </c>
      <c r="AD32" s="297">
        <f>'Industrial Process'!AD59/1000000</f>
        <v>3.8135695724326135</v>
      </c>
      <c r="AE32" s="296">
        <f>'Industrial Process'!AE59/1000000</f>
        <v>3.6460572396013302</v>
      </c>
      <c r="AF32" s="296">
        <f>'Industrial Process'!AF59/1000000</f>
        <v>4.0321955751119818</v>
      </c>
      <c r="AG32" s="296">
        <f>'Industrial Process'!AG59/1000000</f>
        <v>3.9978101361882903</v>
      </c>
      <c r="AH32" s="296">
        <f>'Industrial Process'!AH59/1000000</f>
        <v>3.4348267758324091</v>
      </c>
      <c r="AI32" s="1416">
        <f>'Industrial Process'!AI59/1000000</f>
        <v>3.5821232543038848</v>
      </c>
      <c r="AL32" s="316"/>
      <c r="AM32" s="277"/>
      <c r="AT32" s="319"/>
      <c r="AV32" s="278"/>
    </row>
    <row r="33" spans="1:55" ht="17" x14ac:dyDescent="0.45">
      <c r="A33" s="279" t="s">
        <v>951</v>
      </c>
      <c r="B33" s="283">
        <f>'Industrial Process'!B40/1000000</f>
        <v>0.17486870435586824</v>
      </c>
      <c r="C33" s="283">
        <f>'Industrial Process'!C40/1000000</f>
        <v>0.3878304234603735</v>
      </c>
      <c r="D33" s="283">
        <f>'Industrial Process'!D40/1000000</f>
        <v>0.40023247605520762</v>
      </c>
      <c r="E33" s="283">
        <f>'Industrial Process'!E40/1000000</f>
        <v>0.42023687605212945</v>
      </c>
      <c r="F33" s="283">
        <f>'Industrial Process'!F40/1000000</f>
        <v>0.4334889497962397</v>
      </c>
      <c r="G33" s="283">
        <f>'Industrial Process'!G40/1000000</f>
        <v>0.44746344781835184</v>
      </c>
      <c r="H33" s="283">
        <f>'Industrial Process'!H40/1000000</f>
        <v>0.45802929926775171</v>
      </c>
      <c r="I33" s="283">
        <f>'Industrial Process'!I40/1000000</f>
        <v>0.46976739201575396</v>
      </c>
      <c r="J33" s="283">
        <f>'Industrial Process'!J40/1000000</f>
        <v>0.63538096874096284</v>
      </c>
      <c r="K33" s="283">
        <f>'Industrial Process'!K40/1000000</f>
        <v>0.6092394751695932</v>
      </c>
      <c r="L33" s="283">
        <f>'Industrial Process'!L40/1000000</f>
        <v>0.58249075085347612</v>
      </c>
      <c r="M33" s="283">
        <f>'Industrial Process'!M40/1000000</f>
        <v>0.56396567361901784</v>
      </c>
      <c r="N33" s="283">
        <f>'Industrial Process'!N40/1000000</f>
        <v>0.55865880789417932</v>
      </c>
      <c r="O33" s="283">
        <f>'Industrial Process'!O40/1000000</f>
        <v>0.58970609253057016</v>
      </c>
      <c r="P33" s="283">
        <f>'Industrial Process'!P40/1000000</f>
        <v>0.47735351808103949</v>
      </c>
      <c r="Q33" s="283">
        <f>'Industrial Process'!Q40/1000000</f>
        <v>0.46962030387739312</v>
      </c>
      <c r="R33" s="283">
        <f>'Industrial Process'!R40/1000000</f>
        <v>0.50740598296630346</v>
      </c>
      <c r="S33" s="283">
        <f>'Industrial Process'!S40/1000000</f>
        <v>0.53083734118677972</v>
      </c>
      <c r="T33" s="283">
        <f>'Industrial Process'!T40/1000000</f>
        <v>0.49442586019728985</v>
      </c>
      <c r="U33" s="283">
        <f>'Industrial Process'!U40/1000000</f>
        <v>0.44421175763995507</v>
      </c>
      <c r="V33" s="283">
        <f>'Industrial Process'!V40/1000000</f>
        <v>0.33821302954767513</v>
      </c>
      <c r="W33" s="283">
        <f>'Industrial Process'!W40/1000000</f>
        <v>0.29017066105155959</v>
      </c>
      <c r="X33" s="283">
        <f>'Industrial Process'!X40/1000000</f>
        <v>0.26524846563584481</v>
      </c>
      <c r="Y33" s="283">
        <f>'Industrial Process'!Y40/1000000</f>
        <v>0.28619765710258016</v>
      </c>
      <c r="Z33" s="283">
        <f>'Industrial Process'!Z40/1000000</f>
        <v>0.26883302058368164</v>
      </c>
      <c r="AA33" s="283">
        <f>'Industrial Process'!AA40/1000000</f>
        <v>0.31256086558279017</v>
      </c>
      <c r="AB33" s="283">
        <f>'Industrial Process'!AB40/1000000</f>
        <v>0.29477802562555011</v>
      </c>
      <c r="AC33" s="283">
        <f>'Industrial Process'!AC40/1000000</f>
        <v>0.30546786913245677</v>
      </c>
      <c r="AD33" s="283">
        <f>'Industrial Process'!AD40/1000000</f>
        <v>0.32145180707168591</v>
      </c>
      <c r="AE33" s="280">
        <f>'Industrial Process'!AE40/1000000</f>
        <v>0.28466873577995927</v>
      </c>
      <c r="AF33" s="280">
        <f>'Industrial Process'!AF40/1000000</f>
        <v>0.29307563163437833</v>
      </c>
      <c r="AG33" s="280">
        <f>'Industrial Process'!AG40/1000000</f>
        <v>0.30171295462001463</v>
      </c>
      <c r="AH33" s="280">
        <f>'Industrial Process'!AH40/1000000</f>
        <v>0.29028017707405729</v>
      </c>
      <c r="AI33" s="1414">
        <f>'Industrial Process'!AI40/1000000</f>
        <v>0.23556022439996074</v>
      </c>
      <c r="AM33" s="319"/>
      <c r="AO33" s="280"/>
      <c r="AT33" s="319"/>
      <c r="AV33" s="278"/>
    </row>
    <row r="34" spans="1:55" ht="17" x14ac:dyDescent="0.45">
      <c r="A34" s="279" t="s">
        <v>952</v>
      </c>
      <c r="B34" s="283">
        <f>'Industrial Process'!B48/1000000</f>
        <v>0</v>
      </c>
      <c r="C34" s="283">
        <f>'Industrial Process'!C48/1000000</f>
        <v>8.6512066184279562E-2</v>
      </c>
      <c r="D34" s="283">
        <f>'Industrial Process'!D48/1000000</f>
        <v>8.0639996051633855E-2</v>
      </c>
      <c r="E34" s="283">
        <f>'Industrial Process'!E48/1000000</f>
        <v>9.1013398689123212E-2</v>
      </c>
      <c r="F34" s="283">
        <f>'Industrial Process'!F48/1000000</f>
        <v>9.0524850533941589E-2</v>
      </c>
      <c r="G34" s="283">
        <f>'Industrial Process'!G48/1000000</f>
        <v>9.0370120970871923E-2</v>
      </c>
      <c r="H34" s="283">
        <f>'Industrial Process'!H48/1000000</f>
        <v>8.9982645152109672E-2</v>
      </c>
      <c r="I34" s="283">
        <f>'Industrial Process'!I48/1000000</f>
        <v>9.5513070611131914E-2</v>
      </c>
      <c r="J34" s="283">
        <f>'Industrial Process'!J48/1000000</f>
        <v>9.4944275337907461E-2</v>
      </c>
      <c r="K34" s="283">
        <f>'Industrial Process'!K48/1000000</f>
        <v>9.4790054715288036E-2</v>
      </c>
      <c r="L34" s="283">
        <f>'Industrial Process'!L48/1000000</f>
        <v>9.4716149389234658E-2</v>
      </c>
      <c r="M34" s="283">
        <f>'Industrial Process'!M48/1000000</f>
        <v>9.3766316156895874E-2</v>
      </c>
      <c r="N34" s="283">
        <f>'Industrial Process'!N48/1000000</f>
        <v>8.3944724303467E-2</v>
      </c>
      <c r="O34" s="283">
        <f>'Industrial Process'!O48/1000000</f>
        <v>8.3705193644816558E-2</v>
      </c>
      <c r="P34" s="283">
        <f>'Industrial Process'!P48/1000000</f>
        <v>8.3153673656456942E-2</v>
      </c>
      <c r="Q34" s="283">
        <f>'Industrial Process'!Q48/1000000</f>
        <v>8.2692353909666463E-2</v>
      </c>
      <c r="R34" s="283">
        <f>'Industrial Process'!R48/1000000</f>
        <v>8.2754075776202779E-2</v>
      </c>
      <c r="S34" s="283">
        <f>'Industrial Process'!S48/1000000</f>
        <v>8.3122605334381233E-2</v>
      </c>
      <c r="T34" s="283">
        <f>'Industrial Process'!T48/1000000</f>
        <v>8.2523283093433791E-2</v>
      </c>
      <c r="U34" s="283">
        <f>'Industrial Process'!U48/1000000</f>
        <v>8.1705868262835546E-2</v>
      </c>
      <c r="V34" s="283">
        <f>'Industrial Process'!V48/1000000</f>
        <v>8.1977609053125122E-2</v>
      </c>
      <c r="W34" s="283">
        <f>'Industrial Process'!W48/1000000</f>
        <v>8.4371851631650813E-2</v>
      </c>
      <c r="X34" s="283">
        <f>'Industrial Process'!X48/1000000</f>
        <v>8.2636113759954777E-2</v>
      </c>
      <c r="Y34" s="283">
        <f>'Industrial Process'!Y48/1000000</f>
        <v>8.2039019868257304E-2</v>
      </c>
      <c r="Z34" s="283">
        <f>'Industrial Process'!Z48/1000000</f>
        <v>8.3293330647875793E-2</v>
      </c>
      <c r="AA34" s="283">
        <f>'Industrial Process'!AA48/1000000</f>
        <v>8.1520848219758579E-2</v>
      </c>
      <c r="AB34" s="283">
        <f>'Industrial Process'!AB48/1000000</f>
        <v>8.07818226458238E-2</v>
      </c>
      <c r="AC34" s="283">
        <f>'Industrial Process'!AC48/1000000</f>
        <v>8.0785013728343638E-2</v>
      </c>
      <c r="AD34" s="283">
        <f>'Industrial Process'!AD48/1000000</f>
        <v>8.0481802147618048E-2</v>
      </c>
      <c r="AE34" s="280">
        <f>'Industrial Process'!AE48/1000000</f>
        <v>8.0037333602807889E-2</v>
      </c>
      <c r="AF34" s="280">
        <f>'Industrial Process'!AF48/1000000</f>
        <v>7.9784790708161635E-2</v>
      </c>
      <c r="AG34" s="280">
        <f>'Industrial Process'!AG48/1000000</f>
        <v>8.0161665691486653E-2</v>
      </c>
      <c r="AH34" s="280">
        <f>'Industrial Process'!AH48/1000000</f>
        <v>8.0341497769797612E-2</v>
      </c>
      <c r="AI34" s="1414">
        <f>'Industrial Process'!AI48/1000000</f>
        <v>8.0132215898059592E-2</v>
      </c>
      <c r="AM34" s="319"/>
      <c r="AO34" s="280"/>
      <c r="AT34" s="319"/>
      <c r="AV34" s="278"/>
    </row>
    <row r="35" spans="1:55" ht="17" x14ac:dyDescent="0.45">
      <c r="A35" s="279" t="s">
        <v>953</v>
      </c>
      <c r="B35" s="283">
        <f>'Industrial Process'!B52/1000000</f>
        <v>0.48138328615922965</v>
      </c>
      <c r="C35" s="283">
        <f>'Industrial Process'!C52/1000000</f>
        <v>0.24081167932090697</v>
      </c>
      <c r="D35" s="283">
        <f>'Industrial Process'!D52/1000000</f>
        <v>0.25761854776739163</v>
      </c>
      <c r="E35" s="283">
        <f>'Industrial Process'!E52/1000000</f>
        <v>0.33509362899405531</v>
      </c>
      <c r="F35" s="283">
        <f>'Industrial Process'!F52/1000000</f>
        <v>0.46867397127764965</v>
      </c>
      <c r="G35" s="283">
        <f>'Industrial Process'!G52/1000000</f>
        <v>0.75640210091777871</v>
      </c>
      <c r="H35" s="283">
        <f>'Industrial Process'!H52/1000000</f>
        <v>0.96938206474521538</v>
      </c>
      <c r="I35" s="283">
        <f>'Industrial Process'!I52/1000000</f>
        <v>1.1643900472507427</v>
      </c>
      <c r="J35" s="283">
        <f>'Industrial Process'!J52/1000000</f>
        <v>1.3214584254442836</v>
      </c>
      <c r="K35" s="283">
        <f>'Industrial Process'!K52/1000000</f>
        <v>1.4682569336579341</v>
      </c>
      <c r="L35" s="283">
        <f>'Industrial Process'!L52/1000000</f>
        <v>1.5572411752264856</v>
      </c>
      <c r="M35" s="283">
        <f>'Industrial Process'!M52/1000000</f>
        <v>1.6296344206355287</v>
      </c>
      <c r="N35" s="283">
        <f>'Industrial Process'!N52/1000000</f>
        <v>1.7117072892816281</v>
      </c>
      <c r="O35" s="283">
        <f>'Industrial Process'!O52/1000000</f>
        <v>1.7819233073035901</v>
      </c>
      <c r="P35" s="283">
        <f>'Industrial Process'!P52/1000000</f>
        <v>1.8338913121298344</v>
      </c>
      <c r="Q35" s="283">
        <f>'Industrial Process'!Q52/1000000</f>
        <v>1.9388747149130063</v>
      </c>
      <c r="R35" s="283">
        <f>'Industrial Process'!R52/1000000</f>
        <v>2.0497218899822922</v>
      </c>
      <c r="S35" s="283">
        <f>'Industrial Process'!S52/1000000</f>
        <v>2.1643771169528523</v>
      </c>
      <c r="T35" s="283">
        <f>'Industrial Process'!T52/1000000</f>
        <v>2.3505064150846593</v>
      </c>
      <c r="U35" s="283">
        <f>'Industrial Process'!U52/1000000</f>
        <v>2.8498186701855484</v>
      </c>
      <c r="V35" s="283">
        <f>'Industrial Process'!V52/1000000</f>
        <v>2.435466765398965</v>
      </c>
      <c r="W35" s="283">
        <f>'Industrial Process'!W52/1000000</f>
        <v>2.4614264417496914</v>
      </c>
      <c r="X35" s="283">
        <f>'Industrial Process'!X52/1000000</f>
        <v>2.7783244164096677</v>
      </c>
      <c r="Y35" s="283">
        <f>'Industrial Process'!Y52/1000000</f>
        <v>3.4375670597915522</v>
      </c>
      <c r="Z35" s="283">
        <f>'Industrial Process'!Z52/1000000</f>
        <v>3.8533647275333771</v>
      </c>
      <c r="AA35" s="283">
        <f>'Industrial Process'!AA52/1000000</f>
        <v>3.3599607194648078</v>
      </c>
      <c r="AB35" s="283">
        <f>'Industrial Process'!AB52/1000000</f>
        <v>3.4292406932546937</v>
      </c>
      <c r="AC35" s="283">
        <f>'Industrial Process'!AC52/1000000</f>
        <v>2.9226904040272279</v>
      </c>
      <c r="AD35" s="283">
        <f>'Industrial Process'!AD52/1000000</f>
        <v>3.4116359632133095</v>
      </c>
      <c r="AE35" s="280">
        <f>'Industrial Process'!AE52/1000000</f>
        <v>3.2813511702185632</v>
      </c>
      <c r="AF35" s="280">
        <f>'Industrial Process'!AF52/1000000</f>
        <v>3.6593351527694415</v>
      </c>
      <c r="AG35" s="280">
        <f>'Industrial Process'!AG52/1000000</f>
        <v>3.6159355158767887</v>
      </c>
      <c r="AH35" s="280">
        <f>'Industrial Process'!AH52/1000000</f>
        <v>3.0642051009885543</v>
      </c>
      <c r="AI35" s="1414">
        <f>'Industrial Process'!AI52/1000000</f>
        <v>3.2664308140058642</v>
      </c>
      <c r="AM35" s="319"/>
      <c r="AN35" s="272"/>
      <c r="AO35" s="280"/>
      <c r="AR35" s="280"/>
      <c r="AS35" s="281"/>
      <c r="AT35" s="320"/>
      <c r="AV35" s="278"/>
      <c r="AW35" s="28"/>
      <c r="AX35" s="28"/>
      <c r="AY35" s="28"/>
      <c r="AZ35" s="28"/>
      <c r="BA35" s="28"/>
      <c r="BB35" s="28"/>
      <c r="BC35" s="28"/>
    </row>
    <row r="36" spans="1:55" s="28" customFormat="1" ht="17" x14ac:dyDescent="0.45">
      <c r="A36" s="321" t="s">
        <v>987</v>
      </c>
      <c r="B36" s="322">
        <f>Agriculture!B50</f>
        <v>0.44610076900597256</v>
      </c>
      <c r="C36" s="322">
        <f>Agriculture!C50</f>
        <v>0.41834925407595686</v>
      </c>
      <c r="D36" s="322">
        <f>Agriculture!D50</f>
        <v>0.42277010500253726</v>
      </c>
      <c r="E36" s="322">
        <f>Agriculture!E50</f>
        <v>0.40732429612640608</v>
      </c>
      <c r="F36" s="322">
        <f>Agriculture!F50</f>
        <v>0.41231470757133476</v>
      </c>
      <c r="G36" s="322">
        <f>Agriculture!G50</f>
        <v>0.40372219462937547</v>
      </c>
      <c r="H36" s="322">
        <f>Agriculture!H50</f>
        <v>0.38410068733773461</v>
      </c>
      <c r="I36" s="322">
        <f>Agriculture!I50</f>
        <v>0.38079571833854936</v>
      </c>
      <c r="J36" s="322">
        <f>Agriculture!J50</f>
        <v>0.38437874218640539</v>
      </c>
      <c r="K36" s="322">
        <f>Agriculture!K50</f>
        <v>0.3899641903290752</v>
      </c>
      <c r="L36" s="322">
        <f>Agriculture!L50</f>
        <v>0.37735447220233193</v>
      </c>
      <c r="M36" s="322">
        <f>Agriculture!M50</f>
        <v>0.35183977292669505</v>
      </c>
      <c r="N36" s="322">
        <f>Agriculture!N50</f>
        <v>0.37328267111605179</v>
      </c>
      <c r="O36" s="322">
        <f>Agriculture!O50</f>
        <v>0.34778308322797141</v>
      </c>
      <c r="P36" s="322">
        <f>Agriculture!P50</f>
        <v>0.33661801945979974</v>
      </c>
      <c r="Q36" s="322">
        <f>Agriculture!Q50</f>
        <v>0.34057483200373267</v>
      </c>
      <c r="R36" s="322">
        <f>Agriculture!R50</f>
        <v>0.33688832372342137</v>
      </c>
      <c r="S36" s="322">
        <f>Agriculture!S50</f>
        <v>0.31719891632985381</v>
      </c>
      <c r="T36" s="322">
        <f>Agriculture!T50</f>
        <v>0.32570403195908576</v>
      </c>
      <c r="U36" s="322">
        <f>Agriculture!U50</f>
        <v>0.31430210711857087</v>
      </c>
      <c r="V36" s="322">
        <f>Agriculture!V50</f>
        <v>0.33202719256989854</v>
      </c>
      <c r="W36" s="322">
        <f>Agriculture!W50</f>
        <v>0.30451135790296568</v>
      </c>
      <c r="X36" s="322">
        <f>Agriculture!X50</f>
        <v>0.29639379430190099</v>
      </c>
      <c r="Y36" s="322">
        <f>Agriculture!Y50</f>
        <v>0.29356274504761209</v>
      </c>
      <c r="Z36" s="322">
        <f>Agriculture!Z50</f>
        <v>0.28090950389183594</v>
      </c>
      <c r="AA36" s="322">
        <f>Agriculture!AA50</f>
        <v>0.29021465216236209</v>
      </c>
      <c r="AB36" s="322">
        <f>Agriculture!AB50</f>
        <v>0.26691641776924918</v>
      </c>
      <c r="AC36" s="322">
        <f>Agriculture!AC50</f>
        <v>0.28552541325288594</v>
      </c>
      <c r="AD36" s="323">
        <f>Agriculture!AD50</f>
        <v>0.27311310707332914</v>
      </c>
      <c r="AE36" s="322">
        <f>Agriculture!AE50</f>
        <v>0.26430146871069754</v>
      </c>
      <c r="AF36" s="322">
        <f>Agriculture!AF50</f>
        <v>0.25337117381936636</v>
      </c>
      <c r="AG36" s="322">
        <f>Agriculture!AG50</f>
        <v>0.2710732936775046</v>
      </c>
      <c r="AH36" s="322">
        <f>Agriculture!AH50</f>
        <v>0.25704231685851231</v>
      </c>
      <c r="AI36" s="1421">
        <f>Agriculture!AI50</f>
        <v>0.25654006769458504</v>
      </c>
      <c r="AK36" s="280"/>
      <c r="AL36" s="281"/>
      <c r="AM36" s="320"/>
      <c r="AN36" s="281"/>
      <c r="AO36" s="281"/>
      <c r="AR36" s="3"/>
      <c r="AS36" s="3"/>
      <c r="AT36" s="3"/>
      <c r="AU36" s="3"/>
      <c r="AV36" s="11"/>
      <c r="AW36" s="3"/>
      <c r="AX36" s="3"/>
      <c r="AY36" s="3"/>
      <c r="AZ36" s="3"/>
      <c r="BA36" s="3"/>
      <c r="BB36" s="3"/>
      <c r="BC36" s="3"/>
    </row>
    <row r="37" spans="1:55" ht="17" x14ac:dyDescent="0.45">
      <c r="A37" s="324" t="s">
        <v>473</v>
      </c>
      <c r="B37" s="325">
        <f t="shared" ref="B37" si="31">B38+B39</f>
        <v>2.921734225476742</v>
      </c>
      <c r="C37" s="325">
        <f t="shared" ref="C37:Y37" si="32">C38+C39</f>
        <v>2.9840678785493369</v>
      </c>
      <c r="D37" s="325">
        <f t="shared" si="32"/>
        <v>2.8838876328600254</v>
      </c>
      <c r="E37" s="325">
        <f t="shared" si="32"/>
        <v>2.767988379213437</v>
      </c>
      <c r="F37" s="325">
        <f t="shared" si="32"/>
        <v>2.7563272831925185</v>
      </c>
      <c r="G37" s="325">
        <f t="shared" si="32"/>
        <v>2.7698744134030142</v>
      </c>
      <c r="H37" s="325">
        <f t="shared" si="32"/>
        <v>2.3907342903677469</v>
      </c>
      <c r="I37" s="325">
        <f t="shared" si="32"/>
        <v>1.9258553661170486</v>
      </c>
      <c r="J37" s="325">
        <f t="shared" si="32"/>
        <v>1.8470510349176412</v>
      </c>
      <c r="K37" s="325">
        <f t="shared" si="32"/>
        <v>1.8601259693695325</v>
      </c>
      <c r="L37" s="325">
        <f t="shared" si="32"/>
        <v>1.2371687987727551</v>
      </c>
      <c r="M37" s="325">
        <f t="shared" si="32"/>
        <v>0.89743217109974072</v>
      </c>
      <c r="N37" s="325">
        <f t="shared" si="32"/>
        <v>1.27497069222323</v>
      </c>
      <c r="O37" s="325">
        <f t="shared" si="32"/>
        <v>1.7601777880702896</v>
      </c>
      <c r="P37" s="325">
        <f t="shared" si="32"/>
        <v>1.5733288085225232</v>
      </c>
      <c r="Q37" s="325">
        <f t="shared" si="32"/>
        <v>1.5961601917909816</v>
      </c>
      <c r="R37" s="325">
        <f t="shared" si="32"/>
        <v>1.4036673040124485</v>
      </c>
      <c r="S37" s="325">
        <f t="shared" si="32"/>
        <v>1.3244780695405463</v>
      </c>
      <c r="T37" s="325">
        <f t="shared" si="32"/>
        <v>1.3333606189633151</v>
      </c>
      <c r="U37" s="325">
        <f t="shared" si="32"/>
        <v>1.3826638104942759</v>
      </c>
      <c r="V37" s="325">
        <f t="shared" si="32"/>
        <v>0.86252211000428347</v>
      </c>
      <c r="W37" s="325">
        <f t="shared" si="32"/>
        <v>0.87728901623181033</v>
      </c>
      <c r="X37" s="325">
        <f t="shared" si="32"/>
        <v>0.92213671716237322</v>
      </c>
      <c r="Y37" s="325">
        <f t="shared" si="32"/>
        <v>0.82486792566190248</v>
      </c>
      <c r="Z37" s="325">
        <f t="shared" ref="Z37:AE37" si="33">Z38+Z39</f>
        <v>0.76938497611745671</v>
      </c>
      <c r="AA37" s="326">
        <f t="shared" si="33"/>
        <v>0.7797634475588433</v>
      </c>
      <c r="AB37" s="326">
        <f t="shared" si="33"/>
        <v>0.74800883134183693</v>
      </c>
      <c r="AC37" s="326">
        <f t="shared" si="33"/>
        <v>0.72212832663956061</v>
      </c>
      <c r="AD37" s="326">
        <f t="shared" si="33"/>
        <v>0.72012362020600407</v>
      </c>
      <c r="AE37" s="326">
        <f t="shared" si="33"/>
        <v>0.72176076297428993</v>
      </c>
      <c r="AF37" s="326">
        <f t="shared" ref="AF37:AG37" si="34">AF38+AF39</f>
        <v>0.69725875876728005</v>
      </c>
      <c r="AG37" s="326">
        <f t="shared" si="34"/>
        <v>0.59664069711099754</v>
      </c>
      <c r="AH37" s="326">
        <f t="shared" ref="AH37" si="35">AH38+AH39</f>
        <v>0.58359328081403916</v>
      </c>
      <c r="AI37" s="1422">
        <f>AI38+AI39</f>
        <v>0.57033515022009018</v>
      </c>
      <c r="AK37" s="280"/>
      <c r="AL37" s="280"/>
      <c r="AM37" s="231"/>
      <c r="AN37" s="280"/>
      <c r="AO37" s="280"/>
    </row>
    <row r="38" spans="1:55" x14ac:dyDescent="0.4">
      <c r="A38" s="327" t="s">
        <v>24</v>
      </c>
      <c r="B38" s="283">
        <f>Wastewater!B37</f>
        <v>0.66155072341355781</v>
      </c>
      <c r="C38" s="283">
        <f>Wastewater!C37</f>
        <v>0.65707841186996552</v>
      </c>
      <c r="D38" s="283">
        <f>Wastewater!D37</f>
        <v>0.65766842318722007</v>
      </c>
      <c r="E38" s="283">
        <f>Wastewater!E37</f>
        <v>0.65942952202924987</v>
      </c>
      <c r="F38" s="283">
        <f>Wastewater!F37</f>
        <v>0.66385344284366721</v>
      </c>
      <c r="G38" s="283">
        <f>Wastewater!G37</f>
        <v>0.66622194875907326</v>
      </c>
      <c r="H38" s="283">
        <f>Wastewater!H37</f>
        <v>0.66976695598814828</v>
      </c>
      <c r="I38" s="283">
        <f>Wastewater!I37</f>
        <v>0.67190213042499158</v>
      </c>
      <c r="J38" s="283">
        <f>Wastewater!J37</f>
        <v>0.67641582868090677</v>
      </c>
      <c r="K38" s="283">
        <f>Wastewater!K37</f>
        <v>0.6822340349333238</v>
      </c>
      <c r="L38" s="283">
        <f>Wastewater!L37</f>
        <v>0.43254572282981785</v>
      </c>
      <c r="M38" s="283">
        <f>Wastewater!M37</f>
        <v>0.43768390160435044</v>
      </c>
      <c r="N38" s="283">
        <f>Wastewater!N37</f>
        <v>0.43607053465248102</v>
      </c>
      <c r="O38" s="283">
        <f>Wastewater!O37</f>
        <v>0.43663973406238332</v>
      </c>
      <c r="P38" s="283">
        <f>Wastewater!P37</f>
        <v>0.43763293803551007</v>
      </c>
      <c r="Q38" s="283">
        <f>Wastewater!Q37</f>
        <v>0.45065229360985726</v>
      </c>
      <c r="R38" s="283">
        <f>Wastewater!R37</f>
        <v>0.44222613424197665</v>
      </c>
      <c r="S38" s="283">
        <f>Wastewater!S37</f>
        <v>0.44486635638169436</v>
      </c>
      <c r="T38" s="283">
        <f>Wastewater!T37</f>
        <v>0.44359825127579944</v>
      </c>
      <c r="U38" s="283">
        <f>Wastewater!U37</f>
        <v>0.44784896851627637</v>
      </c>
      <c r="V38" s="283">
        <f>Wastewater!V37</f>
        <v>0.41068131000428343</v>
      </c>
      <c r="W38" s="283">
        <f>Wastewater!W37</f>
        <v>0.41591659242228651</v>
      </c>
      <c r="X38" s="283">
        <f>Wastewater!X37</f>
        <v>0.4142318385909447</v>
      </c>
      <c r="Y38" s="283">
        <f>Wastewater!Y37</f>
        <v>0.41646259310190248</v>
      </c>
      <c r="Z38" s="283">
        <f>Wastewater!Z37</f>
        <v>0.41620177611745679</v>
      </c>
      <c r="AA38" s="280">
        <f>Wastewater!AA37</f>
        <v>0.41870254755884334</v>
      </c>
      <c r="AB38" s="280">
        <f>Wastewater!AB37</f>
        <v>0.42125403134183698</v>
      </c>
      <c r="AC38" s="280">
        <f>Wastewater!AC37</f>
        <v>0.4117589266395606</v>
      </c>
      <c r="AD38" s="280">
        <f>Wastewater!AD37</f>
        <v>0.41556862020600405</v>
      </c>
      <c r="AE38" s="280">
        <f>Wastewater!AE37</f>
        <v>0.41749476297429</v>
      </c>
      <c r="AF38" s="280">
        <f>Wastewater!AF37</f>
        <v>0.42486655876728002</v>
      </c>
      <c r="AG38" s="280">
        <f>Wastewater!AG37</f>
        <v>0.41937799711099755</v>
      </c>
      <c r="AH38" s="280">
        <f>Wastewater!AH37</f>
        <v>0.41927248081403917</v>
      </c>
      <c r="AI38" s="1414">
        <f>Wastewater!AI37</f>
        <v>0.42034765022009024</v>
      </c>
      <c r="AK38" s="281"/>
      <c r="AL38" s="280"/>
      <c r="AM38" s="231"/>
      <c r="AN38" s="280"/>
      <c r="AO38" s="280"/>
    </row>
    <row r="39" spans="1:55" x14ac:dyDescent="0.4">
      <c r="A39" s="327" t="s">
        <v>35</v>
      </c>
      <c r="B39" s="283">
        <f>'Solid Waste'!B51</f>
        <v>2.2601835020631844</v>
      </c>
      <c r="C39" s="283">
        <f>'Solid Waste'!C51</f>
        <v>2.3269894666793713</v>
      </c>
      <c r="D39" s="283">
        <f>'Solid Waste'!D51</f>
        <v>2.2262192096728053</v>
      </c>
      <c r="E39" s="283">
        <f>'Solid Waste'!E51</f>
        <v>2.1085588571841871</v>
      </c>
      <c r="F39" s="283">
        <f>'Solid Waste'!F51</f>
        <v>2.0924738403488514</v>
      </c>
      <c r="G39" s="283">
        <f>'Solid Waste'!G51</f>
        <v>2.103652464643941</v>
      </c>
      <c r="H39" s="283">
        <f>'Solid Waste'!H51</f>
        <v>1.7209673343795986</v>
      </c>
      <c r="I39" s="283">
        <f>'Solid Waste'!I51</f>
        <v>1.2539532356920571</v>
      </c>
      <c r="J39" s="283">
        <f>'Solid Waste'!J51</f>
        <v>1.1706352062367344</v>
      </c>
      <c r="K39" s="283">
        <f>'Solid Waste'!K51</f>
        <v>1.1778919344362087</v>
      </c>
      <c r="L39" s="283">
        <f>'Solid Waste'!L51</f>
        <v>0.80462307594293714</v>
      </c>
      <c r="M39" s="283">
        <f>'Solid Waste'!M51</f>
        <v>0.45974826949539027</v>
      </c>
      <c r="N39" s="283">
        <f>'Solid Waste'!N51</f>
        <v>0.83890015757074898</v>
      </c>
      <c r="O39" s="283">
        <f>'Solid Waste'!O51</f>
        <v>1.3235380540079063</v>
      </c>
      <c r="P39" s="283">
        <f>'Solid Waste'!P51</f>
        <v>1.135695870487013</v>
      </c>
      <c r="Q39" s="283">
        <f>'Solid Waste'!Q51</f>
        <v>1.1455078981811242</v>
      </c>
      <c r="R39" s="283">
        <f>'Solid Waste'!R51</f>
        <v>0.961441169770472</v>
      </c>
      <c r="S39" s="283">
        <f>'Solid Waste'!S51</f>
        <v>0.87961171315885189</v>
      </c>
      <c r="T39" s="283">
        <f>'Solid Waste'!T51</f>
        <v>0.88976236768751571</v>
      </c>
      <c r="U39" s="283">
        <f>'Solid Waste'!U51</f>
        <v>0.93481484197799958</v>
      </c>
      <c r="V39" s="283">
        <f>'Solid Waste'!V51</f>
        <v>0.45184080000000004</v>
      </c>
      <c r="W39" s="283">
        <f>'Solid Waste'!W51</f>
        <v>0.46137242380952381</v>
      </c>
      <c r="X39" s="283">
        <f>'Solid Waste'!X51</f>
        <v>0.50790487857142852</v>
      </c>
      <c r="Y39" s="283">
        <f>'Solid Waste'!Y51</f>
        <v>0.40840533256</v>
      </c>
      <c r="Z39" s="283">
        <f>'Solid Waste'!Z51</f>
        <v>0.35318319999999997</v>
      </c>
      <c r="AA39" s="283">
        <f>'Solid Waste'!AA51</f>
        <v>0.36106090000000002</v>
      </c>
      <c r="AB39" s="283">
        <f>'Solid Waste'!AB51</f>
        <v>0.32675479999999996</v>
      </c>
      <c r="AC39" s="283">
        <f>'Solid Waste'!AC51</f>
        <v>0.31036940000000002</v>
      </c>
      <c r="AD39" s="283">
        <f>'Solid Waste'!AD51</f>
        <v>0.30455500000000002</v>
      </c>
      <c r="AE39" s="283">
        <f>'Solid Waste'!AE51</f>
        <v>0.30426599999999998</v>
      </c>
      <c r="AF39" s="283">
        <f>'Solid Waste'!AF51</f>
        <v>0.27239220000000003</v>
      </c>
      <c r="AG39" s="283">
        <f>'Solid Waste'!AG51</f>
        <v>0.1772627</v>
      </c>
      <c r="AH39" s="283">
        <f>'Solid Waste'!AH51</f>
        <v>0.16432079999999999</v>
      </c>
      <c r="AI39" s="1414">
        <f>'Solid Waste'!AI51</f>
        <v>0.1499875</v>
      </c>
      <c r="AL39" s="281"/>
      <c r="AM39" s="281"/>
      <c r="AN39" s="281"/>
      <c r="AO39" s="281"/>
    </row>
    <row r="40" spans="1:55" x14ac:dyDescent="0.4">
      <c r="A40" s="1087" t="s">
        <v>9</v>
      </c>
      <c r="B40" s="1088">
        <f>SUM(B8,B29, B32,B36,B37)</f>
        <v>93.005061114385569</v>
      </c>
      <c r="C40" s="1088">
        <f t="shared" ref="C40:AI40" si="36">SUM(C8,C29, C32,C36,C37)</f>
        <v>90.714089358778807</v>
      </c>
      <c r="D40" s="1088">
        <f t="shared" si="36"/>
        <v>92.602546113848888</v>
      </c>
      <c r="E40" s="1088">
        <f t="shared" si="36"/>
        <v>90.420097845114341</v>
      </c>
      <c r="F40" s="1088">
        <f t="shared" si="36"/>
        <v>90.666381568545191</v>
      </c>
      <c r="G40" s="1088">
        <f t="shared" si="36"/>
        <v>88.603886218145689</v>
      </c>
      <c r="H40" s="1088">
        <f t="shared" si="36"/>
        <v>88.881216335157092</v>
      </c>
      <c r="I40" s="1088">
        <f t="shared" si="36"/>
        <v>93.298655933508726</v>
      </c>
      <c r="J40" s="1088">
        <f t="shared" si="36"/>
        <v>91.50975488981544</v>
      </c>
      <c r="K40" s="1088">
        <f t="shared" si="36"/>
        <v>90.442489289254084</v>
      </c>
      <c r="L40" s="1088">
        <f t="shared" si="36"/>
        <v>92.339554357634611</v>
      </c>
      <c r="M40" s="1088">
        <f t="shared" si="36"/>
        <v>91.380645321737447</v>
      </c>
      <c r="N40" s="1088">
        <f t="shared" si="36"/>
        <v>93.485621259719736</v>
      </c>
      <c r="O40" s="1088">
        <f t="shared" si="36"/>
        <v>95.54353177401525</v>
      </c>
      <c r="P40" s="1088">
        <f t="shared" si="36"/>
        <v>93.310164472412211</v>
      </c>
      <c r="Q40" s="1088">
        <f t="shared" si="36"/>
        <v>94.969260995679363</v>
      </c>
      <c r="R40" s="1088">
        <f t="shared" si="36"/>
        <v>86.292458478025253</v>
      </c>
      <c r="S40" s="1088">
        <f t="shared" si="36"/>
        <v>89.119520543464205</v>
      </c>
      <c r="T40" s="1088">
        <f t="shared" si="36"/>
        <v>86.358552421357089</v>
      </c>
      <c r="U40" s="1088">
        <f t="shared" si="36"/>
        <v>81.216784267345631</v>
      </c>
      <c r="V40" s="1088">
        <f t="shared" si="36"/>
        <v>82.257391342506338</v>
      </c>
      <c r="W40" s="1088">
        <f t="shared" si="36"/>
        <v>76.809556672178573</v>
      </c>
      <c r="X40" s="1088">
        <f t="shared" si="36"/>
        <v>70.626762991257095</v>
      </c>
      <c r="Y40" s="1088">
        <f t="shared" si="36"/>
        <v>75.278993392001823</v>
      </c>
      <c r="Z40" s="1088">
        <f t="shared" si="36"/>
        <v>73.832334119273042</v>
      </c>
      <c r="AA40" s="1088">
        <f t="shared" si="36"/>
        <v>75.000439601401951</v>
      </c>
      <c r="AB40" s="1088">
        <f t="shared" si="36"/>
        <v>71.328185981528421</v>
      </c>
      <c r="AC40" s="1088">
        <f t="shared" si="36"/>
        <v>70.47618538790212</v>
      </c>
      <c r="AD40" s="1088">
        <f t="shared" si="36"/>
        <v>71.631287152283775</v>
      </c>
      <c r="AE40" s="1089">
        <f t="shared" si="36"/>
        <v>70.389528830556515</v>
      </c>
      <c r="AF40" s="1089">
        <f t="shared" si="36"/>
        <v>64.151992533382867</v>
      </c>
      <c r="AG40" s="1089">
        <f t="shared" si="36"/>
        <v>67.09707815821298</v>
      </c>
      <c r="AH40" s="1089">
        <f t="shared" si="36"/>
        <v>68.022327133326556</v>
      </c>
      <c r="AI40" s="1089">
        <f t="shared" si="36"/>
        <v>65.139812960804832</v>
      </c>
      <c r="AL40" s="1090"/>
      <c r="AM40" s="1090"/>
      <c r="AN40" s="1090"/>
      <c r="AO40" s="1090"/>
    </row>
    <row r="41" spans="1:55" x14ac:dyDescent="0.4">
      <c r="A41" s="28" t="s">
        <v>1063</v>
      </c>
      <c r="AC41" s="328"/>
      <c r="AD41" s="328"/>
      <c r="AE41" s="328"/>
      <c r="AF41" s="328"/>
      <c r="AG41" s="328"/>
      <c r="AH41" s="328"/>
      <c r="AI41" s="328"/>
      <c r="AJ41" s="328"/>
      <c r="AL41" s="329"/>
      <c r="AM41" s="329"/>
      <c r="AN41" s="329"/>
      <c r="AO41" s="329"/>
    </row>
    <row r="42" spans="1:55" x14ac:dyDescent="0.4">
      <c r="Y42" s="11"/>
      <c r="AV42" s="3"/>
    </row>
    <row r="43" spans="1:55" x14ac:dyDescent="0.4">
      <c r="A43" s="395" t="s">
        <v>1064</v>
      </c>
    </row>
    <row r="44" spans="1:55" x14ac:dyDescent="0.4">
      <c r="A44" s="108"/>
    </row>
  </sheetData>
  <phoneticPr fontId="38" type="noConversion"/>
  <hyperlinks>
    <hyperlink ref="A2" location="Contents!A1" display="Return to Contents tab" xr:uid="{84CEE1D0-ECAE-4B9C-8C11-794320863382}"/>
    <hyperlink ref="A3" location="Process!A5" display="Go to Table on Process Worksheet" xr:uid="{D489D11D-7806-4A02-8E1B-D091D3F014DE}"/>
  </hyperlinks>
  <pageMargins left="0.7" right="0.7" top="0.75" bottom="0.75" header="0.3" footer="0.3"/>
  <pageSetup scale="20" orientation="landscape" r:id="rId1"/>
  <headerFooter>
    <oddFooter>&amp;L&amp;F&amp;A&amp;RPage &amp;P of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AM240"/>
  <sheetViews>
    <sheetView zoomScaleNormal="100" workbookViewId="0">
      <pane xSplit="1" topLeftCell="B1" activePane="topRight" state="frozen"/>
      <selection pane="topRight"/>
    </sheetView>
  </sheetViews>
  <sheetFormatPr defaultColWidth="9.1796875" defaultRowHeight="16" x14ac:dyDescent="0.4"/>
  <cols>
    <col min="1" max="1" width="63.54296875" style="28" customWidth="1"/>
    <col min="2" max="2" width="15.1796875" style="28" customWidth="1"/>
    <col min="3" max="3" width="13" style="28" customWidth="1"/>
    <col min="4" max="4" width="15.26953125" style="28" customWidth="1"/>
    <col min="5" max="35" width="12.453125" style="28" customWidth="1"/>
    <col min="36" max="36" width="12.453125" style="3" customWidth="1"/>
    <col min="37" max="37" width="12.453125" style="28" customWidth="1"/>
    <col min="38" max="75" width="12.7265625" style="28" customWidth="1"/>
    <col min="76" max="16384" width="9.1796875" style="28"/>
  </cols>
  <sheetData>
    <row r="1" spans="1:17" ht="24" x14ac:dyDescent="0.65">
      <c r="A1" s="52" t="s">
        <v>490</v>
      </c>
      <c r="K1" s="118"/>
      <c r="Q1" s="27"/>
    </row>
    <row r="2" spans="1:17" x14ac:dyDescent="0.4">
      <c r="A2" s="1011" t="s">
        <v>730</v>
      </c>
      <c r="K2" s="118"/>
      <c r="Q2" s="27"/>
    </row>
    <row r="3" spans="1:17" x14ac:dyDescent="0.4">
      <c r="A3" s="1011" t="s">
        <v>901</v>
      </c>
      <c r="K3" s="118"/>
      <c r="Q3" s="27"/>
    </row>
    <row r="4" spans="1:17" x14ac:dyDescent="0.4">
      <c r="A4" s="1011"/>
      <c r="K4" s="118"/>
      <c r="Q4" s="27"/>
    </row>
    <row r="5" spans="1:17" x14ac:dyDescent="0.4">
      <c r="A5" s="108" t="s">
        <v>1129</v>
      </c>
      <c r="K5" s="118"/>
      <c r="Q5" s="27"/>
    </row>
    <row r="6" spans="1:17" ht="17" x14ac:dyDescent="0.4">
      <c r="A6" s="261" t="s">
        <v>913</v>
      </c>
      <c r="K6" s="118"/>
      <c r="Q6" s="27"/>
    </row>
    <row r="7" spans="1:17" ht="17" x14ac:dyDescent="0.4">
      <c r="A7" s="261" t="s">
        <v>914</v>
      </c>
      <c r="K7" s="118"/>
      <c r="Q7" s="27"/>
    </row>
    <row r="8" spans="1:17" ht="17" x14ac:dyDescent="0.4">
      <c r="A8" s="261" t="s">
        <v>915</v>
      </c>
      <c r="K8" s="118"/>
      <c r="Q8" s="27"/>
    </row>
    <row r="9" spans="1:17" ht="17" x14ac:dyDescent="0.4">
      <c r="A9" s="261" t="s">
        <v>916</v>
      </c>
      <c r="K9" s="118"/>
      <c r="Q9" s="27"/>
    </row>
    <row r="10" spans="1:17" ht="17" x14ac:dyDescent="0.4">
      <c r="A10" s="261" t="s">
        <v>917</v>
      </c>
      <c r="K10" s="118"/>
      <c r="Q10" s="27"/>
    </row>
    <row r="11" spans="1:17" ht="17" x14ac:dyDescent="0.4">
      <c r="A11" s="261" t="s">
        <v>918</v>
      </c>
      <c r="K11" s="118"/>
      <c r="Q11" s="27"/>
    </row>
    <row r="12" spans="1:17" x14ac:dyDescent="0.4">
      <c r="A12" s="261" t="s">
        <v>919</v>
      </c>
      <c r="K12" s="118"/>
      <c r="Q12" s="27"/>
    </row>
    <row r="13" spans="1:17" x14ac:dyDescent="0.4">
      <c r="A13" s="261"/>
      <c r="K13" s="118"/>
      <c r="Q13" s="27"/>
    </row>
    <row r="14" spans="1:17" x14ac:dyDescent="0.4">
      <c r="A14" s="1280"/>
      <c r="K14" s="118"/>
      <c r="Q14" s="27"/>
    </row>
    <row r="15" spans="1:17" x14ac:dyDescent="0.4">
      <c r="A15" s="1280"/>
      <c r="K15" s="118"/>
      <c r="Q15" s="27"/>
    </row>
    <row r="16" spans="1:17" x14ac:dyDescent="0.4">
      <c r="A16" s="1280"/>
      <c r="K16" s="118"/>
      <c r="Q16" s="27"/>
    </row>
    <row r="17" spans="1:17" x14ac:dyDescent="0.4">
      <c r="A17" s="1280"/>
      <c r="K17" s="118"/>
      <c r="Q17" s="27"/>
    </row>
    <row r="18" spans="1:17" x14ac:dyDescent="0.4">
      <c r="A18" s="1280"/>
      <c r="K18" s="118"/>
      <c r="Q18" s="27"/>
    </row>
    <row r="19" spans="1:17" x14ac:dyDescent="0.4">
      <c r="A19" s="1280"/>
      <c r="K19" s="118"/>
      <c r="Q19" s="27"/>
    </row>
    <row r="20" spans="1:17" x14ac:dyDescent="0.4">
      <c r="A20" s="1280"/>
      <c r="K20" s="118"/>
      <c r="Q20" s="27"/>
    </row>
    <row r="21" spans="1:17" x14ac:dyDescent="0.4">
      <c r="A21" s="1280"/>
      <c r="K21" s="118"/>
      <c r="Q21" s="27"/>
    </row>
    <row r="22" spans="1:17" x14ac:dyDescent="0.4">
      <c r="A22" s="1280"/>
      <c r="K22" s="118"/>
      <c r="Q22" s="27"/>
    </row>
    <row r="23" spans="1:17" x14ac:dyDescent="0.4">
      <c r="A23" s="108" t="s">
        <v>1130</v>
      </c>
      <c r="K23" s="118"/>
      <c r="Q23" s="27"/>
    </row>
    <row r="24" spans="1:17" ht="17" x14ac:dyDescent="0.4">
      <c r="A24" s="261" t="s">
        <v>710</v>
      </c>
      <c r="K24" s="118"/>
      <c r="Q24" s="27"/>
    </row>
    <row r="25" spans="1:17" ht="17" x14ac:dyDescent="0.4">
      <c r="A25" s="261" t="s">
        <v>711</v>
      </c>
      <c r="K25" s="118"/>
      <c r="Q25" s="27"/>
    </row>
    <row r="26" spans="1:17" x14ac:dyDescent="0.4">
      <c r="A26" s="261"/>
      <c r="K26" s="118"/>
      <c r="Q26" s="27"/>
    </row>
    <row r="27" spans="1:17" x14ac:dyDescent="0.4">
      <c r="A27" s="261"/>
      <c r="K27" s="118"/>
      <c r="Q27" s="27"/>
    </row>
    <row r="28" spans="1:17" x14ac:dyDescent="0.4">
      <c r="A28" s="261"/>
      <c r="K28" s="118"/>
      <c r="Q28" s="27"/>
    </row>
    <row r="29" spans="1:17" x14ac:dyDescent="0.4">
      <c r="A29" s="261"/>
      <c r="K29" s="118"/>
      <c r="Q29" s="27"/>
    </row>
    <row r="30" spans="1:17" x14ac:dyDescent="0.4">
      <c r="A30" s="261"/>
      <c r="K30" s="118"/>
      <c r="Q30" s="27"/>
    </row>
    <row r="31" spans="1:17" x14ac:dyDescent="0.4">
      <c r="A31" s="261"/>
      <c r="K31" s="118"/>
      <c r="Q31" s="27"/>
    </row>
    <row r="32" spans="1:17" x14ac:dyDescent="0.4">
      <c r="A32" s="261"/>
      <c r="K32" s="118"/>
      <c r="Q32" s="27"/>
    </row>
    <row r="33" spans="1:17" x14ac:dyDescent="0.4">
      <c r="A33" s="261"/>
      <c r="K33" s="118"/>
      <c r="Q33" s="27"/>
    </row>
    <row r="34" spans="1:17" x14ac:dyDescent="0.4">
      <c r="A34" s="261"/>
      <c r="K34" s="118"/>
      <c r="Q34" s="27"/>
    </row>
    <row r="35" spans="1:17" x14ac:dyDescent="0.4">
      <c r="A35" s="261"/>
      <c r="K35" s="118"/>
      <c r="Q35" s="27"/>
    </row>
    <row r="36" spans="1:17" x14ac:dyDescent="0.4">
      <c r="A36" s="261"/>
      <c r="K36" s="118"/>
      <c r="Q36" s="27"/>
    </row>
    <row r="37" spans="1:17" x14ac:dyDescent="0.4">
      <c r="A37" s="261"/>
      <c r="K37" s="118"/>
      <c r="Q37" s="27"/>
    </row>
    <row r="38" spans="1:17" x14ac:dyDescent="0.4">
      <c r="A38" s="261"/>
      <c r="K38" s="118"/>
      <c r="Q38" s="27"/>
    </row>
    <row r="39" spans="1:17" x14ac:dyDescent="0.4">
      <c r="A39" s="261"/>
      <c r="K39" s="118"/>
      <c r="Q39" s="27"/>
    </row>
    <row r="40" spans="1:17" x14ac:dyDescent="0.4">
      <c r="A40" s="261"/>
      <c r="K40" s="118"/>
      <c r="Q40" s="27"/>
    </row>
    <row r="41" spans="1:17" x14ac:dyDescent="0.4">
      <c r="A41" s="261"/>
      <c r="K41" s="118"/>
      <c r="Q41" s="27"/>
    </row>
    <row r="42" spans="1:17" x14ac:dyDescent="0.4">
      <c r="A42" s="261"/>
      <c r="K42" s="118"/>
      <c r="Q42" s="27"/>
    </row>
    <row r="43" spans="1:17" x14ac:dyDescent="0.4">
      <c r="A43" s="261"/>
      <c r="K43" s="118"/>
      <c r="Q43" s="27"/>
    </row>
    <row r="44" spans="1:17" x14ac:dyDescent="0.4">
      <c r="A44" s="261"/>
      <c r="K44" s="118"/>
      <c r="Q44" s="27"/>
    </row>
    <row r="45" spans="1:17" ht="17" x14ac:dyDescent="0.45">
      <c r="A45" s="108" t="s">
        <v>1551</v>
      </c>
      <c r="K45" s="118"/>
      <c r="Q45" s="27"/>
    </row>
    <row r="46" spans="1:17" x14ac:dyDescent="0.4">
      <c r="A46" s="1173" t="s">
        <v>912</v>
      </c>
      <c r="B46" s="1174" t="s">
        <v>676</v>
      </c>
      <c r="C46" s="1174" t="s">
        <v>673</v>
      </c>
      <c r="D46" s="1274" t="s">
        <v>888</v>
      </c>
      <c r="K46" s="118"/>
      <c r="Q46" s="27"/>
    </row>
    <row r="47" spans="1:17" x14ac:dyDescent="0.4">
      <c r="A47" s="1004">
        <v>1990</v>
      </c>
      <c r="B47" s="1005" t="s">
        <v>699</v>
      </c>
      <c r="C47" s="1313" t="s">
        <v>1052</v>
      </c>
      <c r="D47" s="1061">
        <v>44916</v>
      </c>
      <c r="K47" s="118"/>
      <c r="Q47" s="27"/>
    </row>
    <row r="48" spans="1:17" x14ac:dyDescent="0.4">
      <c r="A48" s="1003" t="s">
        <v>675</v>
      </c>
      <c r="B48" s="1006" t="s">
        <v>699</v>
      </c>
      <c r="C48" s="1006" t="s">
        <v>671</v>
      </c>
      <c r="D48" s="1007">
        <v>46101</v>
      </c>
      <c r="K48" s="118"/>
      <c r="Q48" s="27"/>
    </row>
    <row r="49" spans="1:37" ht="17" x14ac:dyDescent="0.45">
      <c r="A49" s="1490" t="s">
        <v>1691</v>
      </c>
      <c r="B49" s="1395" t="s">
        <v>700</v>
      </c>
      <c r="C49" s="1395" t="s">
        <v>671</v>
      </c>
      <c r="D49" s="1520">
        <v>46133</v>
      </c>
      <c r="K49" s="118"/>
      <c r="Q49" s="27"/>
    </row>
    <row r="50" spans="1:37" x14ac:dyDescent="0.4">
      <c r="A50" s="1052" t="s">
        <v>1063</v>
      </c>
      <c r="K50" s="118"/>
      <c r="Q50" s="27"/>
    </row>
    <row r="51" spans="1:37" x14ac:dyDescent="0.4">
      <c r="A51" s="1052"/>
      <c r="K51" s="118"/>
      <c r="Q51" s="27"/>
    </row>
    <row r="52" spans="1:37" x14ac:dyDescent="0.4">
      <c r="A52" s="108" t="s">
        <v>1067</v>
      </c>
      <c r="B52" s="90"/>
      <c r="C52" s="108"/>
      <c r="K52" s="118"/>
      <c r="Q52" s="27"/>
    </row>
    <row r="53" spans="1:37" ht="17" x14ac:dyDescent="0.45">
      <c r="A53" s="1403" t="s">
        <v>1552</v>
      </c>
      <c r="B53" s="90"/>
      <c r="C53" s="262"/>
      <c r="D53" s="87"/>
      <c r="K53" s="118"/>
      <c r="Q53" s="27"/>
    </row>
    <row r="54" spans="1:37" ht="17" x14ac:dyDescent="0.45">
      <c r="A54" s="1403" t="s">
        <v>1553</v>
      </c>
      <c r="B54" s="90"/>
      <c r="C54" s="262"/>
      <c r="D54" s="87"/>
      <c r="K54" s="118"/>
      <c r="Q54" s="27"/>
    </row>
    <row r="55" spans="1:37" ht="17" x14ac:dyDescent="0.45">
      <c r="A55" s="1403" t="s">
        <v>1556</v>
      </c>
      <c r="B55" s="90"/>
      <c r="K55" s="118"/>
      <c r="Q55" s="27"/>
    </row>
    <row r="56" spans="1:37" ht="17" x14ac:dyDescent="0.45">
      <c r="A56" s="1403" t="s">
        <v>1554</v>
      </c>
      <c r="B56" s="90"/>
      <c r="K56" s="118"/>
      <c r="Q56" s="27"/>
      <c r="AK56" s="3"/>
    </row>
    <row r="57" spans="1:37" ht="17" x14ac:dyDescent="0.45">
      <c r="A57" s="1491" t="s">
        <v>1684</v>
      </c>
      <c r="B57" s="90"/>
      <c r="K57" s="118"/>
      <c r="Q57" s="27"/>
      <c r="AK57" s="3"/>
    </row>
    <row r="58" spans="1:37" x14ac:dyDescent="0.4">
      <c r="A58" s="29"/>
      <c r="B58" s="259"/>
      <c r="C58" s="29"/>
      <c r="D58" s="199"/>
      <c r="E58" s="144"/>
      <c r="F58" s="170"/>
      <c r="G58" s="170"/>
      <c r="H58" s="170"/>
      <c r="I58" s="170"/>
      <c r="J58" s="171"/>
      <c r="K58" s="171"/>
      <c r="L58" s="172"/>
      <c r="M58" s="12"/>
      <c r="N58" s="12"/>
      <c r="P58" s="12"/>
      <c r="Q58" s="12"/>
      <c r="R58" s="12"/>
      <c r="U58" s="12"/>
      <c r="AK58" s="3"/>
    </row>
    <row r="59" spans="1:37" ht="17.5" thickBot="1" x14ac:dyDescent="0.5">
      <c r="A59" s="42" t="s">
        <v>1555</v>
      </c>
      <c r="B59" s="29"/>
      <c r="AI59" s="1356"/>
      <c r="AK59" s="3"/>
    </row>
    <row r="60" spans="1:37" ht="16.5" thickBot="1" x14ac:dyDescent="0.45">
      <c r="A60" s="122" t="s">
        <v>667</v>
      </c>
      <c r="B60" s="983" t="s">
        <v>391</v>
      </c>
      <c r="C60" s="983" t="s">
        <v>392</v>
      </c>
      <c r="D60" s="983" t="s">
        <v>393</v>
      </c>
      <c r="E60" s="983" t="s">
        <v>394</v>
      </c>
      <c r="F60" s="983" t="s">
        <v>395</v>
      </c>
      <c r="G60" s="983" t="s">
        <v>396</v>
      </c>
      <c r="H60" s="983" t="s">
        <v>397</v>
      </c>
      <c r="I60" s="983" t="s">
        <v>398</v>
      </c>
      <c r="J60" s="983" t="s">
        <v>399</v>
      </c>
      <c r="K60" s="983" t="s">
        <v>400</v>
      </c>
      <c r="L60" s="983" t="s">
        <v>401</v>
      </c>
      <c r="M60" s="983" t="s">
        <v>402</v>
      </c>
      <c r="N60" s="983" t="s">
        <v>403</v>
      </c>
      <c r="O60" s="983" t="s">
        <v>404</v>
      </c>
      <c r="P60" s="983" t="s">
        <v>405</v>
      </c>
      <c r="Q60" s="983" t="s">
        <v>406</v>
      </c>
      <c r="R60" s="983" t="s">
        <v>407</v>
      </c>
      <c r="S60" s="983" t="s">
        <v>408</v>
      </c>
      <c r="T60" s="983" t="s">
        <v>409</v>
      </c>
      <c r="U60" s="983" t="s">
        <v>410</v>
      </c>
      <c r="V60" s="983" t="s">
        <v>411</v>
      </c>
      <c r="W60" s="983" t="s">
        <v>412</v>
      </c>
      <c r="X60" s="983" t="s">
        <v>413</v>
      </c>
      <c r="Y60" s="983" t="s">
        <v>414</v>
      </c>
      <c r="Z60" s="983" t="s">
        <v>415</v>
      </c>
      <c r="AA60" s="983" t="s">
        <v>416</v>
      </c>
      <c r="AB60" s="983" t="s">
        <v>417</v>
      </c>
      <c r="AC60" s="983" t="s">
        <v>418</v>
      </c>
      <c r="AD60" s="983" t="s">
        <v>419</v>
      </c>
      <c r="AE60" s="983" t="s">
        <v>420</v>
      </c>
      <c r="AF60" s="983" t="s">
        <v>421</v>
      </c>
      <c r="AG60" s="983" t="s">
        <v>422</v>
      </c>
      <c r="AH60" s="983" t="s">
        <v>423</v>
      </c>
      <c r="AI60" s="975" t="s">
        <v>424</v>
      </c>
      <c r="AK60" s="3"/>
    </row>
    <row r="61" spans="1:37" x14ac:dyDescent="0.4">
      <c r="A61" s="245" t="s">
        <v>59</v>
      </c>
      <c r="B61" s="173">
        <v>15.09218729035536</v>
      </c>
      <c r="C61" s="174">
        <v>14.295364882071031</v>
      </c>
      <c r="D61" s="174">
        <v>16.396053585147097</v>
      </c>
      <c r="E61" s="174">
        <v>16.518072434056428</v>
      </c>
      <c r="F61" s="174">
        <v>16.3428113958593</v>
      </c>
      <c r="G61" s="174">
        <v>14.751248409471906</v>
      </c>
      <c r="H61" s="174">
        <v>14.548991126703283</v>
      </c>
      <c r="I61" s="174">
        <v>14.378872297176235</v>
      </c>
      <c r="J61" s="174">
        <v>13.187544748996455</v>
      </c>
      <c r="K61" s="174">
        <v>14.010791823643141</v>
      </c>
      <c r="L61" s="174">
        <v>15.683527402244092</v>
      </c>
      <c r="M61" s="174">
        <v>16.028702298201726</v>
      </c>
      <c r="N61" s="174">
        <v>15.947149742292989</v>
      </c>
      <c r="O61" s="174">
        <v>16.423981121913869</v>
      </c>
      <c r="P61" s="174">
        <v>15.023642667589685</v>
      </c>
      <c r="Q61" s="174">
        <v>14.927432156389226</v>
      </c>
      <c r="R61" s="174">
        <v>12.839080399416044</v>
      </c>
      <c r="S61" s="174">
        <v>13.515090275824232</v>
      </c>
      <c r="T61" s="174">
        <v>14.388754011560863</v>
      </c>
      <c r="U61" s="174">
        <v>13.844098792417579</v>
      </c>
      <c r="V61" s="174">
        <v>13.58211312760811</v>
      </c>
      <c r="W61" s="174">
        <v>13.600460828624321</v>
      </c>
      <c r="X61" s="174">
        <v>11.771252865487984</v>
      </c>
      <c r="Y61" s="174">
        <v>12.275948634716979</v>
      </c>
      <c r="Z61" s="174">
        <v>13.597318047079337</v>
      </c>
      <c r="AA61" s="174">
        <v>13.519448387674942</v>
      </c>
      <c r="AB61" s="174">
        <v>11.310053467582465</v>
      </c>
      <c r="AC61" s="174">
        <v>12.297294972031565</v>
      </c>
      <c r="AD61" s="174">
        <v>13.287752133780446</v>
      </c>
      <c r="AE61" s="174">
        <v>13.607792464408146</v>
      </c>
      <c r="AF61" s="174">
        <v>12.105531353840195</v>
      </c>
      <c r="AG61" s="174">
        <v>12.481778897291683</v>
      </c>
      <c r="AH61" s="174">
        <v>12.880271418154676</v>
      </c>
      <c r="AI61" s="174">
        <v>11.712554814178027</v>
      </c>
      <c r="AK61" s="3"/>
    </row>
    <row r="62" spans="1:37" x14ac:dyDescent="0.4">
      <c r="A62" s="104" t="s">
        <v>60</v>
      </c>
      <c r="B62" s="178">
        <v>3.03486653913911E-2</v>
      </c>
      <c r="C62" s="32">
        <v>1.1558770081251947E-2</v>
      </c>
      <c r="D62" s="32">
        <v>2.5059396449863026E-2</v>
      </c>
      <c r="E62" s="32">
        <v>1.8514947762586775E-2</v>
      </c>
      <c r="F62" s="32">
        <v>7.9416925179722382E-3</v>
      </c>
      <c r="G62" s="32">
        <v>8.3353150486474466E-3</v>
      </c>
      <c r="H62" s="32">
        <v>9.3535092005508254E-3</v>
      </c>
      <c r="I62" s="32">
        <v>7.5009665665182745E-3</v>
      </c>
      <c r="J62" s="32">
        <v>7.4530151221721694E-3</v>
      </c>
      <c r="K62" s="32">
        <v>1.1620227577947674E-2</v>
      </c>
      <c r="L62" s="32">
        <v>4.5765940200198259E-3</v>
      </c>
      <c r="M62" s="32">
        <v>4.2892444550980255E-3</v>
      </c>
      <c r="N62" s="32">
        <v>2.4756980392554646E-2</v>
      </c>
      <c r="O62" s="32">
        <v>1.5844497901523053E-2</v>
      </c>
      <c r="P62" s="32">
        <v>8.1640089319647106E-3</v>
      </c>
      <c r="Q62" s="32">
        <v>8.2114346337846898E-3</v>
      </c>
      <c r="R62" s="32">
        <v>3.4671576570533048E-3</v>
      </c>
      <c r="S62" s="32">
        <v>5.51199431803737E-3</v>
      </c>
      <c r="T62" s="32">
        <v>0</v>
      </c>
      <c r="U62" s="32">
        <v>0</v>
      </c>
      <c r="V62" s="32">
        <v>0</v>
      </c>
      <c r="W62" s="32">
        <v>0</v>
      </c>
      <c r="X62" s="32">
        <v>0</v>
      </c>
      <c r="Y62" s="32">
        <v>0</v>
      </c>
      <c r="Z62" s="32">
        <v>0</v>
      </c>
      <c r="AA62" s="32">
        <v>0</v>
      </c>
      <c r="AB62" s="32">
        <v>0</v>
      </c>
      <c r="AC62" s="32">
        <v>0</v>
      </c>
      <c r="AD62" s="32">
        <v>0</v>
      </c>
      <c r="AE62" s="32">
        <v>0</v>
      </c>
      <c r="AF62" s="32">
        <v>0</v>
      </c>
      <c r="AG62" s="32">
        <v>0</v>
      </c>
      <c r="AH62" s="32">
        <v>0</v>
      </c>
      <c r="AI62" s="32">
        <v>0</v>
      </c>
      <c r="AK62" s="3"/>
    </row>
    <row r="63" spans="1:37" x14ac:dyDescent="0.4">
      <c r="A63" s="104" t="s">
        <v>61</v>
      </c>
      <c r="B63" s="178">
        <v>9.2133819337067262</v>
      </c>
      <c r="C63" s="32">
        <v>8.6110750892354933</v>
      </c>
      <c r="D63" s="32">
        <v>9.7797402402144034</v>
      </c>
      <c r="E63" s="32">
        <v>9.8092758593574167</v>
      </c>
      <c r="F63" s="32">
        <v>9.8374448107216708</v>
      </c>
      <c r="G63" s="32">
        <v>8.9857307823908155</v>
      </c>
      <c r="H63" s="32">
        <v>8.315103321014611</v>
      </c>
      <c r="I63" s="32">
        <v>8.2981296402132632</v>
      </c>
      <c r="J63" s="32">
        <v>7.689775364631215</v>
      </c>
      <c r="K63" s="32">
        <v>8.0553129805163</v>
      </c>
      <c r="L63" s="32">
        <v>9.357037558100906</v>
      </c>
      <c r="M63" s="32">
        <v>10.113691222493854</v>
      </c>
      <c r="N63" s="32">
        <v>9.9198319784736935</v>
      </c>
      <c r="O63" s="32">
        <v>9.545858250573394</v>
      </c>
      <c r="P63" s="32">
        <v>8.8629834081276933</v>
      </c>
      <c r="Q63" s="32">
        <v>8.5375457417398444</v>
      </c>
      <c r="R63" s="32">
        <v>7.2737848713100224</v>
      </c>
      <c r="S63" s="32">
        <v>7.3045723796085564</v>
      </c>
      <c r="T63" s="32">
        <v>7.2535037143429637</v>
      </c>
      <c r="U63" s="32">
        <v>6.577395223427704</v>
      </c>
      <c r="V63" s="32">
        <v>6.6910505610103517</v>
      </c>
      <c r="W63" s="32">
        <v>6.5421253619827402</v>
      </c>
      <c r="X63" s="32">
        <v>5.4439410238585015</v>
      </c>
      <c r="Y63" s="32">
        <v>5.8753474460496076</v>
      </c>
      <c r="Z63" s="32">
        <v>6.7139761576136214</v>
      </c>
      <c r="AA63" s="32">
        <v>6.620904079755543</v>
      </c>
      <c r="AB63" s="32">
        <v>5.2001379736447246</v>
      </c>
      <c r="AC63" s="32">
        <v>5.6920284337064739</v>
      </c>
      <c r="AD63" s="32">
        <v>6.1807474279314221</v>
      </c>
      <c r="AE63" s="32">
        <v>6.2361824067064626</v>
      </c>
      <c r="AF63" s="32">
        <v>5.5487579469881299</v>
      </c>
      <c r="AG63" s="32">
        <v>5.7875880837091831</v>
      </c>
      <c r="AH63" s="32">
        <v>5.709067514288086</v>
      </c>
      <c r="AI63" s="32">
        <v>5.7273689056747079</v>
      </c>
      <c r="AK63" s="3"/>
    </row>
    <row r="64" spans="1:37" x14ac:dyDescent="0.4">
      <c r="A64" s="104" t="s">
        <v>62</v>
      </c>
      <c r="B64" s="178">
        <v>5.8484566912572449</v>
      </c>
      <c r="C64" s="32">
        <v>5.6727310227542871</v>
      </c>
      <c r="D64" s="32">
        <v>6.5912539484828301</v>
      </c>
      <c r="E64" s="32">
        <v>6.6902816269364269</v>
      </c>
      <c r="F64" s="32">
        <v>6.4974248926196569</v>
      </c>
      <c r="G64" s="32">
        <v>5.7571823120324437</v>
      </c>
      <c r="H64" s="32">
        <v>6.2245342964881214</v>
      </c>
      <c r="I64" s="32">
        <v>6.0732416903964541</v>
      </c>
      <c r="J64" s="32">
        <v>5.490316369243069</v>
      </c>
      <c r="K64" s="32">
        <v>5.9438586155488924</v>
      </c>
      <c r="L64" s="32">
        <v>6.3219132501231661</v>
      </c>
      <c r="M64" s="32">
        <v>5.9107218312527738</v>
      </c>
      <c r="N64" s="32">
        <v>6.0025607834267412</v>
      </c>
      <c r="O64" s="32">
        <v>6.8622783734389534</v>
      </c>
      <c r="P64" s="32">
        <v>6.152495250530027</v>
      </c>
      <c r="Q64" s="32">
        <v>6.3816749800155987</v>
      </c>
      <c r="R64" s="32">
        <v>5.5618283704489695</v>
      </c>
      <c r="S64" s="32">
        <v>6.2050059018976373</v>
      </c>
      <c r="T64" s="32">
        <v>7.1352502972178993</v>
      </c>
      <c r="U64" s="32">
        <v>7.2667035689898762</v>
      </c>
      <c r="V64" s="32">
        <v>6.8910625665977587</v>
      </c>
      <c r="W64" s="32">
        <v>7.058335466641581</v>
      </c>
      <c r="X64" s="32">
        <v>6.3273118416294825</v>
      </c>
      <c r="Y64" s="32">
        <v>6.4006011886673706</v>
      </c>
      <c r="Z64" s="32">
        <v>6.8833418894657168</v>
      </c>
      <c r="AA64" s="32">
        <v>6.8985443079193987</v>
      </c>
      <c r="AB64" s="32">
        <v>6.1099154939377405</v>
      </c>
      <c r="AC64" s="32">
        <v>6.6052665383250915</v>
      </c>
      <c r="AD64" s="32">
        <v>7.1070047058490236</v>
      </c>
      <c r="AE64" s="32">
        <v>7.371610057701683</v>
      </c>
      <c r="AF64" s="32">
        <v>6.5567734068520656</v>
      </c>
      <c r="AG64" s="32">
        <v>6.694190813582499</v>
      </c>
      <c r="AH64" s="32">
        <v>7.1712039038665898</v>
      </c>
      <c r="AI64" s="32">
        <v>5.9851859085033192</v>
      </c>
      <c r="AK64" s="3"/>
    </row>
    <row r="65" spans="1:39" ht="16.5" thickBot="1" x14ac:dyDescent="0.45">
      <c r="A65" s="138" t="s">
        <v>63</v>
      </c>
      <c r="B65" s="178">
        <v>0</v>
      </c>
      <c r="C65" s="32">
        <v>0</v>
      </c>
      <c r="D65" s="32">
        <v>0</v>
      </c>
      <c r="E65" s="32">
        <v>0</v>
      </c>
      <c r="F65" s="32">
        <v>0</v>
      </c>
      <c r="G65" s="32">
        <v>0</v>
      </c>
      <c r="H65" s="32">
        <v>0</v>
      </c>
      <c r="I65" s="32">
        <v>0</v>
      </c>
      <c r="J65" s="32">
        <v>0</v>
      </c>
      <c r="K65" s="32">
        <v>0</v>
      </c>
      <c r="L65" s="32">
        <v>0</v>
      </c>
      <c r="M65" s="32">
        <v>0</v>
      </c>
      <c r="N65" s="32">
        <v>0</v>
      </c>
      <c r="O65" s="32">
        <v>0</v>
      </c>
      <c r="P65" s="32">
        <v>0</v>
      </c>
      <c r="Q65" s="32">
        <v>0</v>
      </c>
      <c r="R65" s="32">
        <v>0</v>
      </c>
      <c r="S65" s="32">
        <v>0</v>
      </c>
      <c r="T65" s="32">
        <v>0</v>
      </c>
      <c r="U65" s="32">
        <v>0</v>
      </c>
      <c r="V65" s="32">
        <v>0</v>
      </c>
      <c r="W65" s="32">
        <v>0</v>
      </c>
      <c r="X65" s="32">
        <v>0</v>
      </c>
      <c r="Y65" s="32">
        <v>0</v>
      </c>
      <c r="Z65" s="32">
        <v>0</v>
      </c>
      <c r="AA65" s="32">
        <v>0</v>
      </c>
      <c r="AB65" s="32">
        <v>0</v>
      </c>
      <c r="AC65" s="32">
        <v>0</v>
      </c>
      <c r="AD65" s="32">
        <v>0</v>
      </c>
      <c r="AE65" s="32">
        <v>0</v>
      </c>
      <c r="AF65" s="32">
        <v>0</v>
      </c>
      <c r="AG65" s="32">
        <v>0</v>
      </c>
      <c r="AH65" s="32">
        <v>0</v>
      </c>
      <c r="AI65" s="32">
        <v>0</v>
      </c>
      <c r="AK65" s="3"/>
    </row>
    <row r="66" spans="1:39" x14ac:dyDescent="0.4">
      <c r="A66" s="251" t="s">
        <v>64</v>
      </c>
      <c r="B66" s="176">
        <v>8.393199905810599</v>
      </c>
      <c r="C66" s="177">
        <v>9.1714074410264743</v>
      </c>
      <c r="D66" s="177">
        <v>8.9309955359805997</v>
      </c>
      <c r="E66" s="177">
        <v>7.9899165283760158</v>
      </c>
      <c r="F66" s="177">
        <v>8.8622762327746258</v>
      </c>
      <c r="G66" s="177">
        <v>8.9583234115736374</v>
      </c>
      <c r="H66" s="177">
        <v>9.0613426494264466</v>
      </c>
      <c r="I66" s="177">
        <v>9.4523565880490032</v>
      </c>
      <c r="J66" s="177">
        <v>8.0754548915353492</v>
      </c>
      <c r="K66" s="177">
        <v>6.1959925594355161</v>
      </c>
      <c r="L66" s="177">
        <v>6.7932535616058303</v>
      </c>
      <c r="M66" s="177">
        <v>5.7670060508675816</v>
      </c>
      <c r="N66" s="177">
        <v>5.8880337932122524</v>
      </c>
      <c r="O66" s="177">
        <v>7.1132084080597142</v>
      </c>
      <c r="P66" s="177">
        <v>6.5373600288097862</v>
      </c>
      <c r="Q66" s="177">
        <v>6.6865712143985894</v>
      </c>
      <c r="R66" s="177">
        <v>5.0160944446169093</v>
      </c>
      <c r="S66" s="177">
        <v>5.3484329327599998</v>
      </c>
      <c r="T66" s="177">
        <v>5.5954704389832886</v>
      </c>
      <c r="U66" s="177">
        <v>5.7930992378099821</v>
      </c>
      <c r="V66" s="177">
        <v>6.7205520029870893</v>
      </c>
      <c r="W66" s="177">
        <v>6.3331977627934162</v>
      </c>
      <c r="X66" s="177">
        <v>5.2380301223549299</v>
      </c>
      <c r="Y66" s="177">
        <v>6.7631182630681863</v>
      </c>
      <c r="Z66" s="177">
        <v>7.1468891863233202</v>
      </c>
      <c r="AA66" s="177">
        <v>7.5477779593100482</v>
      </c>
      <c r="AB66" s="177">
        <v>6.9658066582217053</v>
      </c>
      <c r="AC66" s="177">
        <v>7.3094808835971969</v>
      </c>
      <c r="AD66" s="177">
        <v>7.8497504734391494</v>
      </c>
      <c r="AE66" s="177">
        <v>8.0270134847250123</v>
      </c>
      <c r="AF66" s="177">
        <v>7.2217716233752993</v>
      </c>
      <c r="AG66" s="177">
        <v>7.3504067174673029</v>
      </c>
      <c r="AH66" s="177">
        <v>8.0934423507441764</v>
      </c>
      <c r="AI66" s="177">
        <v>7.5112031192163426</v>
      </c>
      <c r="AK66" s="3"/>
    </row>
    <row r="67" spans="1:39" x14ac:dyDescent="0.4">
      <c r="A67" s="104" t="s">
        <v>60</v>
      </c>
      <c r="B67" s="178">
        <v>0.1213946615655644</v>
      </c>
      <c r="C67" s="32">
        <v>5.2785050037717225E-2</v>
      </c>
      <c r="D67" s="32">
        <v>0.11436373206076487</v>
      </c>
      <c r="E67" s="193">
        <v>8.4516419579476434E-2</v>
      </c>
      <c r="F67" s="32">
        <v>4.4779663836277198E-2</v>
      </c>
      <c r="G67" s="32">
        <v>5.5856191647832877E-2</v>
      </c>
      <c r="H67" s="32">
        <v>6.8719659432618291E-2</v>
      </c>
      <c r="I67" s="32">
        <v>6.0577426195426075E-2</v>
      </c>
      <c r="J67" s="32">
        <v>6.0484084260704916E-2</v>
      </c>
      <c r="K67" s="32">
        <v>8.5437247028025118E-2</v>
      </c>
      <c r="L67" s="32">
        <v>3.6803443577659432E-2</v>
      </c>
      <c r="M67" s="32">
        <v>3.4504588727677442E-2</v>
      </c>
      <c r="N67" s="32">
        <v>0.18167814841920868</v>
      </c>
      <c r="O67" s="32">
        <v>0.10585269983607871</v>
      </c>
      <c r="P67" s="32">
        <v>7.3191289378427796E-2</v>
      </c>
      <c r="Q67" s="32">
        <v>9.4336016490456656E-2</v>
      </c>
      <c r="R67" s="32">
        <v>3.5153126245123782E-2</v>
      </c>
      <c r="S67" s="32">
        <v>4.9702983247130073E-2</v>
      </c>
      <c r="T67" s="32">
        <v>0</v>
      </c>
      <c r="U67" s="32">
        <v>0</v>
      </c>
      <c r="V67" s="32">
        <v>0</v>
      </c>
      <c r="W67" s="32">
        <v>0</v>
      </c>
      <c r="X67" s="32">
        <v>0</v>
      </c>
      <c r="Y67" s="32">
        <v>0</v>
      </c>
      <c r="Z67" s="32">
        <v>0</v>
      </c>
      <c r="AA67" s="32">
        <v>0</v>
      </c>
      <c r="AB67" s="32">
        <v>0</v>
      </c>
      <c r="AC67" s="32">
        <v>0</v>
      </c>
      <c r="AD67" s="32">
        <v>0</v>
      </c>
      <c r="AE67" s="32">
        <v>0</v>
      </c>
      <c r="AF67" s="32">
        <v>0</v>
      </c>
      <c r="AG67" s="32">
        <v>0</v>
      </c>
      <c r="AH67" s="32">
        <v>0</v>
      </c>
      <c r="AI67" s="32">
        <v>0</v>
      </c>
      <c r="AK67" s="3"/>
    </row>
    <row r="68" spans="1:39" x14ac:dyDescent="0.4">
      <c r="A68" s="104" t="s">
        <v>61</v>
      </c>
      <c r="B68" s="178">
        <v>5.5001724703188071</v>
      </c>
      <c r="C68" s="32">
        <v>6.1879984396249865</v>
      </c>
      <c r="D68" s="32">
        <v>5.2722282666774518</v>
      </c>
      <c r="E68" s="193">
        <v>4.2945244297210179</v>
      </c>
      <c r="F68" s="32">
        <v>4.2266842999635532</v>
      </c>
      <c r="G68" s="32">
        <v>4.4254898387524841</v>
      </c>
      <c r="H68" s="32">
        <v>3.7574319977166502</v>
      </c>
      <c r="I68" s="32">
        <v>3.6697676064265958</v>
      </c>
      <c r="J68" s="32">
        <v>3.168548051232515</v>
      </c>
      <c r="K68" s="32">
        <v>2.4480229605245616</v>
      </c>
      <c r="L68" s="32">
        <v>3.2211536244051677</v>
      </c>
      <c r="M68" s="32">
        <v>2.3138227561634204</v>
      </c>
      <c r="N68" s="32">
        <v>2.1490073968418533</v>
      </c>
      <c r="O68" s="32">
        <v>3.5953049175359779</v>
      </c>
      <c r="P68" s="32">
        <v>3.3611849733983923</v>
      </c>
      <c r="Q68" s="32">
        <v>3.5436062583373853</v>
      </c>
      <c r="R68" s="32">
        <v>2.1817340869501405</v>
      </c>
      <c r="S68" s="32">
        <v>1.9859143332480593</v>
      </c>
      <c r="T68" s="32">
        <v>1.7111962503367328</v>
      </c>
      <c r="U68" s="32">
        <v>1.8805976236195598</v>
      </c>
      <c r="V68" s="32">
        <v>2.7674224987085783</v>
      </c>
      <c r="W68" s="32">
        <v>1.9049327883520382</v>
      </c>
      <c r="X68" s="32">
        <v>1.2301488243819914</v>
      </c>
      <c r="Y68" s="32">
        <v>1.298277171951026</v>
      </c>
      <c r="Z68" s="32">
        <v>1.4080604187698136</v>
      </c>
      <c r="AA68" s="32">
        <v>1.8196891911970294</v>
      </c>
      <c r="AB68" s="32">
        <v>1.2500997434683021</v>
      </c>
      <c r="AC68" s="32">
        <v>1.342554433722122</v>
      </c>
      <c r="AD68" s="32">
        <v>1.3756271610682678</v>
      </c>
      <c r="AE68" s="32">
        <v>1.4064134315629668</v>
      </c>
      <c r="AF68" s="32">
        <v>1.2687738676522953</v>
      </c>
      <c r="AG68" s="32">
        <v>1.7501585237666419</v>
      </c>
      <c r="AH68" s="32">
        <v>1.7630810903852594</v>
      </c>
      <c r="AI68" s="32">
        <v>1.7187571946704043</v>
      </c>
      <c r="AK68" s="3"/>
    </row>
    <row r="69" spans="1:39" x14ac:dyDescent="0.4">
      <c r="A69" s="104" t="s">
        <v>62</v>
      </c>
      <c r="B69" s="178">
        <v>2.7716327739262279</v>
      </c>
      <c r="C69" s="32">
        <v>2.9306239513637697</v>
      </c>
      <c r="D69" s="32">
        <v>3.544403537242383</v>
      </c>
      <c r="E69" s="32">
        <v>3.6108756790755212</v>
      </c>
      <c r="F69" s="32">
        <v>4.5908122689747959</v>
      </c>
      <c r="G69" s="32">
        <v>4.4769773811733193</v>
      </c>
      <c r="H69" s="32">
        <v>5.2351909922771789</v>
      </c>
      <c r="I69" s="32">
        <v>5.7220115554269819</v>
      </c>
      <c r="J69" s="32">
        <v>4.8464227560421289</v>
      </c>
      <c r="K69" s="32">
        <v>3.6625323518829296</v>
      </c>
      <c r="L69" s="32">
        <v>3.5352964936230031</v>
      </c>
      <c r="M69" s="32">
        <v>3.4186787059764838</v>
      </c>
      <c r="N69" s="32">
        <v>3.5573482479511904</v>
      </c>
      <c r="O69" s="32">
        <v>3.4120507906876578</v>
      </c>
      <c r="P69" s="32">
        <v>3.1029837660329664</v>
      </c>
      <c r="Q69" s="32">
        <v>3.0486289395707473</v>
      </c>
      <c r="R69" s="32">
        <v>2.799207231421645</v>
      </c>
      <c r="S69" s="32">
        <v>3.3128156162648099</v>
      </c>
      <c r="T69" s="32">
        <v>3.8842741886465557</v>
      </c>
      <c r="U69" s="32">
        <v>3.9125016141904223</v>
      </c>
      <c r="V69" s="32">
        <v>3.9531295042785106</v>
      </c>
      <c r="W69" s="32">
        <v>4.4282649744413778</v>
      </c>
      <c r="X69" s="32">
        <v>4.0078812979729381</v>
      </c>
      <c r="Y69" s="32">
        <v>5.4648410911171599</v>
      </c>
      <c r="Z69" s="32">
        <v>5.7388287675535068</v>
      </c>
      <c r="AA69" s="32">
        <v>5.728088768113019</v>
      </c>
      <c r="AB69" s="32">
        <v>5.7157069147534036</v>
      </c>
      <c r="AC69" s="32">
        <v>5.9669264498750749</v>
      </c>
      <c r="AD69" s="32">
        <v>6.4741233123708817</v>
      </c>
      <c r="AE69" s="32">
        <v>6.620600053162045</v>
      </c>
      <c r="AF69" s="32">
        <v>5.952997755723004</v>
      </c>
      <c r="AG69" s="32">
        <v>5.6002481937006605</v>
      </c>
      <c r="AH69" s="32">
        <v>6.3303612603589166</v>
      </c>
      <c r="AI69" s="32">
        <v>5.7924459245459383</v>
      </c>
      <c r="AK69" s="3"/>
    </row>
    <row r="70" spans="1:39" ht="16.5" thickBot="1" x14ac:dyDescent="0.45">
      <c r="A70" s="138" t="s">
        <v>63</v>
      </c>
      <c r="B70" s="178">
        <v>0</v>
      </c>
      <c r="C70" s="32">
        <v>0</v>
      </c>
      <c r="D70" s="32">
        <v>0</v>
      </c>
      <c r="E70" s="32">
        <v>0</v>
      </c>
      <c r="F70" s="32">
        <v>0</v>
      </c>
      <c r="G70" s="32">
        <v>0</v>
      </c>
      <c r="H70" s="32">
        <v>0</v>
      </c>
      <c r="I70" s="32">
        <v>0</v>
      </c>
      <c r="J70" s="32">
        <v>0</v>
      </c>
      <c r="K70" s="32">
        <v>0</v>
      </c>
      <c r="L70" s="32">
        <v>0</v>
      </c>
      <c r="M70" s="32">
        <v>0</v>
      </c>
      <c r="N70" s="32">
        <v>0</v>
      </c>
      <c r="O70" s="32">
        <v>0</v>
      </c>
      <c r="P70" s="32">
        <v>0</v>
      </c>
      <c r="Q70" s="32">
        <v>0</v>
      </c>
      <c r="R70" s="32">
        <v>0</v>
      </c>
      <c r="S70" s="32">
        <v>0</v>
      </c>
      <c r="T70" s="32">
        <v>0</v>
      </c>
      <c r="U70" s="32">
        <v>0</v>
      </c>
      <c r="V70" s="32">
        <v>0</v>
      </c>
      <c r="W70" s="32">
        <v>0</v>
      </c>
      <c r="X70" s="32">
        <v>0</v>
      </c>
      <c r="Y70" s="32">
        <v>0</v>
      </c>
      <c r="Z70" s="32">
        <v>0</v>
      </c>
      <c r="AA70" s="32">
        <v>0</v>
      </c>
      <c r="AB70" s="32">
        <v>0</v>
      </c>
      <c r="AC70" s="32">
        <v>0</v>
      </c>
      <c r="AD70" s="32">
        <v>0</v>
      </c>
      <c r="AE70" s="32">
        <v>0</v>
      </c>
      <c r="AF70" s="32">
        <v>0</v>
      </c>
      <c r="AG70" s="32">
        <v>0</v>
      </c>
      <c r="AH70" s="32">
        <v>0</v>
      </c>
      <c r="AI70" s="32">
        <v>0</v>
      </c>
      <c r="AK70" s="3"/>
    </row>
    <row r="71" spans="1:39" x14ac:dyDescent="0.4">
      <c r="A71" s="247" t="s">
        <v>65</v>
      </c>
      <c r="B71" s="179">
        <v>5.4029918486572228</v>
      </c>
      <c r="C71" s="180">
        <v>4.5241963792028006</v>
      </c>
      <c r="D71" s="180">
        <v>6.196120339667166</v>
      </c>
      <c r="E71" s="180">
        <v>6.3524480004604289</v>
      </c>
      <c r="F71" s="180">
        <v>5.4819205214131737</v>
      </c>
      <c r="G71" s="180">
        <v>4.799124624067149</v>
      </c>
      <c r="H71" s="180">
        <v>4.75504493150014</v>
      </c>
      <c r="I71" s="180">
        <v>4.8391149240722537</v>
      </c>
      <c r="J71" s="180">
        <v>4.6425953861799725</v>
      </c>
      <c r="K71" s="180">
        <v>5.324582932332838</v>
      </c>
      <c r="L71" s="180">
        <v>5.2136458030450861</v>
      </c>
      <c r="M71" s="180">
        <v>6.3114014118719561</v>
      </c>
      <c r="N71" s="180">
        <v>6.1690505039776617</v>
      </c>
      <c r="O71" s="180">
        <v>4.1418598354447296</v>
      </c>
      <c r="P71" s="180">
        <v>4.0150990192714158</v>
      </c>
      <c r="Q71" s="180">
        <v>4.2697051145872669</v>
      </c>
      <c r="R71" s="180">
        <v>4.0677081935533161</v>
      </c>
      <c r="S71" s="180">
        <v>3.9614178944807481</v>
      </c>
      <c r="T71" s="180">
        <v>3.6776679080539032</v>
      </c>
      <c r="U71" s="180">
        <v>2.9614097522885445</v>
      </c>
      <c r="V71" s="180">
        <v>3.4875602377014707</v>
      </c>
      <c r="W71" s="180">
        <v>3.6789297255419582</v>
      </c>
      <c r="X71" s="180">
        <v>3.1915395199877956</v>
      </c>
      <c r="Y71" s="180">
        <v>3.3630292704257805</v>
      </c>
      <c r="Z71" s="180">
        <v>3.2602165239692171</v>
      </c>
      <c r="AA71" s="180">
        <v>3.2823083352570848</v>
      </c>
      <c r="AB71" s="180">
        <v>3.1662665581676284</v>
      </c>
      <c r="AC71" s="181">
        <v>3.2336648396866163</v>
      </c>
      <c r="AD71" s="181">
        <v>3.2038785042914624</v>
      </c>
      <c r="AE71" s="181">
        <v>3.244068751389845</v>
      </c>
      <c r="AF71" s="181">
        <v>3.0398049356378154</v>
      </c>
      <c r="AG71" s="181">
        <v>3.2122856536414419</v>
      </c>
      <c r="AH71" s="181">
        <v>3.2423547772972263</v>
      </c>
      <c r="AI71" s="181">
        <v>2.981429791228452</v>
      </c>
      <c r="AK71" s="3"/>
    </row>
    <row r="72" spans="1:39" x14ac:dyDescent="0.4">
      <c r="A72" s="104" t="s">
        <v>60</v>
      </c>
      <c r="B72" s="178">
        <v>0.14071996204620343</v>
      </c>
      <c r="C72" s="32">
        <v>0.18261537862815175</v>
      </c>
      <c r="D72" s="32">
        <v>0.34370159298707625</v>
      </c>
      <c r="E72" s="32">
        <v>0.25926736276675005</v>
      </c>
      <c r="F72" s="32">
        <v>0.13691430566268589</v>
      </c>
      <c r="G72" s="32">
        <v>5.6956847758346425E-2</v>
      </c>
      <c r="H72" s="32">
        <v>4.3204144605224697E-2</v>
      </c>
      <c r="I72" s="32">
        <v>6.7408505663128615E-2</v>
      </c>
      <c r="J72" s="32">
        <v>7.1338278427875268E-2</v>
      </c>
      <c r="K72" s="32">
        <v>6.1433942761636058E-2</v>
      </c>
      <c r="L72" s="32">
        <v>0.12944301136812089</v>
      </c>
      <c r="M72" s="32">
        <v>0.12824622281611239</v>
      </c>
      <c r="N72" s="32">
        <v>9.1529212349241079E-2</v>
      </c>
      <c r="O72" s="32">
        <v>0.10432647198262388</v>
      </c>
      <c r="P72" s="32">
        <v>0.12119280142248856</v>
      </c>
      <c r="Q72" s="32">
        <v>0.1616197523007423</v>
      </c>
      <c r="R72" s="32">
        <v>0.17519142479627134</v>
      </c>
      <c r="S72" s="32">
        <v>0.1949262835370579</v>
      </c>
      <c r="T72" s="32">
        <v>0.19496970678531561</v>
      </c>
      <c r="U72" s="32">
        <v>0.11629625811066953</v>
      </c>
      <c r="V72" s="32">
        <v>0.1548035471373678</v>
      </c>
      <c r="W72" s="32">
        <v>0.14243050810687197</v>
      </c>
      <c r="X72" s="32">
        <v>0.14332950491669513</v>
      </c>
      <c r="Y72" s="32">
        <v>0.13934940726156647</v>
      </c>
      <c r="Z72" s="32">
        <v>0.12293262078051174</v>
      </c>
      <c r="AA72" s="32">
        <v>9.629313343025557E-2</v>
      </c>
      <c r="AB72" s="32">
        <v>3.0454800826430466E-3</v>
      </c>
      <c r="AC72" s="183">
        <v>3.4632459700504343E-3</v>
      </c>
      <c r="AD72" s="183">
        <v>9.3194530070134034E-4</v>
      </c>
      <c r="AE72" s="183">
        <v>2.4787542455229814E-3</v>
      </c>
      <c r="AF72" s="183">
        <v>0</v>
      </c>
      <c r="AG72" s="183">
        <v>0</v>
      </c>
      <c r="AH72" s="183">
        <v>0</v>
      </c>
      <c r="AI72" s="183">
        <v>0</v>
      </c>
      <c r="AK72" s="3"/>
    </row>
    <row r="73" spans="1:39" x14ac:dyDescent="0.4">
      <c r="A73" s="104" t="s">
        <v>61</v>
      </c>
      <c r="B73" s="178">
        <v>2.8823046573615909</v>
      </c>
      <c r="C73" s="32">
        <v>1.5449510951924812</v>
      </c>
      <c r="D73" s="32">
        <v>2.2429172294922628</v>
      </c>
      <c r="E73" s="32">
        <v>2.4627547153012963</v>
      </c>
      <c r="F73" s="32">
        <v>2.0673633126504662</v>
      </c>
      <c r="G73" s="32">
        <v>1.5518495721979462</v>
      </c>
      <c r="H73" s="32">
        <v>1.6013745625091089</v>
      </c>
      <c r="I73" s="32">
        <v>1.5316015231140245</v>
      </c>
      <c r="J73" s="32">
        <v>1.4527688139302573</v>
      </c>
      <c r="K73" s="32">
        <v>1.2493234861968847</v>
      </c>
      <c r="L73" s="32">
        <v>1.2407288436000325</v>
      </c>
      <c r="M73" s="32">
        <v>1.9875238349011553</v>
      </c>
      <c r="N73" s="32">
        <v>1.681977954316652</v>
      </c>
      <c r="O73" s="32">
        <v>1.7758481473504726</v>
      </c>
      <c r="P73" s="32">
        <v>1.6619348854297509</v>
      </c>
      <c r="Q73" s="32">
        <v>1.6940969816285603</v>
      </c>
      <c r="R73" s="32">
        <v>1.7093605222482744</v>
      </c>
      <c r="S73" s="32">
        <v>1.4224430634045135</v>
      </c>
      <c r="T73" s="32">
        <v>1.2188619779482792</v>
      </c>
      <c r="U73" s="32">
        <v>0.81756089513194685</v>
      </c>
      <c r="V73" s="32">
        <v>1.0535400940229394</v>
      </c>
      <c r="W73" s="32">
        <v>1.0950527556655874</v>
      </c>
      <c r="X73" s="32">
        <v>0.78320967311279943</v>
      </c>
      <c r="Y73" s="32">
        <v>0.81153196164150831</v>
      </c>
      <c r="Z73" s="32">
        <v>0.80468538722631155</v>
      </c>
      <c r="AA73" s="32">
        <v>0.91037688226397218</v>
      </c>
      <c r="AB73" s="32">
        <v>0.8404384590277505</v>
      </c>
      <c r="AC73" s="183">
        <v>0.86934095122722821</v>
      </c>
      <c r="AD73" s="183">
        <v>0.82133712896671107</v>
      </c>
      <c r="AE73" s="183">
        <v>0.79652808773838912</v>
      </c>
      <c r="AF73" s="183">
        <v>0.75655957090073234</v>
      </c>
      <c r="AG73" s="183">
        <v>0.82373769481426051</v>
      </c>
      <c r="AH73" s="183">
        <v>0.84909730912566761</v>
      </c>
      <c r="AI73" s="183">
        <v>0.80484688342279131</v>
      </c>
      <c r="AK73" s="3"/>
    </row>
    <row r="74" spans="1:39" x14ac:dyDescent="0.4">
      <c r="A74" s="104" t="s">
        <v>62</v>
      </c>
      <c r="B74" s="178">
        <v>2.3799672292494285</v>
      </c>
      <c r="C74" s="32">
        <v>2.7966299053821677</v>
      </c>
      <c r="D74" s="32">
        <v>3.6095015171878266</v>
      </c>
      <c r="E74" s="32">
        <v>3.6304259223923827</v>
      </c>
      <c r="F74" s="32">
        <v>3.2776429031000216</v>
      </c>
      <c r="G74" s="32">
        <v>3.1903182041108562</v>
      </c>
      <c r="H74" s="32">
        <v>3.1104662243858061</v>
      </c>
      <c r="I74" s="32">
        <v>3.2401048952951004</v>
      </c>
      <c r="J74" s="32">
        <v>3.1184882938218399</v>
      </c>
      <c r="K74" s="32">
        <v>4.0138255033743171</v>
      </c>
      <c r="L74" s="32">
        <v>3.8434739480769324</v>
      </c>
      <c r="M74" s="32">
        <v>4.1956313541546884</v>
      </c>
      <c r="N74" s="32">
        <v>4.3955433373117687</v>
      </c>
      <c r="O74" s="32">
        <v>2.2616852161116334</v>
      </c>
      <c r="P74" s="32">
        <v>2.2319713324191759</v>
      </c>
      <c r="Q74" s="32">
        <v>2.4139883806579645</v>
      </c>
      <c r="R74" s="32">
        <v>2.1831562465087706</v>
      </c>
      <c r="S74" s="32">
        <v>2.3440485475391766</v>
      </c>
      <c r="T74" s="32">
        <v>2.2638362233203084</v>
      </c>
      <c r="U74" s="32">
        <v>2.027552599045928</v>
      </c>
      <c r="V74" s="32">
        <v>2.2792165965411635</v>
      </c>
      <c r="W74" s="32">
        <v>2.4414464617694986</v>
      </c>
      <c r="X74" s="32">
        <v>2.2650003419583009</v>
      </c>
      <c r="Y74" s="32">
        <v>2.4121479015227054</v>
      </c>
      <c r="Z74" s="32">
        <v>2.3325985159623941</v>
      </c>
      <c r="AA74" s="32">
        <v>2.2756383195628573</v>
      </c>
      <c r="AB74" s="32">
        <v>2.3227826190572349</v>
      </c>
      <c r="AC74" s="183">
        <v>2.3608606424893379</v>
      </c>
      <c r="AD74" s="183">
        <v>2.3816094300240498</v>
      </c>
      <c r="AE74" s="183">
        <v>2.4450619094059327</v>
      </c>
      <c r="AF74" s="183">
        <v>2.2832453647370832</v>
      </c>
      <c r="AG74" s="183">
        <v>2.3885479588271816</v>
      </c>
      <c r="AH74" s="183">
        <v>2.3932574681715586</v>
      </c>
      <c r="AI74" s="183">
        <v>2.1765829078056607</v>
      </c>
      <c r="AK74" s="3"/>
    </row>
    <row r="75" spans="1:39" ht="16.5" thickBot="1" x14ac:dyDescent="0.45">
      <c r="A75" s="138" t="s">
        <v>63</v>
      </c>
      <c r="B75" s="187">
        <v>0</v>
      </c>
      <c r="C75" s="161">
        <v>0</v>
      </c>
      <c r="D75" s="161">
        <v>0</v>
      </c>
      <c r="E75" s="161">
        <v>0</v>
      </c>
      <c r="F75" s="161">
        <v>0</v>
      </c>
      <c r="G75" s="161">
        <v>0</v>
      </c>
      <c r="H75" s="161">
        <v>0</v>
      </c>
      <c r="I75" s="161">
        <v>0</v>
      </c>
      <c r="J75" s="161">
        <v>0</v>
      </c>
      <c r="K75" s="161">
        <v>0</v>
      </c>
      <c r="L75" s="161">
        <v>0</v>
      </c>
      <c r="M75" s="161">
        <v>0</v>
      </c>
      <c r="N75" s="161">
        <v>0</v>
      </c>
      <c r="O75" s="161">
        <v>0</v>
      </c>
      <c r="P75" s="161">
        <v>0</v>
      </c>
      <c r="Q75" s="161">
        <v>0</v>
      </c>
      <c r="R75" s="161">
        <v>0</v>
      </c>
      <c r="S75" s="161">
        <v>0</v>
      </c>
      <c r="T75" s="161">
        <v>0</v>
      </c>
      <c r="U75" s="161">
        <v>0</v>
      </c>
      <c r="V75" s="161">
        <v>0</v>
      </c>
      <c r="W75" s="161">
        <v>0</v>
      </c>
      <c r="X75" s="161">
        <v>0</v>
      </c>
      <c r="Y75" s="161">
        <v>0</v>
      </c>
      <c r="Z75" s="161">
        <v>0</v>
      </c>
      <c r="AA75" s="161">
        <v>0</v>
      </c>
      <c r="AB75" s="161">
        <v>0</v>
      </c>
      <c r="AC75" s="182">
        <v>0</v>
      </c>
      <c r="AD75" s="182">
        <v>0</v>
      </c>
      <c r="AE75" s="182">
        <v>0</v>
      </c>
      <c r="AF75" s="182">
        <v>0</v>
      </c>
      <c r="AG75" s="182">
        <v>0</v>
      </c>
      <c r="AH75" s="182">
        <v>0</v>
      </c>
      <c r="AI75" s="182">
        <v>0</v>
      </c>
      <c r="AK75" s="3"/>
    </row>
    <row r="76" spans="1:39" x14ac:dyDescent="0.4">
      <c r="A76" s="252" t="s">
        <v>15</v>
      </c>
      <c r="B76" s="253">
        <v>28.506437825265561</v>
      </c>
      <c r="C76" s="254">
        <v>26.924606252648257</v>
      </c>
      <c r="D76" s="254">
        <v>26.448466366325668</v>
      </c>
      <c r="E76" s="254">
        <v>26.684940195948617</v>
      </c>
      <c r="F76" s="254">
        <v>26.904845065360281</v>
      </c>
      <c r="G76" s="254">
        <v>27.543957964998537</v>
      </c>
      <c r="H76" s="254">
        <v>28.348712325078182</v>
      </c>
      <c r="I76" s="254">
        <v>28.69167682250546</v>
      </c>
      <c r="J76" s="254">
        <v>28.981165134559838</v>
      </c>
      <c r="K76" s="254">
        <v>29.667708078894687</v>
      </c>
      <c r="L76" s="254">
        <v>30.840346353806446</v>
      </c>
      <c r="M76" s="254">
        <v>30.390777107441533</v>
      </c>
      <c r="N76" s="254">
        <v>30.598758285542431</v>
      </c>
      <c r="O76" s="254">
        <v>31.043963055913089</v>
      </c>
      <c r="P76" s="254">
        <v>32.340396822593107</v>
      </c>
      <c r="Q76" s="254">
        <v>32.345380523700079</v>
      </c>
      <c r="R76" s="254">
        <v>31.466623128123757</v>
      </c>
      <c r="S76" s="254">
        <v>31.819150693171292</v>
      </c>
      <c r="T76" s="254">
        <v>30.86282488303754</v>
      </c>
      <c r="U76" s="254">
        <v>28.977785301980987</v>
      </c>
      <c r="V76" s="254">
        <v>29.194406294139284</v>
      </c>
      <c r="W76" s="254">
        <v>29.122866885250296</v>
      </c>
      <c r="X76" s="254">
        <v>28.589464823242722</v>
      </c>
      <c r="Y76" s="254">
        <v>29.863734621973759</v>
      </c>
      <c r="Z76" s="254">
        <v>28.070166775754295</v>
      </c>
      <c r="AA76" s="254">
        <v>28.563982489108188</v>
      </c>
      <c r="AB76" s="254">
        <v>28.915475634666461</v>
      </c>
      <c r="AC76" s="255">
        <v>28.383866566732596</v>
      </c>
      <c r="AD76" s="255">
        <v>29.007851076241238</v>
      </c>
      <c r="AE76" s="255">
        <v>28.718290747720118</v>
      </c>
      <c r="AF76" s="255">
        <v>22.643265319497907</v>
      </c>
      <c r="AG76" s="255">
        <v>25.369592412136143</v>
      </c>
      <c r="AH76" s="255">
        <v>25.922326415031002</v>
      </c>
      <c r="AI76" s="255">
        <v>25.981513834476111</v>
      </c>
      <c r="AK76" s="3"/>
    </row>
    <row r="77" spans="1:39" x14ac:dyDescent="0.4">
      <c r="A77" s="104" t="s">
        <v>60</v>
      </c>
      <c r="B77" s="178">
        <v>0</v>
      </c>
      <c r="C77" s="32">
        <v>0</v>
      </c>
      <c r="D77" s="32">
        <v>0</v>
      </c>
      <c r="E77" s="32">
        <v>0</v>
      </c>
      <c r="F77" s="32">
        <v>0</v>
      </c>
      <c r="G77" s="32">
        <v>0</v>
      </c>
      <c r="H77" s="32">
        <v>0</v>
      </c>
      <c r="I77" s="32">
        <v>0</v>
      </c>
      <c r="J77" s="32">
        <v>0</v>
      </c>
      <c r="K77" s="32">
        <v>0</v>
      </c>
      <c r="L77" s="32">
        <v>0</v>
      </c>
      <c r="M77" s="32">
        <v>0</v>
      </c>
      <c r="N77" s="32">
        <v>0</v>
      </c>
      <c r="O77" s="32">
        <v>0</v>
      </c>
      <c r="P77" s="32">
        <v>0</v>
      </c>
      <c r="Q77" s="32">
        <v>0</v>
      </c>
      <c r="R77" s="32">
        <v>0</v>
      </c>
      <c r="S77" s="32">
        <v>0</v>
      </c>
      <c r="T77" s="32">
        <v>0</v>
      </c>
      <c r="U77" s="32">
        <v>0</v>
      </c>
      <c r="V77" s="32">
        <v>0</v>
      </c>
      <c r="W77" s="32">
        <v>0</v>
      </c>
      <c r="X77" s="32">
        <v>0</v>
      </c>
      <c r="Y77" s="32">
        <v>0</v>
      </c>
      <c r="Z77" s="32">
        <v>0</v>
      </c>
      <c r="AA77" s="32">
        <v>0</v>
      </c>
      <c r="AB77" s="32">
        <v>0</v>
      </c>
      <c r="AC77" s="183">
        <v>0</v>
      </c>
      <c r="AD77" s="183">
        <v>0</v>
      </c>
      <c r="AE77" s="183">
        <v>0</v>
      </c>
      <c r="AF77" s="183">
        <v>0</v>
      </c>
      <c r="AG77" s="183">
        <v>0</v>
      </c>
      <c r="AH77" s="183">
        <v>0</v>
      </c>
      <c r="AI77" s="183">
        <v>0</v>
      </c>
      <c r="AK77" s="3"/>
    </row>
    <row r="78" spans="1:39" x14ac:dyDescent="0.4">
      <c r="A78" s="104" t="s">
        <v>61</v>
      </c>
      <c r="B78" s="178">
        <v>28.506437825265561</v>
      </c>
      <c r="C78" s="32">
        <v>26.924551663841292</v>
      </c>
      <c r="D78" s="32">
        <v>26.448357188711739</v>
      </c>
      <c r="E78" s="32">
        <v>26.684830942615985</v>
      </c>
      <c r="F78" s="32">
        <v>26.904353539162461</v>
      </c>
      <c r="G78" s="32">
        <v>27.543302292974943</v>
      </c>
      <c r="H78" s="32">
        <v>28.348439128401683</v>
      </c>
      <c r="I78" s="32">
        <v>28.687797429699192</v>
      </c>
      <c r="J78" s="32">
        <v>28.977181069321475</v>
      </c>
      <c r="K78" s="32">
        <v>29.662737052259946</v>
      </c>
      <c r="L78" s="32">
        <v>30.834826498877113</v>
      </c>
      <c r="M78" s="32">
        <v>30.383950354694043</v>
      </c>
      <c r="N78" s="32">
        <v>30.591870527357507</v>
      </c>
      <c r="O78" s="32">
        <v>31.035552496528179</v>
      </c>
      <c r="P78" s="32">
        <v>32.330944217586278</v>
      </c>
      <c r="Q78" s="32">
        <v>32.303218498731574</v>
      </c>
      <c r="R78" s="32">
        <v>31.427574102408109</v>
      </c>
      <c r="S78" s="32">
        <v>31.780912026750201</v>
      </c>
      <c r="T78" s="32">
        <v>30.82141786997013</v>
      </c>
      <c r="U78" s="32">
        <v>28.935757891677451</v>
      </c>
      <c r="V78" s="32">
        <v>29.154218338356745</v>
      </c>
      <c r="W78" s="32">
        <v>29.081302288288789</v>
      </c>
      <c r="X78" s="32">
        <v>28.547864950395677</v>
      </c>
      <c r="Y78" s="32">
        <v>29.825550582218984</v>
      </c>
      <c r="Z78" s="32">
        <v>28.030935482873272</v>
      </c>
      <c r="AA78" s="32">
        <v>28.51989092095021</v>
      </c>
      <c r="AB78" s="32">
        <v>28.895746156702074</v>
      </c>
      <c r="AC78" s="183">
        <v>28.377706513428997</v>
      </c>
      <c r="AD78" s="183">
        <v>29.000927830492945</v>
      </c>
      <c r="AE78" s="183">
        <v>28.711207188304808</v>
      </c>
      <c r="AF78" s="183">
        <v>22.63819669670595</v>
      </c>
      <c r="AG78" s="183">
        <v>25.365232306508656</v>
      </c>
      <c r="AH78" s="183">
        <v>25.916111847981355</v>
      </c>
      <c r="AI78" s="183">
        <v>25.972900662600285</v>
      </c>
      <c r="AK78" s="3"/>
    </row>
    <row r="79" spans="1:39" x14ac:dyDescent="0.4">
      <c r="A79" s="1355" t="s">
        <v>1170</v>
      </c>
      <c r="B79" s="178">
        <v>0</v>
      </c>
      <c r="C79" s="32">
        <v>5.4588806964422069E-5</v>
      </c>
      <c r="D79" s="32">
        <v>1.0917761392884414E-4</v>
      </c>
      <c r="E79" s="32">
        <v>1.09253332631684E-4</v>
      </c>
      <c r="F79" s="32">
        <v>4.9152619781934082E-4</v>
      </c>
      <c r="G79" s="32">
        <v>6.5567202359502615E-4</v>
      </c>
      <c r="H79" s="32">
        <v>2.7319667649792757E-4</v>
      </c>
      <c r="I79" s="32">
        <v>3.8793928062705709E-3</v>
      </c>
      <c r="J79" s="32">
        <v>3.984065238362298E-3</v>
      </c>
      <c r="K79" s="32">
        <v>4.9710266347416212E-3</v>
      </c>
      <c r="L79" s="32">
        <v>5.5198549293330283E-3</v>
      </c>
      <c r="M79" s="32">
        <v>6.8267527474908454E-3</v>
      </c>
      <c r="N79" s="32">
        <v>6.8877581849242937E-3</v>
      </c>
      <c r="O79" s="32">
        <v>8.4105593849087244E-3</v>
      </c>
      <c r="P79" s="32">
        <v>9.4526050068282959E-3</v>
      </c>
      <c r="Q79" s="32">
        <v>4.2162024968503464E-2</v>
      </c>
      <c r="R79" s="32">
        <v>3.9049025715647639E-2</v>
      </c>
      <c r="S79" s="32">
        <v>3.8238666421089397E-2</v>
      </c>
      <c r="T79" s="32">
        <v>4.1407013067408231E-2</v>
      </c>
      <c r="U79" s="32">
        <v>4.2027410303535635E-2</v>
      </c>
      <c r="V79" s="32">
        <v>4.018795578253808E-2</v>
      </c>
      <c r="W79" s="32">
        <v>4.1564596961506863E-2</v>
      </c>
      <c r="X79" s="32">
        <v>4.1599872847042758E-2</v>
      </c>
      <c r="Y79" s="32">
        <v>3.8184039754773559E-2</v>
      </c>
      <c r="Z79" s="32">
        <v>3.9231292881024088E-2</v>
      </c>
      <c r="AA79" s="32">
        <v>4.4091568157977469E-2</v>
      </c>
      <c r="AB79" s="32">
        <v>1.972947796438547E-2</v>
      </c>
      <c r="AC79" s="183">
        <v>6.1600533035981583E-3</v>
      </c>
      <c r="AD79" s="183">
        <v>6.9232457482917356E-3</v>
      </c>
      <c r="AE79" s="183">
        <v>7.0835594153091644E-3</v>
      </c>
      <c r="AF79" s="183">
        <v>5.0686227919553841E-3</v>
      </c>
      <c r="AG79" s="183">
        <v>4.3601056274885025E-3</v>
      </c>
      <c r="AH79" s="183">
        <v>6.214567049647699E-3</v>
      </c>
      <c r="AI79" s="183">
        <v>8.6131718758275123E-3</v>
      </c>
      <c r="AK79" s="3"/>
      <c r="AL79" s="194"/>
    </row>
    <row r="80" spans="1:39" ht="16.5" thickBot="1" x14ac:dyDescent="0.45">
      <c r="A80" s="138" t="s">
        <v>63</v>
      </c>
      <c r="B80" s="187">
        <v>0</v>
      </c>
      <c r="C80" s="161">
        <v>0</v>
      </c>
      <c r="D80" s="161">
        <v>0</v>
      </c>
      <c r="E80" s="161">
        <v>0</v>
      </c>
      <c r="F80" s="161">
        <v>0</v>
      </c>
      <c r="G80" s="161">
        <v>0</v>
      </c>
      <c r="H80" s="161">
        <v>0</v>
      </c>
      <c r="I80" s="161">
        <v>0</v>
      </c>
      <c r="J80" s="161">
        <v>0</v>
      </c>
      <c r="K80" s="161">
        <v>0</v>
      </c>
      <c r="L80" s="161">
        <v>0</v>
      </c>
      <c r="M80" s="161">
        <v>0</v>
      </c>
      <c r="N80" s="161">
        <v>0</v>
      </c>
      <c r="O80" s="161">
        <v>0</v>
      </c>
      <c r="P80" s="161">
        <v>0</v>
      </c>
      <c r="Q80" s="161">
        <v>0</v>
      </c>
      <c r="R80" s="161">
        <v>0</v>
      </c>
      <c r="S80" s="161">
        <v>0</v>
      </c>
      <c r="T80" s="161">
        <v>0</v>
      </c>
      <c r="U80" s="161">
        <v>0</v>
      </c>
      <c r="V80" s="161">
        <v>0</v>
      </c>
      <c r="W80" s="161">
        <v>0</v>
      </c>
      <c r="X80" s="161">
        <v>0</v>
      </c>
      <c r="Y80" s="161">
        <v>0</v>
      </c>
      <c r="Z80" s="161">
        <v>0</v>
      </c>
      <c r="AA80" s="161">
        <v>0</v>
      </c>
      <c r="AB80" s="161">
        <v>0</v>
      </c>
      <c r="AC80" s="182">
        <v>0</v>
      </c>
      <c r="AD80" s="182">
        <v>0</v>
      </c>
      <c r="AE80" s="182">
        <v>0</v>
      </c>
      <c r="AF80" s="182">
        <v>0</v>
      </c>
      <c r="AG80" s="182">
        <v>0</v>
      </c>
      <c r="AH80" s="182">
        <v>0</v>
      </c>
      <c r="AI80" s="182">
        <v>0</v>
      </c>
      <c r="AK80" s="3"/>
      <c r="AM80" s="12"/>
    </row>
    <row r="81" spans="1:38" x14ac:dyDescent="0.4">
      <c r="A81" s="256" t="s">
        <v>14</v>
      </c>
      <c r="B81" s="184">
        <v>25.256636732676711</v>
      </c>
      <c r="C81" s="185">
        <v>25.914728879913365</v>
      </c>
      <c r="D81" s="185">
        <v>24.426681636914616</v>
      </c>
      <c r="E81" s="185">
        <v>21.967535985573292</v>
      </c>
      <c r="F81" s="185">
        <v>22.308384804598031</v>
      </c>
      <c r="G81" s="185">
        <v>21.438788153844321</v>
      </c>
      <c r="H81" s="185">
        <v>20.883901096087193</v>
      </c>
      <c r="I81" s="185">
        <v>26.163942634042538</v>
      </c>
      <c r="J81" s="185">
        <v>26.747611926121515</v>
      </c>
      <c r="K81" s="185">
        <v>24.004093488628136</v>
      </c>
      <c r="L81" s="185">
        <v>22.176187156381239</v>
      </c>
      <c r="M81" s="185">
        <v>21.9644181064916</v>
      </c>
      <c r="N81" s="185">
        <v>22.920165736663847</v>
      </c>
      <c r="O81" s="185">
        <v>25.00860220508946</v>
      </c>
      <c r="P81" s="185">
        <v>23.742061768767062</v>
      </c>
      <c r="Q81" s="185">
        <v>24.508508839562417</v>
      </c>
      <c r="R81" s="185">
        <v>21.605252315219431</v>
      </c>
      <c r="S81" s="185">
        <v>23.666295740032623</v>
      </c>
      <c r="T81" s="185">
        <v>20.168912335399149</v>
      </c>
      <c r="U81" s="185">
        <v>17.585116309401926</v>
      </c>
      <c r="V81" s="185">
        <v>18.286569094037727</v>
      </c>
      <c r="W81" s="185">
        <v>14.354837458195698</v>
      </c>
      <c r="X81" s="185">
        <v>12.131402331331717</v>
      </c>
      <c r="Y81" s="185">
        <v>12.659822445437143</v>
      </c>
      <c r="Z81" s="185">
        <v>10.782306921880684</v>
      </c>
      <c r="AA81" s="185">
        <v>11.311329440348851</v>
      </c>
      <c r="AB81" s="185">
        <v>10.704619766914323</v>
      </c>
      <c r="AC81" s="185">
        <v>10.277411017637217</v>
      </c>
      <c r="AD81" s="186">
        <v>7.6499388544811335</v>
      </c>
      <c r="AE81" s="186">
        <v>6.2240808974230486</v>
      </c>
      <c r="AF81" s="186">
        <v>5.7447834902179773</v>
      </c>
      <c r="AG81" s="186">
        <v>6.1409138216974188</v>
      </c>
      <c r="AH81" s="186">
        <v>6.805501872639649</v>
      </c>
      <c r="AI81" s="186">
        <v>5.9727830458898277</v>
      </c>
      <c r="AK81" s="3"/>
      <c r="AL81" s="195"/>
    </row>
    <row r="82" spans="1:38" x14ac:dyDescent="0.4">
      <c r="A82" s="104" t="s">
        <v>60</v>
      </c>
      <c r="B82" s="178">
        <v>10.521323678949202</v>
      </c>
      <c r="C82" s="32">
        <v>10.963627545541623</v>
      </c>
      <c r="D82" s="32">
        <v>10.170308305657707</v>
      </c>
      <c r="E82" s="32">
        <v>9.0762143367234938</v>
      </c>
      <c r="F82" s="32">
        <v>9.4498677017642532</v>
      </c>
      <c r="G82" s="32">
        <v>9.8503048652441247</v>
      </c>
      <c r="H82" s="32">
        <v>10.639766697376016</v>
      </c>
      <c r="I82" s="32">
        <v>11.522554889866107</v>
      </c>
      <c r="J82" s="32">
        <v>10.299362720456667</v>
      </c>
      <c r="K82" s="32">
        <v>10.642907724189712</v>
      </c>
      <c r="L82" s="32">
        <v>10.741986927992645</v>
      </c>
      <c r="M82" s="32">
        <v>10.210804080889385</v>
      </c>
      <c r="N82" s="32">
        <v>10.981651155953722</v>
      </c>
      <c r="O82" s="32">
        <v>10.18942909303534</v>
      </c>
      <c r="P82" s="32">
        <v>9.827440004535628</v>
      </c>
      <c r="Q82" s="32">
        <v>11.130364765005536</v>
      </c>
      <c r="R82" s="32">
        <v>10.474958732849359</v>
      </c>
      <c r="S82" s="32">
        <v>11.205114385539192</v>
      </c>
      <c r="T82" s="32">
        <v>9.9950612412149127</v>
      </c>
      <c r="U82" s="32">
        <v>8.6652828575851419</v>
      </c>
      <c r="V82" s="32">
        <v>7.841565823926099</v>
      </c>
      <c r="W82" s="32">
        <v>3.9475989191205412</v>
      </c>
      <c r="X82" s="32">
        <v>2.137960957321194</v>
      </c>
      <c r="Y82" s="32">
        <v>3.8779200825621181</v>
      </c>
      <c r="Z82" s="32">
        <v>2.7052281134040319</v>
      </c>
      <c r="AA82" s="32">
        <v>2.1951606622009576</v>
      </c>
      <c r="AB82" s="32">
        <v>1.9131774237776165</v>
      </c>
      <c r="AC82" s="32">
        <v>1.1768293144345041</v>
      </c>
      <c r="AD82" s="32">
        <v>0</v>
      </c>
      <c r="AE82" s="32">
        <v>0</v>
      </c>
      <c r="AF82" s="32">
        <v>0</v>
      </c>
      <c r="AG82" s="32">
        <v>0</v>
      </c>
      <c r="AH82" s="32">
        <v>0</v>
      </c>
      <c r="AI82" s="32">
        <v>0</v>
      </c>
      <c r="AK82" s="3"/>
    </row>
    <row r="83" spans="1:38" x14ac:dyDescent="0.4">
      <c r="A83" s="104" t="s">
        <v>61</v>
      </c>
      <c r="B83" s="178">
        <v>11.362342652527619</v>
      </c>
      <c r="C83" s="32">
        <v>11.611644318033653</v>
      </c>
      <c r="D83" s="32">
        <v>10.138098335945825</v>
      </c>
      <c r="E83" s="32">
        <v>8.6449203945677393</v>
      </c>
      <c r="F83" s="32">
        <v>7.384548377453485</v>
      </c>
      <c r="G83" s="32">
        <v>4.608069488535576</v>
      </c>
      <c r="H83" s="32">
        <v>4.6377672616852585</v>
      </c>
      <c r="I83" s="32">
        <v>8.2446599696470919</v>
      </c>
      <c r="J83" s="32">
        <v>10.830817894184369</v>
      </c>
      <c r="K83" s="32">
        <v>8.3481019001934413</v>
      </c>
      <c r="L83" s="32">
        <v>6.5969650593734492</v>
      </c>
      <c r="M83" s="32">
        <v>6.4600306427226135</v>
      </c>
      <c r="N83" s="32">
        <v>4.9853709890681026</v>
      </c>
      <c r="O83" s="32">
        <v>5.5951829395783523</v>
      </c>
      <c r="P83" s="32">
        <v>5.2959297194511823</v>
      </c>
      <c r="Q83" s="32">
        <v>5.0302052332969875</v>
      </c>
      <c r="R83" s="32">
        <v>1.8820187282760468</v>
      </c>
      <c r="S83" s="32">
        <v>2.3882362282456264</v>
      </c>
      <c r="T83" s="32">
        <v>1.6741009222343135</v>
      </c>
      <c r="U83" s="32">
        <v>0.67931562234387988</v>
      </c>
      <c r="V83" s="32">
        <v>0.21489781503669622</v>
      </c>
      <c r="W83" s="32">
        <v>0.15106273441146226</v>
      </c>
      <c r="X83" s="32">
        <v>0.11446004946133999</v>
      </c>
      <c r="Y83" s="32">
        <v>0.30601821018930508</v>
      </c>
      <c r="Z83" s="32">
        <v>0.71574840250948191</v>
      </c>
      <c r="AA83" s="32">
        <v>0.58348439627549187</v>
      </c>
      <c r="AB83" s="32">
        <v>0.26875868897783989</v>
      </c>
      <c r="AC83" s="32">
        <v>0.21505280099564686</v>
      </c>
      <c r="AD83" s="32">
        <v>0.34710807059006765</v>
      </c>
      <c r="AE83" s="32">
        <v>7.9846956185800733E-2</v>
      </c>
      <c r="AF83" s="32">
        <v>3.3838826756733817E-2</v>
      </c>
      <c r="AG83" s="32">
        <v>6.5127795353489101E-2</v>
      </c>
      <c r="AH83" s="32">
        <v>0.51350413321478572</v>
      </c>
      <c r="AI83" s="32">
        <v>8.3234359824878798E-2</v>
      </c>
      <c r="AK83" s="3"/>
    </row>
    <row r="84" spans="1:38" x14ac:dyDescent="0.4">
      <c r="A84" s="104" t="s">
        <v>62</v>
      </c>
      <c r="B84" s="178">
        <v>3.3729704011998924</v>
      </c>
      <c r="C84" s="32">
        <v>3.3394570163380912</v>
      </c>
      <c r="D84" s="32">
        <v>4.1182749953110838</v>
      </c>
      <c r="E84" s="32">
        <v>4.2464012542820591</v>
      </c>
      <c r="F84" s="32">
        <v>5.4739687253802911</v>
      </c>
      <c r="G84" s="32">
        <v>6.9804138000646212</v>
      </c>
      <c r="H84" s="32">
        <v>5.6063671370259174</v>
      </c>
      <c r="I84" s="32">
        <v>6.3967277745293387</v>
      </c>
      <c r="J84" s="32">
        <v>5.6174313114804821</v>
      </c>
      <c r="K84" s="32">
        <v>5.013083864244984</v>
      </c>
      <c r="L84" s="32">
        <v>4.8372351690151447</v>
      </c>
      <c r="M84" s="32">
        <v>5.2935833828796008</v>
      </c>
      <c r="N84" s="32">
        <v>6.9531435916420223</v>
      </c>
      <c r="O84" s="32">
        <v>9.2239901724757676</v>
      </c>
      <c r="P84" s="32">
        <v>8.6186920447802517</v>
      </c>
      <c r="Q84" s="32">
        <v>8.3479388412598947</v>
      </c>
      <c r="R84" s="32">
        <v>9.2482748540940278</v>
      </c>
      <c r="S84" s="32">
        <v>10.072945126247806</v>
      </c>
      <c r="T84" s="32">
        <v>8.4997501719499216</v>
      </c>
      <c r="U84" s="32">
        <v>8.2405178294729016</v>
      </c>
      <c r="V84" s="32">
        <v>10.230105455074932</v>
      </c>
      <c r="W84" s="32">
        <v>10.256175804663695</v>
      </c>
      <c r="X84" s="32">
        <v>9.8789813245491835</v>
      </c>
      <c r="Y84" s="32">
        <v>8.4758841526857189</v>
      </c>
      <c r="Z84" s="32">
        <v>7.3613304059671698</v>
      </c>
      <c r="AA84" s="32">
        <v>8.5326843818724019</v>
      </c>
      <c r="AB84" s="32">
        <v>8.5226836541588664</v>
      </c>
      <c r="AC84" s="32">
        <v>8.8855289022070654</v>
      </c>
      <c r="AD84" s="32">
        <v>7.302830783891066</v>
      </c>
      <c r="AE84" s="32">
        <v>6.144233941237248</v>
      </c>
      <c r="AF84" s="32">
        <v>5.7109446634612437</v>
      </c>
      <c r="AG84" s="32">
        <v>6.0757860263439296</v>
      </c>
      <c r="AH84" s="32">
        <v>6.291997739424863</v>
      </c>
      <c r="AI84" s="32">
        <v>5.8895486860649493</v>
      </c>
      <c r="AK84" s="3"/>
    </row>
    <row r="85" spans="1:38" ht="16.5" thickBot="1" x14ac:dyDescent="0.45">
      <c r="A85" s="138" t="s">
        <v>63</v>
      </c>
      <c r="B85" s="187">
        <v>0</v>
      </c>
      <c r="C85" s="161">
        <v>0</v>
      </c>
      <c r="D85" s="161">
        <v>0</v>
      </c>
      <c r="E85" s="161">
        <v>0</v>
      </c>
      <c r="F85" s="161">
        <v>0</v>
      </c>
      <c r="G85" s="161">
        <v>0</v>
      </c>
      <c r="H85" s="161">
        <v>0</v>
      </c>
      <c r="I85" s="161">
        <v>0</v>
      </c>
      <c r="J85" s="161">
        <v>0</v>
      </c>
      <c r="K85" s="161">
        <v>0</v>
      </c>
      <c r="L85" s="161">
        <v>0</v>
      </c>
      <c r="M85" s="161">
        <v>0</v>
      </c>
      <c r="N85" s="161">
        <v>0</v>
      </c>
      <c r="O85" s="161">
        <v>0</v>
      </c>
      <c r="P85" s="161">
        <v>0</v>
      </c>
      <c r="Q85" s="161">
        <v>0</v>
      </c>
      <c r="R85" s="161">
        <v>0</v>
      </c>
      <c r="S85" s="161">
        <v>0</v>
      </c>
      <c r="T85" s="161">
        <v>0</v>
      </c>
      <c r="U85" s="161">
        <v>0</v>
      </c>
      <c r="V85" s="161">
        <v>0</v>
      </c>
      <c r="W85" s="161">
        <v>0</v>
      </c>
      <c r="X85" s="161">
        <v>0</v>
      </c>
      <c r="Y85" s="161">
        <v>0</v>
      </c>
      <c r="Z85" s="161">
        <v>0</v>
      </c>
      <c r="AA85" s="161">
        <v>0</v>
      </c>
      <c r="AB85" s="161">
        <v>0</v>
      </c>
      <c r="AC85" s="161">
        <v>0</v>
      </c>
      <c r="AD85" s="161">
        <v>0</v>
      </c>
      <c r="AE85" s="161">
        <v>0</v>
      </c>
      <c r="AF85" s="161">
        <v>0</v>
      </c>
      <c r="AG85" s="161">
        <v>0</v>
      </c>
      <c r="AH85" s="161">
        <v>0</v>
      </c>
      <c r="AI85" s="161">
        <v>0</v>
      </c>
      <c r="AK85" s="3"/>
    </row>
    <row r="86" spans="1:38" x14ac:dyDescent="0.4">
      <c r="A86" s="1070" t="s">
        <v>66</v>
      </c>
      <c r="B86" s="1071">
        <f>SUM(B87:B89)</f>
        <v>1.0452463728345625</v>
      </c>
      <c r="C86" s="1072">
        <f>SUM(C87:C89)</f>
        <v>1.2043985020174812</v>
      </c>
      <c r="D86" s="1072">
        <f t="shared" ref="D86:AI86" si="0">SUM(D87:D89)</f>
        <v>1.1631321569739694</v>
      </c>
      <c r="E86" s="1072">
        <f t="shared" si="0"/>
        <v>1.1070675030347257</v>
      </c>
      <c r="F86" s="1072">
        <f t="shared" si="0"/>
        <v>0.96559845756461615</v>
      </c>
      <c r="G86" s="1072">
        <f t="shared" si="0"/>
        <v>0.78106839697222397</v>
      </c>
      <c r="H86" s="1072">
        <f t="shared" si="0"/>
        <v>1.30340878917182</v>
      </c>
      <c r="I86" s="1072">
        <f t="shared" si="0"/>
        <v>1.3784547067231099</v>
      </c>
      <c r="J86" s="1072">
        <f t="shared" si="0"/>
        <v>1.1431057664989883</v>
      </c>
      <c r="K86" s="1072">
        <f t="shared" si="0"/>
        <v>1.1809425376357632</v>
      </c>
      <c r="L86" s="1072">
        <f t="shared" si="0"/>
        <v>1.3353088979132046</v>
      </c>
      <c r="M86" s="1072">
        <f t="shared" si="0"/>
        <v>1.1334736121796833</v>
      </c>
      <c r="N86" s="1072">
        <f t="shared" si="0"/>
        <v>0.98377864606437071</v>
      </c>
      <c r="O86" s="1072">
        <f t="shared" si="0"/>
        <v>0.91722936459869253</v>
      </c>
      <c r="P86" s="1072">
        <f t="shared" si="0"/>
        <v>1.1816082978731166</v>
      </c>
      <c r="Q86" s="1072">
        <f t="shared" si="0"/>
        <v>1.4868977937644678</v>
      </c>
      <c r="R86" s="1072">
        <f t="shared" si="0"/>
        <v>1.3351162237572942</v>
      </c>
      <c r="S86" s="1072">
        <f t="shared" si="0"/>
        <v>1.2659270823216298</v>
      </c>
      <c r="T86" s="1072">
        <f t="shared" si="0"/>
        <v>1.809523358117775</v>
      </c>
      <c r="U86" s="1072">
        <f t="shared" si="0"/>
        <v>1.0838607576887096</v>
      </c>
      <c r="V86" s="1072">
        <f t="shared" si="0"/>
        <v>1.3273287617908776</v>
      </c>
      <c r="W86" s="1072">
        <f t="shared" si="0"/>
        <v>1.3455680719986185</v>
      </c>
      <c r="X86" s="1072">
        <f t="shared" si="0"/>
        <v>1.3177673527503384</v>
      </c>
      <c r="Y86" s="1072">
        <f t="shared" si="0"/>
        <v>1.3033204630610011</v>
      </c>
      <c r="Z86" s="1072">
        <f t="shared" si="0"/>
        <v>1.5557945518129594</v>
      </c>
      <c r="AA86" s="1072">
        <f t="shared" si="0"/>
        <v>1.8463267320366361</v>
      </c>
      <c r="AB86" s="1072">
        <f t="shared" si="0"/>
        <v>2.3850108460051049</v>
      </c>
      <c r="AC86" s="1072">
        <f t="shared" si="0"/>
        <v>2.5639514856286136</v>
      </c>
      <c r="AD86" s="1072">
        <f t="shared" si="0"/>
        <v>2.4760431789094945</v>
      </c>
      <c r="AE86" s="1072">
        <f t="shared" si="0"/>
        <v>2.711293647537846</v>
      </c>
      <c r="AF86" s="1072">
        <f t="shared" si="0"/>
        <v>0.85804886315405293</v>
      </c>
      <c r="AG86" s="1072">
        <f t="shared" si="0"/>
        <v>1.0438065023985355</v>
      </c>
      <c r="AH86" s="1072">
        <f t="shared" si="0"/>
        <v>1.8335108453917486</v>
      </c>
      <c r="AI86" s="1072">
        <f t="shared" si="0"/>
        <v>2.0904310775139003</v>
      </c>
      <c r="AK86" s="3"/>
    </row>
    <row r="87" spans="1:38" x14ac:dyDescent="0.4">
      <c r="A87" s="104" t="s">
        <v>67</v>
      </c>
      <c r="B87" s="178">
        <v>0.33991981259492682</v>
      </c>
      <c r="C87" s="32">
        <v>0.79788248720762267</v>
      </c>
      <c r="D87" s="32">
        <v>0.7665163060050797</v>
      </c>
      <c r="E87" s="32">
        <v>0.72383197390929876</v>
      </c>
      <c r="F87" s="32">
        <v>0.7030808008519458</v>
      </c>
      <c r="G87" s="32">
        <v>0.55135710630715695</v>
      </c>
      <c r="H87" s="32">
        <v>0.56381127952710897</v>
      </c>
      <c r="I87" s="32">
        <v>0.72964770724004324</v>
      </c>
      <c r="J87" s="32">
        <v>1.0460958200495145</v>
      </c>
      <c r="K87" s="32">
        <v>1.0951371175598894</v>
      </c>
      <c r="L87" s="32">
        <v>1.1432224022547837</v>
      </c>
      <c r="M87" s="32">
        <v>0.97215636126556348</v>
      </c>
      <c r="N87" s="32">
        <v>0.77227012927743366</v>
      </c>
      <c r="O87" s="32">
        <v>0.85488476014877635</v>
      </c>
      <c r="P87" s="32">
        <v>1.1000197552525799</v>
      </c>
      <c r="Q87" s="32">
        <v>1.2055666166076922</v>
      </c>
      <c r="R87" s="32">
        <v>1.1228950205271291</v>
      </c>
      <c r="S87" s="32">
        <v>1.1021051722630055</v>
      </c>
      <c r="T87" s="32">
        <v>1.4880311862152888</v>
      </c>
      <c r="U87" s="32">
        <v>0.85711689469460517</v>
      </c>
      <c r="V87" s="32">
        <v>1.1506423323558168</v>
      </c>
      <c r="W87" s="32">
        <v>1.2152965769084545</v>
      </c>
      <c r="X87" s="32">
        <v>1.2122113482276249</v>
      </c>
      <c r="Y87" s="32">
        <v>1.2106234463302181</v>
      </c>
      <c r="Z87" s="32">
        <v>1.4757681053799843</v>
      </c>
      <c r="AA87" s="32">
        <v>1.7442736927604461</v>
      </c>
      <c r="AB87" s="32">
        <v>2.2572575829977786</v>
      </c>
      <c r="AC87" s="32">
        <v>2.3908326508557352</v>
      </c>
      <c r="AD87" s="32">
        <v>2.3787012216740169</v>
      </c>
      <c r="AE87" s="32">
        <v>2.6005544444157995</v>
      </c>
      <c r="AF87" s="32">
        <v>0.78698137625224351</v>
      </c>
      <c r="AG87" s="32">
        <v>0.97585824216570038</v>
      </c>
      <c r="AH87" s="32">
        <v>1.7671447490586585</v>
      </c>
      <c r="AI87" s="32">
        <v>2.0904310775139003</v>
      </c>
      <c r="AK87" s="3"/>
    </row>
    <row r="88" spans="1:38" x14ac:dyDescent="0.4">
      <c r="A88" s="104" t="s">
        <v>68</v>
      </c>
      <c r="B88" s="178">
        <v>0.2597651288496402</v>
      </c>
      <c r="C88" s="32">
        <v>0.26016987447474321</v>
      </c>
      <c r="D88" s="32">
        <v>0.29028591241167356</v>
      </c>
      <c r="E88" s="32">
        <v>0.30161001913568863</v>
      </c>
      <c r="F88" s="32">
        <v>0.1697826224937263</v>
      </c>
      <c r="G88" s="32">
        <v>0.19005750656789994</v>
      </c>
      <c r="H88" s="32">
        <v>0.15997725914520289</v>
      </c>
      <c r="I88" s="32">
        <v>0.12110229864888769</v>
      </c>
      <c r="J88" s="32">
        <v>8.9563583068394292E-2</v>
      </c>
      <c r="K88" s="32">
        <v>7.9676355604876625E-2</v>
      </c>
      <c r="L88" s="32">
        <v>6.5469907030320712E-2</v>
      </c>
      <c r="M88" s="32">
        <v>6.2295260334774866E-2</v>
      </c>
      <c r="N88" s="32">
        <v>0.11436751240695182</v>
      </c>
      <c r="O88" s="32">
        <v>5.9417906927929393E-2</v>
      </c>
      <c r="P88" s="32">
        <v>8.0747316780758888E-2</v>
      </c>
      <c r="Q88" s="32">
        <v>0.10462546170609668</v>
      </c>
      <c r="R88" s="32">
        <v>0.10882955266965344</v>
      </c>
      <c r="S88" s="32">
        <v>9.1685770690993512E-2</v>
      </c>
      <c r="T88" s="32">
        <v>0.22009028648995288</v>
      </c>
      <c r="U88" s="32">
        <v>8.2633884628443316E-2</v>
      </c>
      <c r="V88" s="32">
        <v>8.3284760426161827E-2</v>
      </c>
      <c r="W88" s="32">
        <v>6.3961855611908133E-2</v>
      </c>
      <c r="X88" s="32">
        <v>5.2323157204331006E-2</v>
      </c>
      <c r="Y88" s="32">
        <v>3.1756888243761605E-2</v>
      </c>
      <c r="Z88" s="32">
        <v>4.3175104517561715E-2</v>
      </c>
      <c r="AA88" s="32">
        <v>6.6314266999848298E-2</v>
      </c>
      <c r="AB88" s="32">
        <v>5.9470746321263146E-2</v>
      </c>
      <c r="AC88" s="183">
        <v>6.8783101530837679E-2</v>
      </c>
      <c r="AD88" s="183">
        <v>6.1427881673618144E-2</v>
      </c>
      <c r="AE88" s="183">
        <v>4.7308192871269181E-2</v>
      </c>
      <c r="AF88" s="183">
        <v>6.6626999395898168E-2</v>
      </c>
      <c r="AG88" s="183">
        <v>6.3533317162415656E-2</v>
      </c>
      <c r="AH88" s="183">
        <v>6.1454531927220925E-2</v>
      </c>
      <c r="AI88" s="183"/>
      <c r="AK88" s="3"/>
    </row>
    <row r="89" spans="1:38" ht="16.5" thickBot="1" x14ac:dyDescent="0.45">
      <c r="A89" s="140" t="s">
        <v>69</v>
      </c>
      <c r="B89" s="187">
        <v>0.44556143138999538</v>
      </c>
      <c r="C89" s="161">
        <v>0.14634614033511531</v>
      </c>
      <c r="D89" s="161">
        <v>0.10632993855721599</v>
      </c>
      <c r="E89" s="161">
        <v>8.1625509989738193E-2</v>
      </c>
      <c r="F89" s="161">
        <v>9.2735034218943968E-2</v>
      </c>
      <c r="G89" s="161">
        <v>3.9653784097167036E-2</v>
      </c>
      <c r="H89" s="161">
        <v>0.57962025049950816</v>
      </c>
      <c r="I89" s="161">
        <v>0.52770470083417897</v>
      </c>
      <c r="J89" s="161">
        <v>7.4463633810794806E-3</v>
      </c>
      <c r="K89" s="161">
        <v>6.1290644709972629E-3</v>
      </c>
      <c r="L89" s="161">
        <v>0.12661658862810041</v>
      </c>
      <c r="M89" s="161">
        <v>9.9021990579345062E-2</v>
      </c>
      <c r="N89" s="161">
        <v>9.7141004379985185E-2</v>
      </c>
      <c r="O89" s="161">
        <v>2.9266975219868025E-3</v>
      </c>
      <c r="P89" s="161">
        <v>8.4122583977776818E-4</v>
      </c>
      <c r="Q89" s="161">
        <v>0.17670571545067906</v>
      </c>
      <c r="R89" s="161">
        <v>0.10339165056051179</v>
      </c>
      <c r="S89" s="161">
        <v>7.213613936763065E-2</v>
      </c>
      <c r="T89" s="161">
        <v>0.10140188541253309</v>
      </c>
      <c r="U89" s="161">
        <v>0.14410997836566108</v>
      </c>
      <c r="V89" s="161">
        <v>9.3401669008899083E-2</v>
      </c>
      <c r="W89" s="161">
        <v>6.6309639478255911E-2</v>
      </c>
      <c r="X89" s="161">
        <v>5.323284731838248E-2</v>
      </c>
      <c r="Y89" s="161">
        <v>6.0940128487021489E-2</v>
      </c>
      <c r="Z89" s="161">
        <v>3.685134191541356E-2</v>
      </c>
      <c r="AA89" s="161">
        <v>3.5738772276341903E-2</v>
      </c>
      <c r="AB89" s="161">
        <v>6.8282516686063166E-2</v>
      </c>
      <c r="AC89" s="182">
        <v>0.10433573324204062</v>
      </c>
      <c r="AD89" s="182">
        <v>3.591407556185925E-2</v>
      </c>
      <c r="AE89" s="182">
        <v>6.3431010250776979E-2</v>
      </c>
      <c r="AF89" s="182">
        <v>4.4404875059113101E-3</v>
      </c>
      <c r="AG89" s="182">
        <v>4.4149430704193996E-3</v>
      </c>
      <c r="AH89" s="182">
        <v>4.9115644058692377E-3</v>
      </c>
      <c r="AI89" s="182"/>
      <c r="AK89" s="3"/>
    </row>
    <row r="90" spans="1:38" x14ac:dyDescent="0.4">
      <c r="A90" s="108" t="s">
        <v>20</v>
      </c>
      <c r="B90" s="178">
        <v>82.651453602765457</v>
      </c>
      <c r="C90" s="32">
        <v>80.830303834861922</v>
      </c>
      <c r="D90" s="32">
        <v>82.398317464035159</v>
      </c>
      <c r="E90" s="32">
        <v>79.512913144414796</v>
      </c>
      <c r="F90" s="32">
        <v>79.900238020005403</v>
      </c>
      <c r="G90" s="32">
        <v>77.491442563955559</v>
      </c>
      <c r="H90" s="32">
        <v>77.597992128795241</v>
      </c>
      <c r="I90" s="32">
        <v>83.52596326584549</v>
      </c>
      <c r="J90" s="32">
        <v>81.634372087393132</v>
      </c>
      <c r="K90" s="32">
        <v>79.203168882934307</v>
      </c>
      <c r="L90" s="32">
        <v>80.706960277082686</v>
      </c>
      <c r="M90" s="32">
        <v>80.462304974874399</v>
      </c>
      <c r="N90" s="32">
        <v>81.523158061689173</v>
      </c>
      <c r="O90" s="32">
        <v>83.731614626420864</v>
      </c>
      <c r="P90" s="32">
        <v>81.658560307031053</v>
      </c>
      <c r="Q90" s="32">
        <v>82.737597848637591</v>
      </c>
      <c r="R90" s="32">
        <v>74.994758480929463</v>
      </c>
      <c r="S90" s="32">
        <v>78.310387536268891</v>
      </c>
      <c r="T90" s="32">
        <v>74.693629577034741</v>
      </c>
      <c r="U90" s="32">
        <v>69.161509393899024</v>
      </c>
      <c r="V90" s="32">
        <v>71.271200756473689</v>
      </c>
      <c r="W90" s="32">
        <v>67.090292660405694</v>
      </c>
      <c r="X90" s="32">
        <v>60.92168966240515</v>
      </c>
      <c r="Y90" s="32">
        <v>64.925653235621837</v>
      </c>
      <c r="Z90" s="32">
        <v>62.856897455006859</v>
      </c>
      <c r="AA90" s="32">
        <v>64.224846611699121</v>
      </c>
      <c r="AB90" s="32">
        <v>61.062222085552584</v>
      </c>
      <c r="AC90" s="183">
        <v>61.501718279685193</v>
      </c>
      <c r="AD90" s="183">
        <v>60.999171042233428</v>
      </c>
      <c r="AE90" s="183">
        <v>59.821246345666175</v>
      </c>
      <c r="AF90" s="183">
        <v>50.755156722569197</v>
      </c>
      <c r="AG90" s="183">
        <v>54.554977502233989</v>
      </c>
      <c r="AH90" s="183">
        <v>56.943896833866731</v>
      </c>
      <c r="AI90" s="183">
        <v>54.159484604988762</v>
      </c>
      <c r="AK90" s="3"/>
    </row>
    <row r="91" spans="1:38" x14ac:dyDescent="0.4">
      <c r="A91" s="104" t="s">
        <v>60</v>
      </c>
      <c r="B91" s="178">
        <v>10.813786967952362</v>
      </c>
      <c r="C91" s="32">
        <v>11.210586744288744</v>
      </c>
      <c r="D91" s="32">
        <v>10.653433027155412</v>
      </c>
      <c r="E91" s="32">
        <v>9.4385130668323072</v>
      </c>
      <c r="F91" s="32">
        <v>9.6395033637811878</v>
      </c>
      <c r="G91" s="32">
        <v>9.9714532196989509</v>
      </c>
      <c r="H91" s="32">
        <v>10.761044010614411</v>
      </c>
      <c r="I91" s="32">
        <v>11.658041788291181</v>
      </c>
      <c r="J91" s="32">
        <v>10.43863809826742</v>
      </c>
      <c r="K91" s="32">
        <v>10.801399141557321</v>
      </c>
      <c r="L91" s="32">
        <v>10.912809976958446</v>
      </c>
      <c r="M91" s="32">
        <v>10.377844136888273</v>
      </c>
      <c r="N91" s="32">
        <v>11.279615497114726</v>
      </c>
      <c r="O91" s="32">
        <v>10.415452762755566</v>
      </c>
      <c r="P91" s="32">
        <v>10.02998810426851</v>
      </c>
      <c r="Q91" s="32">
        <v>11.39453196843052</v>
      </c>
      <c r="R91" s="32">
        <v>10.688770441547808</v>
      </c>
      <c r="S91" s="32">
        <v>11.455255646641417</v>
      </c>
      <c r="T91" s="32">
        <v>10.190030948000228</v>
      </c>
      <c r="U91" s="32">
        <v>8.781579115695811</v>
      </c>
      <c r="V91" s="32">
        <v>7.9963693710634667</v>
      </c>
      <c r="W91" s="32">
        <v>4.0900294272274129</v>
      </c>
      <c r="X91" s="32">
        <v>2.2812904622378891</v>
      </c>
      <c r="Y91" s="32">
        <v>4.0172694898236845</v>
      </c>
      <c r="Z91" s="32">
        <v>2.8281607341845438</v>
      </c>
      <c r="AA91" s="32">
        <v>2.2914537956312131</v>
      </c>
      <c r="AB91" s="32">
        <v>1.9162229038602594</v>
      </c>
      <c r="AC91" s="183">
        <v>1.1802925604045547</v>
      </c>
      <c r="AD91" s="183">
        <v>9.3194530070134034E-4</v>
      </c>
      <c r="AE91" s="183">
        <v>2.4787542455229814E-3</v>
      </c>
      <c r="AF91" s="183">
        <v>0</v>
      </c>
      <c r="AG91" s="183">
        <v>0</v>
      </c>
      <c r="AH91" s="183">
        <v>0</v>
      </c>
      <c r="AI91" s="183">
        <v>0</v>
      </c>
      <c r="AK91" s="3"/>
    </row>
    <row r="92" spans="1:38" x14ac:dyDescent="0.4">
      <c r="A92" s="104" t="s">
        <v>61</v>
      </c>
      <c r="B92" s="178">
        <v>57.464639539180304</v>
      </c>
      <c r="C92" s="32">
        <v>54.880220605927903</v>
      </c>
      <c r="D92" s="32">
        <v>53.881341261041683</v>
      </c>
      <c r="E92" s="32">
        <v>51.896306341563459</v>
      </c>
      <c r="F92" s="32">
        <v>50.420394339951635</v>
      </c>
      <c r="G92" s="32">
        <v>47.114441974851765</v>
      </c>
      <c r="H92" s="32">
        <v>46.660116271327311</v>
      </c>
      <c r="I92" s="32">
        <v>50.431956169100161</v>
      </c>
      <c r="J92" s="32">
        <v>52.11909119329983</v>
      </c>
      <c r="K92" s="32">
        <v>49.763498379691129</v>
      </c>
      <c r="L92" s="32">
        <v>51.250711584356665</v>
      </c>
      <c r="M92" s="32">
        <v>51.259018810975086</v>
      </c>
      <c r="N92" s="32">
        <v>49.328058846057807</v>
      </c>
      <c r="O92" s="32">
        <v>51.547746751566379</v>
      </c>
      <c r="P92" s="32">
        <v>51.512977203993294</v>
      </c>
      <c r="Q92" s="32">
        <v>51.108672713734357</v>
      </c>
      <c r="R92" s="32">
        <v>44.474472311192592</v>
      </c>
      <c r="S92" s="32">
        <v>44.882078031256952</v>
      </c>
      <c r="T92" s="32">
        <v>42.679080734832425</v>
      </c>
      <c r="U92" s="32">
        <v>38.890627256200538</v>
      </c>
      <c r="V92" s="32">
        <v>39.881129307135311</v>
      </c>
      <c r="W92" s="32">
        <v>38.774475928700618</v>
      </c>
      <c r="X92" s="32">
        <v>36.119624521210312</v>
      </c>
      <c r="Y92" s="32">
        <v>38.116725372050432</v>
      </c>
      <c r="Z92" s="32">
        <v>37.673405848992502</v>
      </c>
      <c r="AA92" s="32">
        <v>38.454345470442249</v>
      </c>
      <c r="AB92" s="32">
        <v>36.455181021820692</v>
      </c>
      <c r="AC92" s="183">
        <v>36.496683133080474</v>
      </c>
      <c r="AD92" s="183">
        <v>37.725747619049415</v>
      </c>
      <c r="AE92" s="183">
        <v>37.230178070498432</v>
      </c>
      <c r="AF92" s="183">
        <v>30.246126909003841</v>
      </c>
      <c r="AG92" s="183">
        <v>33.791844404152229</v>
      </c>
      <c r="AH92" s="183">
        <v>34.750861894995154</v>
      </c>
      <c r="AI92" s="183">
        <v>34.307108006193069</v>
      </c>
      <c r="AK92" s="3"/>
    </row>
    <row r="93" spans="1:38" x14ac:dyDescent="0.4">
      <c r="A93" s="104" t="s">
        <v>62</v>
      </c>
      <c r="B93" s="178">
        <v>14.373027095632795</v>
      </c>
      <c r="C93" s="32">
        <v>14.739496484645279</v>
      </c>
      <c r="D93" s="32">
        <v>17.863543175838053</v>
      </c>
      <c r="E93" s="32">
        <v>18.178093736019022</v>
      </c>
      <c r="F93" s="32">
        <v>19.840340316272584</v>
      </c>
      <c r="G93" s="32">
        <v>20.405547369404836</v>
      </c>
      <c r="H93" s="32">
        <v>20.176831846853521</v>
      </c>
      <c r="I93" s="32">
        <v>21.435965308454143</v>
      </c>
      <c r="J93" s="32">
        <v>19.076642795825883</v>
      </c>
      <c r="K93" s="32">
        <v>18.638271361685863</v>
      </c>
      <c r="L93" s="32">
        <v>18.543438715767579</v>
      </c>
      <c r="M93" s="32">
        <v>18.825442027011039</v>
      </c>
      <c r="N93" s="32">
        <v>20.915483718516644</v>
      </c>
      <c r="O93" s="32">
        <v>21.768415112098921</v>
      </c>
      <c r="P93" s="32">
        <v>20.11559499876925</v>
      </c>
      <c r="Q93" s="32">
        <v>20.23439316647271</v>
      </c>
      <c r="R93" s="32">
        <v>19.831515728189061</v>
      </c>
      <c r="S93" s="32">
        <v>21.97305385837052</v>
      </c>
      <c r="T93" s="32">
        <v>21.824517894202092</v>
      </c>
      <c r="U93" s="32">
        <v>21.489303022002666</v>
      </c>
      <c r="V93" s="32">
        <v>23.393702078274906</v>
      </c>
      <c r="W93" s="32">
        <v>24.225787304477659</v>
      </c>
      <c r="X93" s="32">
        <v>22.520774678956947</v>
      </c>
      <c r="Y93" s="32">
        <v>22.79165837374773</v>
      </c>
      <c r="Z93" s="32">
        <v>22.35533087182981</v>
      </c>
      <c r="AA93" s="32">
        <v>23.479047345625652</v>
      </c>
      <c r="AB93" s="32">
        <v>22.690818159871633</v>
      </c>
      <c r="AC93" s="183">
        <v>23.824742586200166</v>
      </c>
      <c r="AD93" s="183">
        <v>23.272491477883314</v>
      </c>
      <c r="AE93" s="183">
        <v>22.58858952092222</v>
      </c>
      <c r="AF93" s="183">
        <v>20.509029813565352</v>
      </c>
      <c r="AG93" s="183">
        <v>20.763133098081759</v>
      </c>
      <c r="AH93" s="183">
        <v>22.193034938871577</v>
      </c>
      <c r="AI93" s="183">
        <v>19.852376598795697</v>
      </c>
      <c r="AK93" s="3"/>
    </row>
    <row r="94" spans="1:38" x14ac:dyDescent="0.4">
      <c r="A94" s="104" t="s">
        <v>63</v>
      </c>
      <c r="B94" s="178">
        <v>0</v>
      </c>
      <c r="C94" s="32">
        <v>0</v>
      </c>
      <c r="D94" s="32">
        <v>0</v>
      </c>
      <c r="E94" s="32">
        <v>0</v>
      </c>
      <c r="F94" s="32">
        <v>0</v>
      </c>
      <c r="G94" s="32">
        <v>0</v>
      </c>
      <c r="H94" s="32">
        <v>0</v>
      </c>
      <c r="I94" s="32">
        <v>0</v>
      </c>
      <c r="J94" s="32">
        <v>0</v>
      </c>
      <c r="K94" s="32">
        <v>0</v>
      </c>
      <c r="L94" s="32">
        <v>0</v>
      </c>
      <c r="M94" s="32">
        <v>0</v>
      </c>
      <c r="N94" s="32">
        <v>0</v>
      </c>
      <c r="O94" s="32">
        <v>0</v>
      </c>
      <c r="P94" s="32">
        <v>0</v>
      </c>
      <c r="Q94" s="32">
        <v>0</v>
      </c>
      <c r="R94" s="32">
        <v>0</v>
      </c>
      <c r="S94" s="32">
        <v>0</v>
      </c>
      <c r="T94" s="32">
        <v>0</v>
      </c>
      <c r="U94" s="32">
        <v>0</v>
      </c>
      <c r="V94" s="32">
        <v>0</v>
      </c>
      <c r="W94" s="32">
        <v>0</v>
      </c>
      <c r="X94" s="32">
        <v>0</v>
      </c>
      <c r="Y94" s="32">
        <v>0</v>
      </c>
      <c r="Z94" s="32">
        <v>0</v>
      </c>
      <c r="AA94" s="32">
        <v>0</v>
      </c>
      <c r="AB94" s="32">
        <v>0</v>
      </c>
      <c r="AC94" s="183">
        <v>0</v>
      </c>
      <c r="AD94" s="183">
        <v>0</v>
      </c>
      <c r="AE94" s="183">
        <v>0</v>
      </c>
      <c r="AF94" s="183">
        <v>0</v>
      </c>
      <c r="AG94" s="183">
        <v>0</v>
      </c>
      <c r="AH94" s="183">
        <v>0</v>
      </c>
      <c r="AI94" s="183">
        <v>0</v>
      </c>
      <c r="AK94" s="3"/>
    </row>
    <row r="95" spans="1:38" x14ac:dyDescent="0.4">
      <c r="A95" s="1067" t="s">
        <v>1063</v>
      </c>
      <c r="B95" s="257"/>
      <c r="C95" s="1068"/>
      <c r="D95" s="1068"/>
      <c r="E95" s="1068"/>
      <c r="F95" s="1068"/>
      <c r="G95" s="1068"/>
      <c r="H95" s="1068"/>
      <c r="I95" s="1068"/>
      <c r="J95" s="1068"/>
      <c r="K95" s="1068"/>
      <c r="L95" s="1068"/>
      <c r="M95" s="1068"/>
      <c r="N95" s="1068"/>
      <c r="O95" s="1068"/>
      <c r="P95" s="1068"/>
      <c r="Q95" s="1068"/>
      <c r="R95" s="1068"/>
      <c r="S95" s="1068"/>
      <c r="T95" s="1068"/>
      <c r="U95" s="1068"/>
      <c r="V95" s="1068"/>
      <c r="W95" s="1068"/>
      <c r="X95" s="1068"/>
      <c r="Y95" s="1068"/>
      <c r="Z95" s="1068"/>
      <c r="AA95" s="1068"/>
      <c r="AB95" s="1068"/>
      <c r="AC95" s="1069"/>
      <c r="AD95" s="1069"/>
      <c r="AE95" s="1069"/>
      <c r="AF95" s="1069"/>
      <c r="AG95" s="1069"/>
      <c r="AH95" s="1069"/>
      <c r="AI95" s="1069"/>
      <c r="AK95" s="3"/>
    </row>
    <row r="96" spans="1:38" x14ac:dyDescent="0.4">
      <c r="A96" s="196"/>
      <c r="B96" s="32"/>
      <c r="C96" s="198"/>
      <c r="D96" s="198"/>
      <c r="E96" s="198"/>
      <c r="F96" s="198"/>
      <c r="G96" s="198"/>
      <c r="H96" s="198"/>
      <c r="I96" s="198"/>
      <c r="J96" s="198"/>
      <c r="K96" s="198"/>
      <c r="L96" s="198"/>
      <c r="M96" s="198"/>
      <c r="N96" s="198"/>
      <c r="O96" s="198"/>
      <c r="P96" s="198"/>
      <c r="Q96" s="198"/>
      <c r="R96" s="198"/>
      <c r="S96" s="198"/>
      <c r="T96" s="198"/>
      <c r="U96" s="198"/>
      <c r="V96" s="198"/>
      <c r="W96" s="198"/>
      <c r="X96" s="198"/>
      <c r="Y96" s="198"/>
      <c r="Z96" s="198"/>
      <c r="AA96" s="198"/>
      <c r="AB96" s="198"/>
      <c r="AC96" s="1347"/>
      <c r="AD96" s="1347"/>
      <c r="AE96" s="1347"/>
      <c r="AF96" s="1347"/>
      <c r="AG96" s="1347"/>
      <c r="AH96" s="1347"/>
      <c r="AI96" s="1347"/>
      <c r="AK96" s="3"/>
    </row>
    <row r="97" spans="1:37" ht="17" x14ac:dyDescent="0.45">
      <c r="A97" s="1389" t="s">
        <v>1557</v>
      </c>
      <c r="AK97" s="3"/>
    </row>
    <row r="98" spans="1:37" x14ac:dyDescent="0.4">
      <c r="A98" s="108"/>
      <c r="AK98" s="3"/>
    </row>
    <row r="99" spans="1:37" ht="17" x14ac:dyDescent="0.45">
      <c r="A99" s="42" t="s">
        <v>1558</v>
      </c>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K99" s="3"/>
    </row>
    <row r="100" spans="1:37" ht="16.5" thickBot="1" x14ac:dyDescent="0.45">
      <c r="A100" s="93" t="s">
        <v>668</v>
      </c>
      <c r="B100" s="975" t="s">
        <v>698</v>
      </c>
      <c r="C100" s="975" t="s">
        <v>392</v>
      </c>
      <c r="D100" s="975" t="s">
        <v>393</v>
      </c>
      <c r="E100" s="975" t="s">
        <v>394</v>
      </c>
      <c r="F100" s="975" t="s">
        <v>395</v>
      </c>
      <c r="G100" s="975" t="s">
        <v>396</v>
      </c>
      <c r="H100" s="975" t="s">
        <v>397</v>
      </c>
      <c r="I100" s="975" t="s">
        <v>398</v>
      </c>
      <c r="J100" s="975" t="s">
        <v>399</v>
      </c>
      <c r="K100" s="975" t="s">
        <v>400</v>
      </c>
      <c r="L100" s="975" t="s">
        <v>401</v>
      </c>
      <c r="M100" s="975" t="s">
        <v>402</v>
      </c>
      <c r="N100" s="975" t="s">
        <v>403</v>
      </c>
      <c r="O100" s="975" t="s">
        <v>404</v>
      </c>
      <c r="P100" s="975" t="s">
        <v>405</v>
      </c>
      <c r="Q100" s="975" t="s">
        <v>406</v>
      </c>
      <c r="R100" s="975" t="s">
        <v>407</v>
      </c>
      <c r="S100" s="975" t="s">
        <v>408</v>
      </c>
      <c r="T100" s="975" t="s">
        <v>409</v>
      </c>
      <c r="U100" s="975" t="s">
        <v>410</v>
      </c>
      <c r="V100" s="975" t="s">
        <v>411</v>
      </c>
      <c r="W100" s="975" t="s">
        <v>412</v>
      </c>
      <c r="X100" s="975" t="s">
        <v>413</v>
      </c>
      <c r="Y100" s="975" t="s">
        <v>414</v>
      </c>
      <c r="Z100" s="975" t="s">
        <v>415</v>
      </c>
      <c r="AA100" s="975" t="s">
        <v>416</v>
      </c>
      <c r="AB100" s="975" t="s">
        <v>417</v>
      </c>
      <c r="AC100" s="975" t="s">
        <v>418</v>
      </c>
      <c r="AD100" s="975" t="s">
        <v>419</v>
      </c>
      <c r="AE100" s="975" t="s">
        <v>420</v>
      </c>
      <c r="AF100" s="975" t="s">
        <v>421</v>
      </c>
      <c r="AG100" s="975" t="s">
        <v>422</v>
      </c>
      <c r="AH100" s="975" t="s">
        <v>423</v>
      </c>
      <c r="AI100" s="975" t="s">
        <v>424</v>
      </c>
      <c r="AK100" s="3"/>
    </row>
    <row r="101" spans="1:37" ht="17" x14ac:dyDescent="0.45">
      <c r="A101" s="245" t="s">
        <v>452</v>
      </c>
      <c r="B101" s="123" t="s">
        <v>458</v>
      </c>
      <c r="C101" s="189">
        <v>14.295364882071031</v>
      </c>
      <c r="D101" s="189">
        <v>16.396053585147094</v>
      </c>
      <c r="E101" s="189">
        <v>16.518072434056428</v>
      </c>
      <c r="F101" s="189">
        <v>16.3428113958593</v>
      </c>
      <c r="G101" s="189">
        <v>14.751248409471906</v>
      </c>
      <c r="H101" s="189">
        <v>14.548991126703285</v>
      </c>
      <c r="I101" s="189">
        <v>14.378872297176235</v>
      </c>
      <c r="J101" s="189">
        <v>13.187544748996457</v>
      </c>
      <c r="K101" s="189">
        <v>14.010791823643139</v>
      </c>
      <c r="L101" s="189">
        <v>15.683527402244092</v>
      </c>
      <c r="M101" s="189">
        <v>16.028702298201722</v>
      </c>
      <c r="N101" s="189">
        <v>15.947149742292991</v>
      </c>
      <c r="O101" s="189">
        <v>16.423981121913869</v>
      </c>
      <c r="P101" s="189">
        <v>15.023642667589684</v>
      </c>
      <c r="Q101" s="189">
        <v>14.927432156389226</v>
      </c>
      <c r="R101" s="189">
        <v>12.839080399416046</v>
      </c>
      <c r="S101" s="189">
        <v>13.515090275824232</v>
      </c>
      <c r="T101" s="189">
        <v>14.388754011560863</v>
      </c>
      <c r="U101" s="189">
        <v>13.844098792417579</v>
      </c>
      <c r="V101" s="189">
        <v>13.58211312760811</v>
      </c>
      <c r="W101" s="189">
        <v>13.600460828624321</v>
      </c>
      <c r="X101" s="189">
        <v>11.771252865487984</v>
      </c>
      <c r="Y101" s="189">
        <v>12.275948634716979</v>
      </c>
      <c r="Z101" s="189">
        <v>13.597318047079337</v>
      </c>
      <c r="AA101" s="189">
        <v>13.519448387674942</v>
      </c>
      <c r="AB101" s="189">
        <v>11.310053467582465</v>
      </c>
      <c r="AC101" s="189">
        <v>12.297294972031565</v>
      </c>
      <c r="AD101" s="189">
        <v>13.287752133780446</v>
      </c>
      <c r="AE101" s="189">
        <v>13.607792464408146</v>
      </c>
      <c r="AF101" s="189">
        <v>12.105531353840195</v>
      </c>
      <c r="AG101" s="189">
        <v>12.481778897291681</v>
      </c>
      <c r="AH101" s="189">
        <v>12.880271418154674</v>
      </c>
      <c r="AI101" s="189">
        <v>11.712554814178027</v>
      </c>
      <c r="AK101" s="3"/>
    </row>
    <row r="102" spans="1:37" x14ac:dyDescent="0.4">
      <c r="A102" s="104" t="s">
        <v>60</v>
      </c>
      <c r="B102" s="198" t="s">
        <v>458</v>
      </c>
      <c r="C102" s="198">
        <v>1.1558770081251947E-2</v>
      </c>
      <c r="D102" s="198">
        <v>2.5059396449863026E-2</v>
      </c>
      <c r="E102" s="198">
        <v>1.8514947762586775E-2</v>
      </c>
      <c r="F102" s="198">
        <v>7.9416925179722382E-3</v>
      </c>
      <c r="G102" s="198">
        <v>8.3353150486474466E-3</v>
      </c>
      <c r="H102" s="198">
        <v>9.3535092005508254E-3</v>
      </c>
      <c r="I102" s="198">
        <v>7.5009665665182745E-3</v>
      </c>
      <c r="J102" s="198">
        <v>7.4530151221721694E-3</v>
      </c>
      <c r="K102" s="198">
        <v>1.1620227577947674E-2</v>
      </c>
      <c r="L102" s="198">
        <v>4.5765940200198259E-3</v>
      </c>
      <c r="M102" s="198">
        <v>4.2892444550980255E-3</v>
      </c>
      <c r="N102" s="198">
        <v>2.4756980392554646E-2</v>
      </c>
      <c r="O102" s="198">
        <v>1.5844497901523053E-2</v>
      </c>
      <c r="P102" s="198">
        <v>8.1640089319647106E-3</v>
      </c>
      <c r="Q102" s="198">
        <v>8.2114346337846898E-3</v>
      </c>
      <c r="R102" s="198">
        <v>3.4671576570533048E-3</v>
      </c>
      <c r="S102" s="198">
        <v>5.51199431803737E-3</v>
      </c>
      <c r="T102" s="198">
        <v>0</v>
      </c>
      <c r="U102" s="198">
        <v>0</v>
      </c>
      <c r="V102" s="198">
        <v>0</v>
      </c>
      <c r="W102" s="198">
        <v>0</v>
      </c>
      <c r="X102" s="198">
        <v>0</v>
      </c>
      <c r="Y102" s="198">
        <v>0</v>
      </c>
      <c r="Z102" s="198">
        <v>0</v>
      </c>
      <c r="AA102" s="198">
        <v>0</v>
      </c>
      <c r="AB102" s="198">
        <v>0</v>
      </c>
      <c r="AC102" s="198">
        <v>0</v>
      </c>
      <c r="AD102" s="198">
        <v>0</v>
      </c>
      <c r="AE102" s="198">
        <v>0</v>
      </c>
      <c r="AF102" s="198">
        <v>0</v>
      </c>
      <c r="AG102" s="198">
        <v>0</v>
      </c>
      <c r="AH102" s="198">
        <v>0</v>
      </c>
      <c r="AI102" s="198">
        <v>0</v>
      </c>
      <c r="AK102" s="3"/>
    </row>
    <row r="103" spans="1:37" x14ac:dyDescent="0.4">
      <c r="A103" s="104" t="s">
        <v>68</v>
      </c>
      <c r="B103" s="198" t="s">
        <v>458</v>
      </c>
      <c r="C103" s="198">
        <v>8.2991671049315485</v>
      </c>
      <c r="D103" s="198">
        <v>9.4247524614953342</v>
      </c>
      <c r="E103" s="198">
        <v>9.4329630138104132</v>
      </c>
      <c r="F103" s="198">
        <v>9.4649915647332072</v>
      </c>
      <c r="G103" s="198">
        <v>8.6375010354646857</v>
      </c>
      <c r="H103" s="198">
        <v>7.9046907491088074</v>
      </c>
      <c r="I103" s="198">
        <v>7.8918941225276473</v>
      </c>
      <c r="J103" s="198">
        <v>7.3082791876989504</v>
      </c>
      <c r="K103" s="198">
        <v>7.6723543092739614</v>
      </c>
      <c r="L103" s="198">
        <v>8.8958454972813215</v>
      </c>
      <c r="M103" s="198">
        <v>9.6853388019566644</v>
      </c>
      <c r="N103" s="198">
        <v>9.5864813859571676</v>
      </c>
      <c r="O103" s="198">
        <v>9.047729951657745</v>
      </c>
      <c r="P103" s="198">
        <v>8.4109995971210072</v>
      </c>
      <c r="Q103" s="198">
        <v>8.0033531210794511</v>
      </c>
      <c r="R103" s="198">
        <v>6.7558650997916931</v>
      </c>
      <c r="S103" s="198">
        <v>6.8042109714579002</v>
      </c>
      <c r="T103" s="198">
        <v>6.7637008749228187</v>
      </c>
      <c r="U103" s="198">
        <v>6.102748094674828</v>
      </c>
      <c r="V103" s="198">
        <v>6.242562648050189</v>
      </c>
      <c r="W103" s="198">
        <v>6.0361087360415002</v>
      </c>
      <c r="X103" s="198">
        <v>5.0559635879423057</v>
      </c>
      <c r="Y103" s="198">
        <v>5.4126793317645507</v>
      </c>
      <c r="Z103" s="198">
        <v>6.1810174646549756</v>
      </c>
      <c r="AA103" s="198">
        <v>6.1245135129384449</v>
      </c>
      <c r="AB103" s="198">
        <v>4.7036602528003799</v>
      </c>
      <c r="AC103" s="198">
        <v>5.1653537716440745</v>
      </c>
      <c r="AD103" s="198">
        <v>5.622631593681084</v>
      </c>
      <c r="AE103" s="198">
        <v>5.5677913021508978</v>
      </c>
      <c r="AF103" s="198">
        <v>4.9853828993024534</v>
      </c>
      <c r="AG103" s="198">
        <v>5.2636707954467061</v>
      </c>
      <c r="AH103" s="198">
        <v>5.1966844855582472</v>
      </c>
      <c r="AI103" s="198">
        <v>5.222745014529794</v>
      </c>
      <c r="AK103" s="3"/>
    </row>
    <row r="104" spans="1:37" x14ac:dyDescent="0.4">
      <c r="A104" s="104" t="s">
        <v>72</v>
      </c>
      <c r="B104" s="198" t="s">
        <v>458</v>
      </c>
      <c r="C104" s="198">
        <v>6.2587066362622748E-2</v>
      </c>
      <c r="D104" s="198">
        <v>0.10767903464259422</v>
      </c>
      <c r="E104" s="198">
        <v>0.10372616729337596</v>
      </c>
      <c r="F104" s="198">
        <v>9.0623144043189413E-2</v>
      </c>
      <c r="G104" s="198">
        <v>5.3949319192108727E-2</v>
      </c>
      <c r="H104" s="198">
        <v>6.1489047654506544E-2</v>
      </c>
      <c r="I104" s="198">
        <v>7.8691340748326843E-2</v>
      </c>
      <c r="J104" s="198">
        <v>8.1619390636636688E-2</v>
      </c>
      <c r="K104" s="198">
        <v>7.4152863421446599E-2</v>
      </c>
      <c r="L104" s="198">
        <v>7.9130548231573325E-2</v>
      </c>
      <c r="M104" s="198">
        <v>8.1692591883844423E-2</v>
      </c>
      <c r="N104" s="198">
        <v>5.2778099236784795E-2</v>
      </c>
      <c r="O104" s="198">
        <v>0.10116412364110483</v>
      </c>
      <c r="P104" s="198">
        <v>0.11595077557706951</v>
      </c>
      <c r="Q104" s="198">
        <v>0.12414931526433703</v>
      </c>
      <c r="R104" s="198">
        <v>9.8821683730456952E-2</v>
      </c>
      <c r="S104" s="198">
        <v>6.7052342442295243E-2</v>
      </c>
      <c r="T104" s="198">
        <v>2.605964400595754E-2</v>
      </c>
      <c r="U104" s="198">
        <v>4.1212302177960937E-2</v>
      </c>
      <c r="V104" s="198">
        <v>4.1651509661207418E-2</v>
      </c>
      <c r="W104" s="198">
        <v>2.554723527550332E-2</v>
      </c>
      <c r="X104" s="198">
        <v>1.2078205789278073E-2</v>
      </c>
      <c r="Y104" s="198">
        <v>1.2444212025316804E-2</v>
      </c>
      <c r="Z104" s="198">
        <v>2.1740770420700533E-2</v>
      </c>
      <c r="AA104" s="198">
        <v>1.8373513049144224E-2</v>
      </c>
      <c r="AB104" s="198">
        <v>2.1667569173492787E-2</v>
      </c>
      <c r="AC104" s="198">
        <v>1.5079456924795655E-2</v>
      </c>
      <c r="AD104" s="198">
        <v>1.4640249441549178E-2</v>
      </c>
      <c r="AE104" s="198">
        <v>1.7641500577066763E-2</v>
      </c>
      <c r="AF104" s="198">
        <v>2.0276745476545611E-2</v>
      </c>
      <c r="AG104" s="198">
        <v>1.5591865655249877E-2</v>
      </c>
      <c r="AH104" s="198">
        <v>1.3615431980640738E-2</v>
      </c>
      <c r="AI104" s="198">
        <v>2.5034826545049099E-2</v>
      </c>
      <c r="AK104" s="3"/>
    </row>
    <row r="105" spans="1:37" x14ac:dyDescent="0.4">
      <c r="A105" s="104" t="s">
        <v>73</v>
      </c>
      <c r="B105" s="198" t="s">
        <v>458</v>
      </c>
      <c r="C105" s="198">
        <v>0.2493209179413225</v>
      </c>
      <c r="D105" s="198">
        <v>0.24730874407647446</v>
      </c>
      <c r="E105" s="198">
        <v>0.27258667825362748</v>
      </c>
      <c r="F105" s="198">
        <v>0.28183010194527297</v>
      </c>
      <c r="G105" s="198">
        <v>0.29428042773402002</v>
      </c>
      <c r="H105" s="198">
        <v>0.34892352425129847</v>
      </c>
      <c r="I105" s="198">
        <v>0.32754417693728843</v>
      </c>
      <c r="J105" s="198">
        <v>0.29987678629562847</v>
      </c>
      <c r="K105" s="198">
        <v>0.30880580782089145</v>
      </c>
      <c r="L105" s="198">
        <v>0.38206151258801396</v>
      </c>
      <c r="M105" s="198">
        <v>0.34665982865334449</v>
      </c>
      <c r="N105" s="198">
        <v>0.28057249327974298</v>
      </c>
      <c r="O105" s="198">
        <v>0.39696417527454442</v>
      </c>
      <c r="P105" s="198">
        <v>0.33603303542961593</v>
      </c>
      <c r="Q105" s="198">
        <v>0.41004330539605649</v>
      </c>
      <c r="R105" s="198">
        <v>0.4190980877878725</v>
      </c>
      <c r="S105" s="198">
        <v>0.43330906570836142</v>
      </c>
      <c r="T105" s="198">
        <v>0.4637431954141874</v>
      </c>
      <c r="U105" s="198">
        <v>0.43343482657491439</v>
      </c>
      <c r="V105" s="198">
        <v>0.40683640329895493</v>
      </c>
      <c r="W105" s="198">
        <v>0.48046939066573641</v>
      </c>
      <c r="X105" s="198">
        <v>0.37589923012691689</v>
      </c>
      <c r="Y105" s="198">
        <v>0.45022390225973991</v>
      </c>
      <c r="Z105" s="198">
        <v>0.51121792253794496</v>
      </c>
      <c r="AA105" s="198">
        <v>0.47801705376795289</v>
      </c>
      <c r="AB105" s="198">
        <v>0.4748101516708515</v>
      </c>
      <c r="AC105" s="198">
        <v>0.51159520513760393</v>
      </c>
      <c r="AD105" s="198">
        <v>0.54347558480878932</v>
      </c>
      <c r="AE105" s="198">
        <v>0.65074960397849846</v>
      </c>
      <c r="AF105" s="198">
        <v>0.54309830220913047</v>
      </c>
      <c r="AG105" s="198">
        <v>0.50832542260722602</v>
      </c>
      <c r="AH105" s="198">
        <v>0.49876759674919796</v>
      </c>
      <c r="AI105" s="198">
        <v>0.47958906459986539</v>
      </c>
      <c r="AK105" s="3"/>
    </row>
    <row r="106" spans="1:37" x14ac:dyDescent="0.4">
      <c r="A106" s="104" t="s">
        <v>62</v>
      </c>
      <c r="B106" s="198" t="s">
        <v>458</v>
      </c>
      <c r="C106" s="198">
        <v>5.6727310227542871</v>
      </c>
      <c r="D106" s="198">
        <v>6.5912539484828301</v>
      </c>
      <c r="E106" s="198">
        <v>6.6902816269364269</v>
      </c>
      <c r="F106" s="198">
        <v>6.4974248926196569</v>
      </c>
      <c r="G106" s="198">
        <v>5.7571823120324437</v>
      </c>
      <c r="H106" s="198">
        <v>6.2245342964881214</v>
      </c>
      <c r="I106" s="198">
        <v>6.0732416903964541</v>
      </c>
      <c r="J106" s="198">
        <v>5.490316369243069</v>
      </c>
      <c r="K106" s="198">
        <v>5.9438586155488924</v>
      </c>
      <c r="L106" s="198">
        <v>6.3219132501231661</v>
      </c>
      <c r="M106" s="198">
        <v>5.9107218312527738</v>
      </c>
      <c r="N106" s="198">
        <v>6.0025607834267412</v>
      </c>
      <c r="O106" s="198">
        <v>6.8622783734389534</v>
      </c>
      <c r="P106" s="198">
        <v>6.152495250530027</v>
      </c>
      <c r="Q106" s="198">
        <v>6.3816749800155987</v>
      </c>
      <c r="R106" s="198">
        <v>5.5618283704489695</v>
      </c>
      <c r="S106" s="198">
        <v>6.2050059018976373</v>
      </c>
      <c r="T106" s="198">
        <v>7.1352502972178993</v>
      </c>
      <c r="U106" s="198">
        <v>7.2667035689898762</v>
      </c>
      <c r="V106" s="198">
        <v>6.8910625665977587</v>
      </c>
      <c r="W106" s="198">
        <v>7.058335466641581</v>
      </c>
      <c r="X106" s="198">
        <v>6.3273118416294825</v>
      </c>
      <c r="Y106" s="198">
        <v>6.4006011886673706</v>
      </c>
      <c r="Z106" s="198">
        <v>6.8833418894657168</v>
      </c>
      <c r="AA106" s="198">
        <v>6.8985443079193987</v>
      </c>
      <c r="AB106" s="198">
        <v>6.1099154939377405</v>
      </c>
      <c r="AC106" s="198">
        <v>6.6052665383250915</v>
      </c>
      <c r="AD106" s="198">
        <v>7.1070047058490236</v>
      </c>
      <c r="AE106" s="198">
        <v>7.371610057701683</v>
      </c>
      <c r="AF106" s="198">
        <v>6.5567734068520656</v>
      </c>
      <c r="AG106" s="198">
        <v>6.694190813582499</v>
      </c>
      <c r="AH106" s="198">
        <v>7.1712039038665898</v>
      </c>
      <c r="AI106" s="198">
        <v>5.9851859085033192</v>
      </c>
      <c r="AK106" s="3"/>
    </row>
    <row r="107" spans="1:37" ht="16.5" thickBot="1" x14ac:dyDescent="0.45">
      <c r="A107" s="138" t="s">
        <v>63</v>
      </c>
      <c r="B107" s="161" t="s">
        <v>458</v>
      </c>
      <c r="C107" s="161">
        <v>0</v>
      </c>
      <c r="D107" s="161">
        <v>0</v>
      </c>
      <c r="E107" s="161">
        <v>0</v>
      </c>
      <c r="F107" s="161">
        <v>0</v>
      </c>
      <c r="G107" s="161">
        <v>0</v>
      </c>
      <c r="H107" s="161">
        <v>0</v>
      </c>
      <c r="I107" s="161">
        <v>0</v>
      </c>
      <c r="J107" s="161">
        <v>0</v>
      </c>
      <c r="K107" s="161">
        <v>0</v>
      </c>
      <c r="L107" s="161">
        <v>0</v>
      </c>
      <c r="M107" s="161">
        <v>0</v>
      </c>
      <c r="N107" s="161">
        <v>0</v>
      </c>
      <c r="O107" s="161">
        <v>0</v>
      </c>
      <c r="P107" s="161">
        <v>0</v>
      </c>
      <c r="Q107" s="161">
        <v>0</v>
      </c>
      <c r="R107" s="161">
        <v>0</v>
      </c>
      <c r="S107" s="161">
        <v>0</v>
      </c>
      <c r="T107" s="161">
        <v>0</v>
      </c>
      <c r="U107" s="161">
        <v>0</v>
      </c>
      <c r="V107" s="161">
        <v>0</v>
      </c>
      <c r="W107" s="161">
        <v>0</v>
      </c>
      <c r="X107" s="161">
        <v>0</v>
      </c>
      <c r="Y107" s="161">
        <v>0</v>
      </c>
      <c r="Z107" s="161">
        <v>0</v>
      </c>
      <c r="AA107" s="161">
        <v>0</v>
      </c>
      <c r="AB107" s="161">
        <v>0</v>
      </c>
      <c r="AC107" s="161">
        <v>0</v>
      </c>
      <c r="AD107" s="161">
        <v>0</v>
      </c>
      <c r="AE107" s="161">
        <v>0</v>
      </c>
      <c r="AF107" s="161">
        <v>0</v>
      </c>
      <c r="AG107" s="161">
        <v>0</v>
      </c>
      <c r="AH107" s="161">
        <v>0</v>
      </c>
      <c r="AI107" s="161">
        <v>0</v>
      </c>
      <c r="AK107" s="3"/>
    </row>
    <row r="108" spans="1:37" ht="17" x14ac:dyDescent="0.45">
      <c r="A108" s="251" t="s">
        <v>451</v>
      </c>
      <c r="B108" s="175" t="s">
        <v>458</v>
      </c>
      <c r="C108" s="190">
        <v>9.1714074410264743</v>
      </c>
      <c r="D108" s="190">
        <v>8.9309955359805997</v>
      </c>
      <c r="E108" s="190">
        <v>7.9899165283760167</v>
      </c>
      <c r="F108" s="190">
        <v>8.8622762327746258</v>
      </c>
      <c r="G108" s="190">
        <v>8.9583234115736357</v>
      </c>
      <c r="H108" s="190">
        <v>9.0613426494264466</v>
      </c>
      <c r="I108" s="190">
        <v>9.4523565880490032</v>
      </c>
      <c r="J108" s="190">
        <v>8.0754548915353475</v>
      </c>
      <c r="K108" s="190">
        <v>6.195992559435517</v>
      </c>
      <c r="L108" s="190">
        <v>6.7932535616058303</v>
      </c>
      <c r="M108" s="190">
        <v>5.7670060508675824</v>
      </c>
      <c r="N108" s="190">
        <v>5.8880337932122524</v>
      </c>
      <c r="O108" s="190">
        <v>7.1132084080597142</v>
      </c>
      <c r="P108" s="190">
        <v>6.5373600288097862</v>
      </c>
      <c r="Q108" s="190">
        <v>6.6865712143985894</v>
      </c>
      <c r="R108" s="190">
        <v>5.0160944446169093</v>
      </c>
      <c r="S108" s="190">
        <v>5.3484329327599989</v>
      </c>
      <c r="T108" s="190">
        <v>5.5954704389832894</v>
      </c>
      <c r="U108" s="190">
        <v>5.7930992378099821</v>
      </c>
      <c r="V108" s="190">
        <v>6.7205520029870884</v>
      </c>
      <c r="W108" s="190">
        <v>6.3331977627934162</v>
      </c>
      <c r="X108" s="190">
        <v>5.238030122354929</v>
      </c>
      <c r="Y108" s="190">
        <v>6.7631182630681863</v>
      </c>
      <c r="Z108" s="190">
        <v>7.1468891863233202</v>
      </c>
      <c r="AA108" s="190">
        <v>7.5477779593100482</v>
      </c>
      <c r="AB108" s="190">
        <v>6.9658066582217053</v>
      </c>
      <c r="AC108" s="190">
        <v>7.3094808835971969</v>
      </c>
      <c r="AD108" s="190">
        <v>7.8497504734391494</v>
      </c>
      <c r="AE108" s="190">
        <v>8.0270134847250123</v>
      </c>
      <c r="AF108" s="190">
        <v>7.2217716233752993</v>
      </c>
      <c r="AG108" s="190">
        <v>7.3504067174673029</v>
      </c>
      <c r="AH108" s="190">
        <v>8.0934423507441764</v>
      </c>
      <c r="AI108" s="190">
        <v>7.5112031192163426</v>
      </c>
      <c r="AK108" s="3"/>
    </row>
    <row r="109" spans="1:37" x14ac:dyDescent="0.4">
      <c r="A109" s="104" t="s">
        <v>60</v>
      </c>
      <c r="B109" s="32" t="s">
        <v>458</v>
      </c>
      <c r="C109" s="32">
        <v>5.2785050037717225E-2</v>
      </c>
      <c r="D109" s="32">
        <v>0.11436373206076487</v>
      </c>
      <c r="E109" s="32">
        <v>8.4516419579476434E-2</v>
      </c>
      <c r="F109" s="32">
        <v>4.4779663836277198E-2</v>
      </c>
      <c r="G109" s="32">
        <v>5.5856191647832877E-2</v>
      </c>
      <c r="H109" s="32">
        <v>6.8719659432618291E-2</v>
      </c>
      <c r="I109" s="32">
        <v>6.0577426195426075E-2</v>
      </c>
      <c r="J109" s="32">
        <v>6.0484084260704916E-2</v>
      </c>
      <c r="K109" s="32">
        <v>8.5437247028025118E-2</v>
      </c>
      <c r="L109" s="32">
        <v>3.6803443577659432E-2</v>
      </c>
      <c r="M109" s="32">
        <v>3.4504588727677442E-2</v>
      </c>
      <c r="N109" s="32">
        <v>0.18167814841920868</v>
      </c>
      <c r="O109" s="32">
        <v>0.10585269983607871</v>
      </c>
      <c r="P109" s="32">
        <v>7.3191289378427796E-2</v>
      </c>
      <c r="Q109" s="32">
        <v>9.4336016490456656E-2</v>
      </c>
      <c r="R109" s="32">
        <v>3.5153126245123782E-2</v>
      </c>
      <c r="S109" s="32">
        <v>4.9702983247130073E-2</v>
      </c>
      <c r="T109" s="32">
        <v>0</v>
      </c>
      <c r="U109" s="32">
        <v>0</v>
      </c>
      <c r="V109" s="32">
        <v>0</v>
      </c>
      <c r="W109" s="32">
        <v>0</v>
      </c>
      <c r="X109" s="32">
        <v>0</v>
      </c>
      <c r="Y109" s="32">
        <v>0</v>
      </c>
      <c r="Z109" s="32">
        <v>0</v>
      </c>
      <c r="AA109" s="32">
        <v>0</v>
      </c>
      <c r="AB109" s="32">
        <v>0</v>
      </c>
      <c r="AC109" s="32">
        <v>0</v>
      </c>
      <c r="AD109" s="32">
        <v>0</v>
      </c>
      <c r="AE109" s="32">
        <v>0</v>
      </c>
      <c r="AF109" s="32">
        <v>0</v>
      </c>
      <c r="AG109" s="32">
        <v>0</v>
      </c>
      <c r="AH109" s="32">
        <v>0</v>
      </c>
      <c r="AI109" s="32">
        <v>0</v>
      </c>
      <c r="AK109" s="3"/>
    </row>
    <row r="110" spans="1:37" x14ac:dyDescent="0.4">
      <c r="A110" s="104" t="s">
        <v>68</v>
      </c>
      <c r="B110" s="32" t="s">
        <v>458</v>
      </c>
      <c r="C110" s="32">
        <v>3.7954942377604564</v>
      </c>
      <c r="D110" s="32">
        <v>3.349165655155089</v>
      </c>
      <c r="E110" s="32">
        <v>2.9108996869852515</v>
      </c>
      <c r="F110" s="32">
        <v>2.6570382856757355</v>
      </c>
      <c r="G110" s="32">
        <v>2.7889988742352276</v>
      </c>
      <c r="H110" s="32">
        <v>2.4266990072148289</v>
      </c>
      <c r="I110" s="32">
        <v>2.4442296459416228</v>
      </c>
      <c r="J110" s="32">
        <v>2.3261012491201485</v>
      </c>
      <c r="K110" s="32">
        <v>1.6486936986561198</v>
      </c>
      <c r="L110" s="32">
        <v>2.2649571739444649</v>
      </c>
      <c r="M110" s="32">
        <v>1.832520816371322</v>
      </c>
      <c r="N110" s="32">
        <v>1.6660162561909018</v>
      </c>
      <c r="O110" s="32">
        <v>2.4941635577660342</v>
      </c>
      <c r="P110" s="32">
        <v>1.8757494456387227</v>
      </c>
      <c r="Q110" s="32">
        <v>2.047816748803172</v>
      </c>
      <c r="R110" s="32">
        <v>1.4124578084815276</v>
      </c>
      <c r="S110" s="32">
        <v>1.3973198467536001</v>
      </c>
      <c r="T110" s="32">
        <v>1.04472234290655</v>
      </c>
      <c r="U110" s="32">
        <v>1.3573615101012122</v>
      </c>
      <c r="V110" s="32">
        <v>2.3308338310284715</v>
      </c>
      <c r="W110" s="32">
        <v>1.5371030999355573</v>
      </c>
      <c r="X110" s="32">
        <v>0.96902230256924415</v>
      </c>
      <c r="Y110" s="32">
        <v>1.0008092900779051</v>
      </c>
      <c r="Z110" s="32">
        <v>1.130491620623211</v>
      </c>
      <c r="AA110" s="32">
        <v>1.1524203566065294</v>
      </c>
      <c r="AB110" s="32">
        <v>0.63004087420194377</v>
      </c>
      <c r="AC110" s="32">
        <v>0.72161041852178087</v>
      </c>
      <c r="AD110" s="32">
        <v>0.68359405993949052</v>
      </c>
      <c r="AE110" s="32">
        <v>0.73112972845990842</v>
      </c>
      <c r="AF110" s="32">
        <v>0.54478738800265358</v>
      </c>
      <c r="AG110" s="32">
        <v>1.0076490732640262</v>
      </c>
      <c r="AH110" s="32">
        <v>0.98147733293129125</v>
      </c>
      <c r="AI110" s="32">
        <v>0.98963283275169045</v>
      </c>
      <c r="AK110" s="3"/>
    </row>
    <row r="111" spans="1:37" x14ac:dyDescent="0.4">
      <c r="A111" s="104" t="s">
        <v>72</v>
      </c>
      <c r="B111" s="32" t="s">
        <v>458</v>
      </c>
      <c r="C111" s="32">
        <v>8.3083415580791603E-2</v>
      </c>
      <c r="D111" s="32">
        <v>3.0158913849591309E-2</v>
      </c>
      <c r="E111" s="32">
        <v>4.6848798212957371E-2</v>
      </c>
      <c r="F111" s="32">
        <v>4.1431905919584178E-2</v>
      </c>
      <c r="G111" s="32">
        <v>4.5604377010425697E-2</v>
      </c>
      <c r="H111" s="32">
        <v>1.9398330510052662E-2</v>
      </c>
      <c r="I111" s="32">
        <v>1.9325129262844916E-2</v>
      </c>
      <c r="J111" s="32">
        <v>2.9207297635890611E-2</v>
      </c>
      <c r="K111" s="32">
        <v>9.3331590189876037E-2</v>
      </c>
      <c r="L111" s="32">
        <v>4.4359955807894015E-2</v>
      </c>
      <c r="M111" s="32">
        <v>6.4929506273270626E-2</v>
      </c>
      <c r="N111" s="32">
        <v>2.4302814072971638E-2</v>
      </c>
      <c r="O111" s="32">
        <v>2.9719706366344835E-2</v>
      </c>
      <c r="P111" s="32">
        <v>3.7552239817573656E-2</v>
      </c>
      <c r="Q111" s="32">
        <v>3.2501353760239181E-2</v>
      </c>
      <c r="R111" s="32">
        <v>1.5957871891288607E-2</v>
      </c>
      <c r="S111" s="32">
        <v>1.0321375856292172E-2</v>
      </c>
      <c r="T111" s="32">
        <v>8.4181434288907783E-3</v>
      </c>
      <c r="U111" s="32">
        <v>7.1737222263590986E-3</v>
      </c>
      <c r="V111" s="32">
        <v>1.9325129262844916E-2</v>
      </c>
      <c r="W111" s="32">
        <v>2.5620436522711064E-3</v>
      </c>
      <c r="X111" s="32">
        <v>5.8560997766196718E-4</v>
      </c>
      <c r="Y111" s="32">
        <v>9.5161621370069675E-4</v>
      </c>
      <c r="Z111" s="32">
        <v>5.4168922933731968E-3</v>
      </c>
      <c r="AA111" s="32">
        <v>5.3436910461654519E-3</v>
      </c>
      <c r="AB111" s="32">
        <v>5.636496034996435E-3</v>
      </c>
      <c r="AC111" s="32">
        <v>3.9528673492182781E-3</v>
      </c>
      <c r="AD111" s="32">
        <v>3.6600623603872946E-3</v>
      </c>
      <c r="AE111" s="32">
        <v>5.7096972822041799E-3</v>
      </c>
      <c r="AF111" s="32">
        <v>7.027319731943607E-3</v>
      </c>
      <c r="AG111" s="32">
        <v>4.3188735852570078E-3</v>
      </c>
      <c r="AH111" s="32">
        <v>3.806464854802787E-3</v>
      </c>
      <c r="AI111" s="32">
        <v>6.9541184847358604E-3</v>
      </c>
      <c r="AK111" s="3"/>
    </row>
    <row r="112" spans="1:37" x14ac:dyDescent="0.4">
      <c r="A112" s="104" t="s">
        <v>73</v>
      </c>
      <c r="B112" s="32" t="s">
        <v>458</v>
      </c>
      <c r="C112" s="32">
        <v>9.9854128043081983E-2</v>
      </c>
      <c r="D112" s="32">
        <v>9.9036682410487478E-2</v>
      </c>
      <c r="E112" s="32">
        <v>0.10916043216800399</v>
      </c>
      <c r="F112" s="32">
        <v>0.11287037773131749</v>
      </c>
      <c r="G112" s="32">
        <v>0.11790081239343748</v>
      </c>
      <c r="H112" s="32">
        <v>0.13978320317365947</v>
      </c>
      <c r="I112" s="32">
        <v>0.13116858381477897</v>
      </c>
      <c r="J112" s="32">
        <v>0.12010162755811499</v>
      </c>
      <c r="K112" s="32">
        <v>0.12368581225487546</v>
      </c>
      <c r="L112" s="32">
        <v>0.15305097459500097</v>
      </c>
      <c r="M112" s="32">
        <v>0.13883999667451202</v>
      </c>
      <c r="N112" s="32">
        <v>0.11236733426510549</v>
      </c>
      <c r="O112" s="32">
        <v>0.17751146313955948</v>
      </c>
      <c r="P112" s="32">
        <v>0.11381358423046499</v>
      </c>
      <c r="Q112" s="32">
        <v>0.18511999556601599</v>
      </c>
      <c r="R112" s="32">
        <v>0.17537352840815848</v>
      </c>
      <c r="S112" s="32">
        <v>0.15625787669210245</v>
      </c>
      <c r="T112" s="32">
        <v>0.18122140870287295</v>
      </c>
      <c r="U112" s="32">
        <v>0.15625787669210245</v>
      </c>
      <c r="V112" s="32">
        <v>0.14053776837297749</v>
      </c>
      <c r="W112" s="32">
        <v>0.15581771365916697</v>
      </c>
      <c r="X112" s="32">
        <v>0.14242418137127247</v>
      </c>
      <c r="Y112" s="32">
        <v>0.17606521317419999</v>
      </c>
      <c r="Z112" s="32">
        <v>0.19367173449161995</v>
      </c>
      <c r="AA112" s="32">
        <v>0.17770010443938897</v>
      </c>
      <c r="AB112" s="32">
        <v>0.13538157284430452</v>
      </c>
      <c r="AC112" s="32">
        <v>0.13588461631051646</v>
      </c>
      <c r="AD112" s="32">
        <v>0.21549124483856547</v>
      </c>
      <c r="AE112" s="32">
        <v>0.19134515846038946</v>
      </c>
      <c r="AF112" s="32">
        <v>0.22850749452680094</v>
      </c>
      <c r="AG112" s="32">
        <v>0.25139597223944704</v>
      </c>
      <c r="AH112" s="32">
        <v>0.24039189641605949</v>
      </c>
      <c r="AI112" s="32">
        <v>0.21234722317474047</v>
      </c>
      <c r="AK112" s="3"/>
    </row>
    <row r="113" spans="1:37" x14ac:dyDescent="0.4">
      <c r="A113" s="104" t="s">
        <v>75</v>
      </c>
      <c r="B113" s="32" t="s">
        <v>458</v>
      </c>
      <c r="C113" s="32">
        <v>6.8293992879882859E-2</v>
      </c>
      <c r="D113" s="32">
        <v>6.1474927242889575E-2</v>
      </c>
      <c r="E113" s="32">
        <v>1.9746993248089005E-2</v>
      </c>
      <c r="F113" s="32">
        <v>2.1019660834396471E-2</v>
      </c>
      <c r="G113" s="32">
        <v>2.399410929535074E-2</v>
      </c>
      <c r="H113" s="32">
        <v>2.4132683305480594E-2</v>
      </c>
      <c r="I113" s="32">
        <v>1.7887081601669096E-2</v>
      </c>
      <c r="J113" s="32">
        <v>2.4360939948238149E-2</v>
      </c>
      <c r="K113" s="32">
        <v>2.3170485891292992E-2</v>
      </c>
      <c r="L113" s="32">
        <v>0.10367548209156599</v>
      </c>
      <c r="M113" s="32">
        <v>3.0852419109434998E-2</v>
      </c>
      <c r="N113" s="32">
        <v>4.3096057270728003E-2</v>
      </c>
      <c r="O113" s="32">
        <v>3.8978074004792994E-2</v>
      </c>
      <c r="P113" s="32">
        <v>2.5651856219219997E-2</v>
      </c>
      <c r="Q113" s="32">
        <v>2.1113823257604004E-2</v>
      </c>
      <c r="R113" s="32">
        <v>2.5561861287038998E-2</v>
      </c>
      <c r="S113" s="32">
        <v>2.7702669828603001E-2</v>
      </c>
      <c r="T113" s="32">
        <v>2.7178359500407499E-2</v>
      </c>
      <c r="U113" s="32">
        <v>2.7518645961576004E-2</v>
      </c>
      <c r="V113" s="32">
        <v>1.5928296195504E-2</v>
      </c>
      <c r="W113" s="32">
        <v>4.8826321383608998E-2</v>
      </c>
      <c r="X113" s="32">
        <v>1.4263316604652502E-2</v>
      </c>
      <c r="Y113" s="32">
        <v>1.5696524406024003E-2</v>
      </c>
      <c r="Z113" s="32">
        <v>1.5327083107413004E-2</v>
      </c>
      <c r="AA113" s="32">
        <v>0.46027041942231944</v>
      </c>
      <c r="AB113" s="32">
        <v>0.46432260145980109</v>
      </c>
      <c r="AC113" s="32">
        <v>0.46969241808681583</v>
      </c>
      <c r="AD113" s="32">
        <v>0.46664908724124143</v>
      </c>
      <c r="AE113" s="32">
        <v>0.46899242660509477</v>
      </c>
      <c r="AF113" s="32">
        <v>0.47283235224360487</v>
      </c>
      <c r="AG113" s="32">
        <v>0.47770836962588092</v>
      </c>
      <c r="AH113" s="32">
        <v>0.52809388257606626</v>
      </c>
      <c r="AI113" s="32">
        <v>0.50208845653726097</v>
      </c>
      <c r="AK113" s="3"/>
    </row>
    <row r="114" spans="1:37" x14ac:dyDescent="0.4">
      <c r="A114" s="104" t="s">
        <v>69</v>
      </c>
      <c r="B114" s="32" t="s">
        <v>458</v>
      </c>
      <c r="C114" s="32">
        <v>2.141272665360773</v>
      </c>
      <c r="D114" s="32">
        <v>1.7323920880193944</v>
      </c>
      <c r="E114" s="32">
        <v>1.2078685191067169</v>
      </c>
      <c r="F114" s="32">
        <v>1.394324069802519</v>
      </c>
      <c r="G114" s="32">
        <v>1.448991665818042</v>
      </c>
      <c r="H114" s="32">
        <v>1.1474187735126289</v>
      </c>
      <c r="I114" s="32">
        <v>1.0571571658056798</v>
      </c>
      <c r="J114" s="32">
        <v>0.66877693697012253</v>
      </c>
      <c r="K114" s="32">
        <v>0.55914137353239746</v>
      </c>
      <c r="L114" s="32">
        <v>0.65511003796624179</v>
      </c>
      <c r="M114" s="32">
        <v>0.24668001773488121</v>
      </c>
      <c r="N114" s="32">
        <v>0.30322493504214626</v>
      </c>
      <c r="O114" s="32">
        <v>0.85493211625924603</v>
      </c>
      <c r="P114" s="32">
        <v>1.3084178474924113</v>
      </c>
      <c r="Q114" s="32">
        <v>1.2570543369503537</v>
      </c>
      <c r="R114" s="32">
        <v>0.55238301688212676</v>
      </c>
      <c r="S114" s="32">
        <v>0.39431256411746157</v>
      </c>
      <c r="T114" s="32">
        <v>0.44965599579801185</v>
      </c>
      <c r="U114" s="32">
        <v>0.33228586863831039</v>
      </c>
      <c r="V114" s="32">
        <v>0.26079747384878005</v>
      </c>
      <c r="W114" s="32">
        <v>0.16062360972143408</v>
      </c>
      <c r="X114" s="32">
        <v>0.10385341385916005</v>
      </c>
      <c r="Y114" s="32">
        <v>0.10475452807919615</v>
      </c>
      <c r="Z114" s="32">
        <v>6.3153088254196382E-2</v>
      </c>
      <c r="AA114" s="32">
        <v>2.3954619682626216E-2</v>
      </c>
      <c r="AB114" s="32">
        <v>1.4718198927256232E-2</v>
      </c>
      <c r="AC114" s="32">
        <v>1.1414113453790549E-2</v>
      </c>
      <c r="AD114" s="32">
        <v>6.2327066885829972E-3</v>
      </c>
      <c r="AE114" s="32">
        <v>9.2364207553699805E-3</v>
      </c>
      <c r="AF114" s="32">
        <v>1.5619313147292327E-2</v>
      </c>
      <c r="AG114" s="32">
        <v>9.0862350520306331E-3</v>
      </c>
      <c r="AH114" s="32">
        <v>9.3115136070396568E-3</v>
      </c>
      <c r="AI114" s="32">
        <v>7.734563721976488E-3</v>
      </c>
      <c r="AK114" s="3"/>
    </row>
    <row r="115" spans="1:37" x14ac:dyDescent="0.4">
      <c r="A115" s="104" t="s">
        <v>62</v>
      </c>
      <c r="B115" s="32" t="s">
        <v>458</v>
      </c>
      <c r="C115" s="32">
        <v>2.9306239513637697</v>
      </c>
      <c r="D115" s="32">
        <v>3.544403537242383</v>
      </c>
      <c r="E115" s="32">
        <v>3.6108756790755212</v>
      </c>
      <c r="F115" s="32">
        <v>4.5908122689747959</v>
      </c>
      <c r="G115" s="32">
        <v>4.4769773811733193</v>
      </c>
      <c r="H115" s="32">
        <v>5.2351909922771789</v>
      </c>
      <c r="I115" s="32">
        <v>5.7220115554269819</v>
      </c>
      <c r="J115" s="32">
        <v>4.8464227560421289</v>
      </c>
      <c r="K115" s="32">
        <v>3.6625323518829296</v>
      </c>
      <c r="L115" s="32">
        <v>3.5352964936230031</v>
      </c>
      <c r="M115" s="32">
        <v>3.4186787059764838</v>
      </c>
      <c r="N115" s="32">
        <v>3.5573482479511904</v>
      </c>
      <c r="O115" s="32">
        <v>3.4120507906876578</v>
      </c>
      <c r="P115" s="32">
        <v>3.1029837660329664</v>
      </c>
      <c r="Q115" s="32">
        <v>3.0486289395707473</v>
      </c>
      <c r="R115" s="32">
        <v>2.799207231421645</v>
      </c>
      <c r="S115" s="32">
        <v>3.3128156162648099</v>
      </c>
      <c r="T115" s="32">
        <v>3.8842741886465557</v>
      </c>
      <c r="U115" s="32">
        <v>3.9125016141904223</v>
      </c>
      <c r="V115" s="32">
        <v>3.9531295042785106</v>
      </c>
      <c r="W115" s="32">
        <v>4.4282649744413778</v>
      </c>
      <c r="X115" s="32">
        <v>4.0078812979729381</v>
      </c>
      <c r="Y115" s="32">
        <v>5.4648410911171599</v>
      </c>
      <c r="Z115" s="32">
        <v>5.7388287675535068</v>
      </c>
      <c r="AA115" s="32">
        <v>5.728088768113019</v>
      </c>
      <c r="AB115" s="32">
        <v>5.7157069147534036</v>
      </c>
      <c r="AC115" s="32">
        <v>5.9669264498750749</v>
      </c>
      <c r="AD115" s="32">
        <v>6.4741233123708817</v>
      </c>
      <c r="AE115" s="32">
        <v>6.620600053162045</v>
      </c>
      <c r="AF115" s="32">
        <v>5.952997755723004</v>
      </c>
      <c r="AG115" s="32">
        <v>5.6002481937006605</v>
      </c>
      <c r="AH115" s="32">
        <v>6.3303612603589166</v>
      </c>
      <c r="AI115" s="32">
        <v>5.7924459245459383</v>
      </c>
      <c r="AK115" s="3"/>
    </row>
    <row r="116" spans="1:37" ht="16.5" thickBot="1" x14ac:dyDescent="0.45">
      <c r="A116" s="138" t="s">
        <v>63</v>
      </c>
      <c r="B116" s="161" t="s">
        <v>458</v>
      </c>
      <c r="C116" s="161">
        <v>0</v>
      </c>
      <c r="D116" s="161">
        <v>0</v>
      </c>
      <c r="E116" s="161">
        <v>0</v>
      </c>
      <c r="F116" s="161">
        <v>0</v>
      </c>
      <c r="G116" s="161">
        <v>0</v>
      </c>
      <c r="H116" s="161">
        <v>0</v>
      </c>
      <c r="I116" s="161">
        <v>0</v>
      </c>
      <c r="J116" s="161">
        <v>0</v>
      </c>
      <c r="K116" s="161">
        <v>0</v>
      </c>
      <c r="L116" s="161">
        <v>0</v>
      </c>
      <c r="M116" s="161">
        <v>0</v>
      </c>
      <c r="N116" s="161">
        <v>0</v>
      </c>
      <c r="O116" s="161">
        <v>0</v>
      </c>
      <c r="P116" s="161">
        <v>0</v>
      </c>
      <c r="Q116" s="161">
        <v>0</v>
      </c>
      <c r="R116" s="161">
        <v>0</v>
      </c>
      <c r="S116" s="161">
        <v>0</v>
      </c>
      <c r="T116" s="161">
        <v>0</v>
      </c>
      <c r="U116" s="161">
        <v>0</v>
      </c>
      <c r="V116" s="161">
        <v>0</v>
      </c>
      <c r="W116" s="161">
        <v>0</v>
      </c>
      <c r="X116" s="161">
        <v>0</v>
      </c>
      <c r="Y116" s="161">
        <v>0</v>
      </c>
      <c r="Z116" s="161">
        <v>0</v>
      </c>
      <c r="AA116" s="161">
        <v>0</v>
      </c>
      <c r="AB116" s="161">
        <v>0</v>
      </c>
      <c r="AC116" s="161">
        <v>0</v>
      </c>
      <c r="AD116" s="161">
        <v>0</v>
      </c>
      <c r="AE116" s="161">
        <v>0</v>
      </c>
      <c r="AF116" s="161">
        <v>0</v>
      </c>
      <c r="AG116" s="161">
        <v>0</v>
      </c>
      <c r="AH116" s="161">
        <v>0</v>
      </c>
      <c r="AI116" s="161">
        <v>0</v>
      </c>
      <c r="AK116" s="3"/>
    </row>
    <row r="117" spans="1:37" ht="17" x14ac:dyDescent="0.45">
      <c r="A117" s="247" t="s">
        <v>450</v>
      </c>
      <c r="B117" s="127" t="s">
        <v>458</v>
      </c>
      <c r="C117" s="191">
        <v>4.5241963792028006</v>
      </c>
      <c r="D117" s="191">
        <v>6.196120339667166</v>
      </c>
      <c r="E117" s="191">
        <v>6.3524480004604289</v>
      </c>
      <c r="F117" s="191">
        <v>5.4819205214131737</v>
      </c>
      <c r="G117" s="191">
        <v>4.799124624067149</v>
      </c>
      <c r="H117" s="191">
        <v>4.7550449315001408</v>
      </c>
      <c r="I117" s="191">
        <v>4.8391149240722529</v>
      </c>
      <c r="J117" s="191">
        <v>4.6425953861799725</v>
      </c>
      <c r="K117" s="191">
        <v>5.324582932332838</v>
      </c>
      <c r="L117" s="191">
        <v>5.2136458030450861</v>
      </c>
      <c r="M117" s="191">
        <v>6.3114014118719552</v>
      </c>
      <c r="N117" s="191">
        <v>6.1690505039776617</v>
      </c>
      <c r="O117" s="191">
        <v>4.1418598354447296</v>
      </c>
      <c r="P117" s="191">
        <v>4.0150990192714158</v>
      </c>
      <c r="Q117" s="191">
        <v>4.2697051145872669</v>
      </c>
      <c r="R117" s="191">
        <v>4.0677081935533161</v>
      </c>
      <c r="S117" s="191">
        <v>3.9614178944807477</v>
      </c>
      <c r="T117" s="191">
        <v>3.6776679080539032</v>
      </c>
      <c r="U117" s="191">
        <v>2.9614097522885441</v>
      </c>
      <c r="V117" s="191">
        <v>3.4875602377014707</v>
      </c>
      <c r="W117" s="191">
        <v>3.6789297255419582</v>
      </c>
      <c r="X117" s="191">
        <v>3.1915395199877956</v>
      </c>
      <c r="Y117" s="191">
        <v>3.36302927042578</v>
      </c>
      <c r="Z117" s="191">
        <v>3.2602165239692176</v>
      </c>
      <c r="AA117" s="191">
        <v>3.2823083352570848</v>
      </c>
      <c r="AB117" s="191">
        <v>3.1662665581676288</v>
      </c>
      <c r="AC117" s="191">
        <v>3.2336648396866163</v>
      </c>
      <c r="AD117" s="191">
        <v>3.2038785042914624</v>
      </c>
      <c r="AE117" s="191">
        <v>3.244068751389845</v>
      </c>
      <c r="AF117" s="191">
        <v>3.0398049356378154</v>
      </c>
      <c r="AG117" s="191">
        <v>3.2122856536414424</v>
      </c>
      <c r="AH117" s="191">
        <v>3.2423547772972263</v>
      </c>
      <c r="AI117" s="191">
        <v>2.981429791228452</v>
      </c>
      <c r="AK117" s="3"/>
    </row>
    <row r="118" spans="1:37" x14ac:dyDescent="0.4">
      <c r="A118" s="104" t="s">
        <v>77</v>
      </c>
      <c r="B118" s="32" t="s">
        <v>458</v>
      </c>
      <c r="C118" s="32">
        <v>0</v>
      </c>
      <c r="D118" s="32">
        <v>0</v>
      </c>
      <c r="E118" s="32">
        <v>0</v>
      </c>
      <c r="F118" s="32">
        <v>0</v>
      </c>
      <c r="G118" s="32">
        <v>0</v>
      </c>
      <c r="H118" s="32">
        <v>0</v>
      </c>
      <c r="I118" s="32">
        <v>0</v>
      </c>
      <c r="J118" s="32">
        <v>0</v>
      </c>
      <c r="K118" s="32">
        <v>0</v>
      </c>
      <c r="L118" s="32">
        <v>0</v>
      </c>
      <c r="M118" s="32">
        <v>0</v>
      </c>
      <c r="N118" s="32">
        <v>0</v>
      </c>
      <c r="O118" s="32">
        <v>0</v>
      </c>
      <c r="P118" s="32">
        <v>0</v>
      </c>
      <c r="Q118" s="32">
        <v>0</v>
      </c>
      <c r="R118" s="32">
        <v>0</v>
      </c>
      <c r="S118" s="32">
        <v>0</v>
      </c>
      <c r="T118" s="32">
        <v>0</v>
      </c>
      <c r="U118" s="32">
        <v>0</v>
      </c>
      <c r="V118" s="32">
        <v>0</v>
      </c>
      <c r="W118" s="32">
        <v>0</v>
      </c>
      <c r="X118" s="32">
        <v>0</v>
      </c>
      <c r="Y118" s="32">
        <v>0</v>
      </c>
      <c r="Z118" s="32">
        <v>0</v>
      </c>
      <c r="AA118" s="32">
        <v>0</v>
      </c>
      <c r="AB118" s="32">
        <v>0</v>
      </c>
      <c r="AC118" s="32">
        <v>0</v>
      </c>
      <c r="AD118" s="32">
        <v>0</v>
      </c>
      <c r="AE118" s="32">
        <v>0</v>
      </c>
      <c r="AF118" s="32">
        <v>0</v>
      </c>
      <c r="AG118" s="32">
        <v>0</v>
      </c>
      <c r="AH118" s="32">
        <v>0</v>
      </c>
      <c r="AI118" s="32">
        <v>0</v>
      </c>
      <c r="AK118" s="3"/>
    </row>
    <row r="119" spans="1:37" x14ac:dyDescent="0.4">
      <c r="A119" s="104" t="s">
        <v>78</v>
      </c>
      <c r="B119" s="32" t="s">
        <v>458</v>
      </c>
      <c r="C119" s="32">
        <v>0.18261537862815175</v>
      </c>
      <c r="D119" s="32">
        <v>0.34370159298707625</v>
      </c>
      <c r="E119" s="32">
        <v>0.25926736276675005</v>
      </c>
      <c r="F119" s="32">
        <v>0.13691430566268589</v>
      </c>
      <c r="G119" s="32">
        <v>5.6956847758346425E-2</v>
      </c>
      <c r="H119" s="32">
        <v>4.3204144605224697E-2</v>
      </c>
      <c r="I119" s="32">
        <v>6.7408505663128615E-2</v>
      </c>
      <c r="J119" s="32">
        <v>7.1338278427875268E-2</v>
      </c>
      <c r="K119" s="32">
        <v>6.1433942761636058E-2</v>
      </c>
      <c r="L119" s="32">
        <v>0.12944301136812089</v>
      </c>
      <c r="M119" s="32">
        <v>0.12824622281611239</v>
      </c>
      <c r="N119" s="32">
        <v>9.1529212349241079E-2</v>
      </c>
      <c r="O119" s="32">
        <v>0.10432647198262388</v>
      </c>
      <c r="P119" s="32">
        <v>0.12119280142248856</v>
      </c>
      <c r="Q119" s="32">
        <v>0.1616197523007423</v>
      </c>
      <c r="R119" s="32">
        <v>0.17519142479627134</v>
      </c>
      <c r="S119" s="32">
        <v>0.1949262835370579</v>
      </c>
      <c r="T119" s="32">
        <v>0.19496970678531561</v>
      </c>
      <c r="U119" s="32">
        <v>0.11629625811066953</v>
      </c>
      <c r="V119" s="32">
        <v>0.1548035471373678</v>
      </c>
      <c r="W119" s="32">
        <v>0.14243050810687197</v>
      </c>
      <c r="X119" s="32">
        <v>0.14332950491669513</v>
      </c>
      <c r="Y119" s="32">
        <v>0.13934940726156647</v>
      </c>
      <c r="Z119" s="32">
        <v>0.12293262078051174</v>
      </c>
      <c r="AA119" s="32">
        <v>9.629313343025557E-2</v>
      </c>
      <c r="AB119" s="32">
        <v>3.0454800826430466E-3</v>
      </c>
      <c r="AC119" s="32">
        <v>3.4632459700504343E-3</v>
      </c>
      <c r="AD119" s="32">
        <v>9.3194530070134034E-4</v>
      </c>
      <c r="AE119" s="32">
        <v>2.4787542455229814E-3</v>
      </c>
      <c r="AF119" s="32">
        <v>0</v>
      </c>
      <c r="AG119" s="32">
        <v>0</v>
      </c>
      <c r="AH119" s="32">
        <v>0</v>
      </c>
      <c r="AI119" s="32">
        <v>0</v>
      </c>
      <c r="AK119" s="3"/>
    </row>
    <row r="120" spans="1:37" x14ac:dyDescent="0.4">
      <c r="A120" s="104" t="s">
        <v>79</v>
      </c>
      <c r="B120" s="32" t="s">
        <v>458</v>
      </c>
      <c r="C120" s="32">
        <v>4.340700071045903E-3</v>
      </c>
      <c r="D120" s="32">
        <v>3.4425100746432232E-3</v>
      </c>
      <c r="E120" s="32">
        <v>3.1933070284783801E-3</v>
      </c>
      <c r="F120" s="32">
        <v>1.9466299037734054E-3</v>
      </c>
      <c r="G120" s="32">
        <v>2.7438810833365908E-3</v>
      </c>
      <c r="H120" s="32">
        <v>2.7885589202983007E-3</v>
      </c>
      <c r="I120" s="32">
        <v>2.011826451043669E-3</v>
      </c>
      <c r="J120" s="32">
        <v>1.8407268828268943E-3</v>
      </c>
      <c r="K120" s="32">
        <v>2.1246793577397566E-3</v>
      </c>
      <c r="L120" s="32">
        <v>3.9382685914491761E-3</v>
      </c>
      <c r="M120" s="32">
        <v>3.9932057835651612E-3</v>
      </c>
      <c r="N120" s="32">
        <v>4.1401462251284384E-3</v>
      </c>
      <c r="O120" s="32">
        <v>3.0854183258891034E-3</v>
      </c>
      <c r="P120" s="32">
        <v>3.1797382039196083E-3</v>
      </c>
      <c r="Q120" s="32">
        <v>2.8901596310189682E-3</v>
      </c>
      <c r="R120" s="32">
        <v>3.4524384828569822E-3</v>
      </c>
      <c r="S120" s="32">
        <v>2.039295047101662E-3</v>
      </c>
      <c r="T120" s="32">
        <v>4.8351348000901266E-4</v>
      </c>
      <c r="U120" s="32">
        <v>4.9592399027618391E-3</v>
      </c>
      <c r="V120" s="32">
        <v>5.0575311440777372E-3</v>
      </c>
      <c r="W120" s="32">
        <v>5.0939353075281409E-3</v>
      </c>
      <c r="X120" s="32">
        <v>4.7629883670702875E-3</v>
      </c>
      <c r="Y120" s="32">
        <v>4.6034719417695179E-3</v>
      </c>
      <c r="Z120" s="32">
        <v>5.078711748267053E-3</v>
      </c>
      <c r="AA120" s="32">
        <v>4.8252063918762982E-3</v>
      </c>
      <c r="AB120" s="32">
        <v>5.0356886460075218E-3</v>
      </c>
      <c r="AC120" s="32">
        <v>5.1174325403006713E-3</v>
      </c>
      <c r="AD120" s="32">
        <v>4.7196343178702374E-3</v>
      </c>
      <c r="AE120" s="32">
        <v>4.548203802713013E-3</v>
      </c>
      <c r="AF120" s="32">
        <v>4.74180776288097E-3</v>
      </c>
      <c r="AG120" s="32">
        <v>5.033372017424308E-3</v>
      </c>
      <c r="AH120" s="32">
        <v>5.1346417812044567E-3</v>
      </c>
      <c r="AI120" s="32">
        <v>4.3926587406977764E-3</v>
      </c>
      <c r="AK120" s="3"/>
    </row>
    <row r="121" spans="1:37" x14ac:dyDescent="0.4">
      <c r="A121" s="104" t="s">
        <v>80</v>
      </c>
      <c r="B121" s="32" t="s">
        <v>458</v>
      </c>
      <c r="C121" s="32">
        <v>0</v>
      </c>
      <c r="D121" s="32">
        <v>0</v>
      </c>
      <c r="E121" s="32">
        <v>0</v>
      </c>
      <c r="F121" s="32">
        <v>0</v>
      </c>
      <c r="G121" s="32">
        <v>0</v>
      </c>
      <c r="H121" s="32">
        <v>0</v>
      </c>
      <c r="I121" s="32">
        <v>0</v>
      </c>
      <c r="J121" s="32">
        <v>0</v>
      </c>
      <c r="K121" s="32">
        <v>0</v>
      </c>
      <c r="L121" s="32">
        <v>0</v>
      </c>
      <c r="M121" s="32">
        <v>0</v>
      </c>
      <c r="N121" s="32">
        <v>0</v>
      </c>
      <c r="O121" s="32">
        <v>0</v>
      </c>
      <c r="P121" s="32">
        <v>0</v>
      </c>
      <c r="Q121" s="32">
        <v>0</v>
      </c>
      <c r="R121" s="32">
        <v>0</v>
      </c>
      <c r="S121" s="32">
        <v>0</v>
      </c>
      <c r="T121" s="32">
        <v>0</v>
      </c>
      <c r="U121" s="32">
        <v>0</v>
      </c>
      <c r="V121" s="32">
        <v>0</v>
      </c>
      <c r="W121" s="32">
        <v>0</v>
      </c>
      <c r="X121" s="32">
        <v>0</v>
      </c>
      <c r="Y121" s="32">
        <v>0</v>
      </c>
      <c r="Z121" s="32">
        <v>0</v>
      </c>
      <c r="AA121" s="32">
        <v>0</v>
      </c>
      <c r="AB121" s="32">
        <v>0</v>
      </c>
      <c r="AC121" s="32">
        <v>0</v>
      </c>
      <c r="AD121" s="32">
        <v>0</v>
      </c>
      <c r="AE121" s="32">
        <v>0</v>
      </c>
      <c r="AF121" s="32">
        <v>0</v>
      </c>
      <c r="AG121" s="32">
        <v>0</v>
      </c>
      <c r="AH121" s="32">
        <v>0</v>
      </c>
      <c r="AI121" s="32">
        <v>0</v>
      </c>
      <c r="AK121" s="3"/>
    </row>
    <row r="122" spans="1:37" x14ac:dyDescent="0.4">
      <c r="A122" s="104" t="s">
        <v>81</v>
      </c>
      <c r="B122" s="32" t="s">
        <v>458</v>
      </c>
      <c r="C122" s="32">
        <v>0</v>
      </c>
      <c r="D122" s="32">
        <v>0</v>
      </c>
      <c r="E122" s="32">
        <v>0</v>
      </c>
      <c r="F122" s="32">
        <v>0</v>
      </c>
      <c r="G122" s="32">
        <v>0</v>
      </c>
      <c r="H122" s="32">
        <v>0</v>
      </c>
      <c r="I122" s="32">
        <v>0</v>
      </c>
      <c r="J122" s="32">
        <v>0</v>
      </c>
      <c r="K122" s="32">
        <v>0</v>
      </c>
      <c r="L122" s="32">
        <v>0</v>
      </c>
      <c r="M122" s="32">
        <v>0</v>
      </c>
      <c r="N122" s="32">
        <v>0</v>
      </c>
      <c r="O122" s="32">
        <v>0</v>
      </c>
      <c r="P122" s="32">
        <v>0</v>
      </c>
      <c r="Q122" s="32">
        <v>0</v>
      </c>
      <c r="R122" s="32">
        <v>0</v>
      </c>
      <c r="S122" s="32">
        <v>0</v>
      </c>
      <c r="T122" s="32">
        <v>0</v>
      </c>
      <c r="U122" s="32">
        <v>0</v>
      </c>
      <c r="V122" s="32">
        <v>0</v>
      </c>
      <c r="W122" s="32">
        <v>0</v>
      </c>
      <c r="X122" s="32">
        <v>0</v>
      </c>
      <c r="Y122" s="32">
        <v>0</v>
      </c>
      <c r="Z122" s="32">
        <v>0</v>
      </c>
      <c r="AA122" s="32">
        <v>0</v>
      </c>
      <c r="AB122" s="32">
        <v>0</v>
      </c>
      <c r="AC122" s="32">
        <v>0</v>
      </c>
      <c r="AD122" s="32">
        <v>0</v>
      </c>
      <c r="AE122" s="32">
        <v>0</v>
      </c>
      <c r="AF122" s="32">
        <v>0</v>
      </c>
      <c r="AG122" s="32">
        <v>0</v>
      </c>
      <c r="AH122" s="32">
        <v>0</v>
      </c>
      <c r="AI122" s="32">
        <v>0</v>
      </c>
      <c r="AK122" s="3"/>
    </row>
    <row r="123" spans="1:37" x14ac:dyDescent="0.4">
      <c r="A123" s="104" t="s">
        <v>68</v>
      </c>
      <c r="B123" s="32" t="s">
        <v>458</v>
      </c>
      <c r="C123" s="32">
        <v>0.58269096240684048</v>
      </c>
      <c r="D123" s="32">
        <v>0.91109904165945255</v>
      </c>
      <c r="E123" s="32">
        <v>0.63209474122471787</v>
      </c>
      <c r="F123" s="32">
        <v>0.53047449986616979</v>
      </c>
      <c r="G123" s="32">
        <v>0.53950322670435436</v>
      </c>
      <c r="H123" s="32">
        <v>0.5130146494349308</v>
      </c>
      <c r="I123" s="32">
        <v>0.47636191724042443</v>
      </c>
      <c r="J123" s="32">
        <v>0.42442773818691937</v>
      </c>
      <c r="K123" s="32">
        <v>0.51255260832682115</v>
      </c>
      <c r="L123" s="32">
        <v>0.40157284220649642</v>
      </c>
      <c r="M123" s="32">
        <v>0.54901550807431487</v>
      </c>
      <c r="N123" s="32">
        <v>0.4196842697302483</v>
      </c>
      <c r="O123" s="32">
        <v>0.84533909213648206</v>
      </c>
      <c r="P123" s="32">
        <v>0.83938901531852328</v>
      </c>
      <c r="Q123" s="32">
        <v>0.81617234638805314</v>
      </c>
      <c r="R123" s="32">
        <v>0.67664205563473423</v>
      </c>
      <c r="S123" s="32">
        <v>0.57482740428966117</v>
      </c>
      <c r="T123" s="32">
        <v>0.66674864434630243</v>
      </c>
      <c r="U123" s="32">
        <v>0.37315048899327213</v>
      </c>
      <c r="V123" s="32">
        <v>0.52875420407554596</v>
      </c>
      <c r="W123" s="32">
        <v>0.53882386834479523</v>
      </c>
      <c r="X123" s="32">
        <v>0.2869635876339533</v>
      </c>
      <c r="Y123" s="32">
        <v>0.2646622684975925</v>
      </c>
      <c r="Z123" s="32">
        <v>0.31587134969479908</v>
      </c>
      <c r="AA123" s="32">
        <v>0.4091659320808802</v>
      </c>
      <c r="AB123" s="32">
        <v>0.34638907077952169</v>
      </c>
      <c r="AC123" s="32">
        <v>0.39628256251826699</v>
      </c>
      <c r="AD123" s="32">
        <v>0.34990298729296704</v>
      </c>
      <c r="AE123" s="32">
        <v>0.33204823510519005</v>
      </c>
      <c r="AF123" s="32">
        <v>0.29784399662887578</v>
      </c>
      <c r="AG123" s="32">
        <v>0.36369014998927396</v>
      </c>
      <c r="AH123" s="32">
        <v>0.36771744987879473</v>
      </c>
      <c r="AI123" s="32">
        <v>0.35902149711190451</v>
      </c>
      <c r="AK123" s="3"/>
    </row>
    <row r="124" spans="1:37" x14ac:dyDescent="0.4">
      <c r="A124" s="104" t="s">
        <v>82</v>
      </c>
      <c r="B124" s="32" t="s">
        <v>458</v>
      </c>
      <c r="C124" s="32">
        <v>0</v>
      </c>
      <c r="D124" s="32">
        <v>0</v>
      </c>
      <c r="E124" s="32">
        <v>0</v>
      </c>
      <c r="F124" s="32">
        <v>0</v>
      </c>
      <c r="G124" s="32">
        <v>0</v>
      </c>
      <c r="H124" s="32">
        <v>0</v>
      </c>
      <c r="I124" s="32">
        <v>0</v>
      </c>
      <c r="J124" s="32">
        <v>0</v>
      </c>
      <c r="K124" s="32">
        <v>0</v>
      </c>
      <c r="L124" s="32">
        <v>0</v>
      </c>
      <c r="M124" s="32">
        <v>0</v>
      </c>
      <c r="N124" s="32">
        <v>0</v>
      </c>
      <c r="O124" s="32">
        <v>0</v>
      </c>
      <c r="P124" s="32">
        <v>0</v>
      </c>
      <c r="Q124" s="32">
        <v>0</v>
      </c>
      <c r="R124" s="32">
        <v>0</v>
      </c>
      <c r="S124" s="32">
        <v>0</v>
      </c>
      <c r="T124" s="32">
        <v>0</v>
      </c>
      <c r="U124" s="32">
        <v>0</v>
      </c>
      <c r="V124" s="32">
        <v>0</v>
      </c>
      <c r="W124" s="32">
        <v>0</v>
      </c>
      <c r="X124" s="32">
        <v>0</v>
      </c>
      <c r="Y124" s="32">
        <v>0</v>
      </c>
      <c r="Z124" s="32">
        <v>0</v>
      </c>
      <c r="AA124" s="32">
        <v>0</v>
      </c>
      <c r="AB124" s="32">
        <v>0</v>
      </c>
      <c r="AC124" s="32">
        <v>0</v>
      </c>
      <c r="AD124" s="32">
        <v>0</v>
      </c>
      <c r="AE124" s="32">
        <v>0</v>
      </c>
      <c r="AF124" s="32">
        <v>0</v>
      </c>
      <c r="AG124" s="32">
        <v>0</v>
      </c>
      <c r="AH124" s="32">
        <v>0</v>
      </c>
      <c r="AI124" s="32">
        <v>0</v>
      </c>
      <c r="AK124" s="3"/>
    </row>
    <row r="125" spans="1:37" x14ac:dyDescent="0.4">
      <c r="A125" s="104" t="s">
        <v>83</v>
      </c>
      <c r="B125" s="32" t="s">
        <v>458</v>
      </c>
      <c r="C125" s="32">
        <v>0</v>
      </c>
      <c r="D125" s="32">
        <v>0</v>
      </c>
      <c r="E125" s="32">
        <v>0</v>
      </c>
      <c r="F125" s="32">
        <v>0</v>
      </c>
      <c r="G125" s="32">
        <v>0</v>
      </c>
      <c r="H125" s="32">
        <v>0</v>
      </c>
      <c r="I125" s="32">
        <v>0</v>
      </c>
      <c r="J125" s="32">
        <v>0</v>
      </c>
      <c r="K125" s="32">
        <v>0</v>
      </c>
      <c r="L125" s="32">
        <v>0</v>
      </c>
      <c r="M125" s="32">
        <v>0</v>
      </c>
      <c r="N125" s="32">
        <v>0</v>
      </c>
      <c r="O125" s="32">
        <v>0</v>
      </c>
      <c r="P125" s="32">
        <v>0</v>
      </c>
      <c r="Q125" s="32">
        <v>0</v>
      </c>
      <c r="R125" s="32">
        <v>0</v>
      </c>
      <c r="S125" s="32">
        <v>0</v>
      </c>
      <c r="T125" s="32">
        <v>0</v>
      </c>
      <c r="U125" s="32">
        <v>0</v>
      </c>
      <c r="V125" s="32">
        <v>0</v>
      </c>
      <c r="W125" s="32">
        <v>0</v>
      </c>
      <c r="X125" s="32">
        <v>0</v>
      </c>
      <c r="Y125" s="32">
        <v>0</v>
      </c>
      <c r="Z125" s="32">
        <v>0</v>
      </c>
      <c r="AA125" s="32">
        <v>0</v>
      </c>
      <c r="AB125" s="32">
        <v>0</v>
      </c>
      <c r="AC125" s="32">
        <v>0</v>
      </c>
      <c r="AD125" s="32">
        <v>0</v>
      </c>
      <c r="AE125" s="32">
        <v>0</v>
      </c>
      <c r="AF125" s="32">
        <v>0</v>
      </c>
      <c r="AG125" s="32">
        <v>0</v>
      </c>
      <c r="AH125" s="32">
        <v>0</v>
      </c>
      <c r="AI125" s="32">
        <v>0</v>
      </c>
      <c r="AK125" s="3"/>
    </row>
    <row r="126" spans="1:37" x14ac:dyDescent="0.4">
      <c r="A126" s="104" t="s">
        <v>72</v>
      </c>
      <c r="B126" s="32" t="s">
        <v>458</v>
      </c>
      <c r="C126" s="32">
        <v>7.612929709605574E-3</v>
      </c>
      <c r="D126" s="32">
        <v>3.8064648548027859E-2</v>
      </c>
      <c r="E126" s="32">
        <v>6.3685085070738926E-3</v>
      </c>
      <c r="F126" s="32">
        <v>7.2469234735668443E-3</v>
      </c>
      <c r="G126" s="32">
        <v>1.4640249441549178E-2</v>
      </c>
      <c r="H126" s="32">
        <v>6.0025022710351629E-3</v>
      </c>
      <c r="I126" s="32">
        <v>8.6377471705140155E-3</v>
      </c>
      <c r="J126" s="32">
        <v>9.4429608897992224E-3</v>
      </c>
      <c r="K126" s="32">
        <v>9.2965583953837291E-3</v>
      </c>
      <c r="L126" s="32">
        <v>4.3920748324647544E-3</v>
      </c>
      <c r="M126" s="32">
        <v>1.3395828239017499E-2</v>
      </c>
      <c r="N126" s="32">
        <v>3.806464854802787E-3</v>
      </c>
      <c r="O126" s="32">
        <v>3.7332636075950408E-3</v>
      </c>
      <c r="P126" s="32">
        <v>4.6116785740879917E-3</v>
      </c>
      <c r="Q126" s="32">
        <v>3.1037328816084259E-2</v>
      </c>
      <c r="R126" s="32">
        <v>2.0496349218168852E-3</v>
      </c>
      <c r="S126" s="32">
        <v>8.052137192852049E-4</v>
      </c>
      <c r="T126" s="32">
        <v>2.1960374162323772E-4</v>
      </c>
      <c r="U126" s="32">
        <v>4.3188735852570078E-3</v>
      </c>
      <c r="V126" s="32">
        <v>1.3176224497394263E-3</v>
      </c>
      <c r="W126" s="32">
        <v>2.1960374162323772E-4</v>
      </c>
      <c r="X126" s="32">
        <v>7.3201247207745898E-5</v>
      </c>
      <c r="Y126" s="32">
        <v>1.464024944154918E-4</v>
      </c>
      <c r="Z126" s="32">
        <v>5.1240873045422131E-4</v>
      </c>
      <c r="AA126" s="32">
        <v>6.5881122486971316E-4</v>
      </c>
      <c r="AB126" s="32">
        <v>2.1960374162323772E-4</v>
      </c>
      <c r="AC126" s="32">
        <v>2.9280498883098359E-4</v>
      </c>
      <c r="AD126" s="32">
        <v>1.0980187081161886E-3</v>
      </c>
      <c r="AE126" s="32">
        <v>7.3201247207745898E-5</v>
      </c>
      <c r="AF126" s="32">
        <v>1.6104274385704098E-3</v>
      </c>
      <c r="AG126" s="32">
        <v>4.3920748324647544E-4</v>
      </c>
      <c r="AH126" s="32">
        <v>2.9280498883098359E-4</v>
      </c>
      <c r="AI126" s="32">
        <v>1.2444212025316803E-3</v>
      </c>
      <c r="AK126" s="3"/>
    </row>
    <row r="127" spans="1:37" x14ac:dyDescent="0.4">
      <c r="A127" s="104" t="s">
        <v>73</v>
      </c>
      <c r="B127" s="32" t="s">
        <v>458</v>
      </c>
      <c r="C127" s="32">
        <v>4.996115297138979E-2</v>
      </c>
      <c r="D127" s="32">
        <v>4.636033800832727E-2</v>
      </c>
      <c r="E127" s="32">
        <v>5.5137926854990714E-2</v>
      </c>
      <c r="F127" s="32">
        <v>3.9505972695658975E-2</v>
      </c>
      <c r="G127" s="32">
        <v>4.4586223668880806E-2</v>
      </c>
      <c r="H127" s="32">
        <v>5.5461292688983775E-2</v>
      </c>
      <c r="I127" s="32">
        <v>1.8947686475320965E-2</v>
      </c>
      <c r="J127" s="32">
        <v>2.0420714107161474E-2</v>
      </c>
      <c r="K127" s="32">
        <v>3.8237725777711451E-2</v>
      </c>
      <c r="L127" s="32">
        <v>7.3757704377157049E-2</v>
      </c>
      <c r="M127" s="32">
        <v>9.6170686138851019E-2</v>
      </c>
      <c r="N127" s="32">
        <v>7.2861146800272295E-2</v>
      </c>
      <c r="O127" s="32">
        <v>2.2192243749116086E-2</v>
      </c>
      <c r="P127" s="32">
        <v>7.8675045286893779E-3</v>
      </c>
      <c r="Q127" s="32">
        <v>4.2137513405879894E-2</v>
      </c>
      <c r="R127" s="32">
        <v>0.12977989744033291</v>
      </c>
      <c r="S127" s="32">
        <v>9.4612946915188637E-2</v>
      </c>
      <c r="T127" s="32">
        <v>1.5619793482304887E-2</v>
      </c>
      <c r="U127" s="32">
        <v>1.030739524220174E-2</v>
      </c>
      <c r="V127" s="32">
        <v>1.0903036165902952E-2</v>
      </c>
      <c r="W127" s="32">
        <v>1.8795397181167788E-2</v>
      </c>
      <c r="X127" s="32">
        <v>2.2800896804122849E-2</v>
      </c>
      <c r="Y127" s="32">
        <v>2.6733596337568968E-2</v>
      </c>
      <c r="Z127" s="32">
        <v>2.6031776924640461E-2</v>
      </c>
      <c r="AA127" s="32">
        <v>2.1456446804607312E-2</v>
      </c>
      <c r="AB127" s="32">
        <v>1.9561642217282696E-2</v>
      </c>
      <c r="AC127" s="32">
        <v>1.8637514839405747E-2</v>
      </c>
      <c r="AD127" s="32">
        <v>1.7775931177889094E-2</v>
      </c>
      <c r="AE127" s="32">
        <v>1.8620207286631905E-2</v>
      </c>
      <c r="AF127" s="32">
        <v>1.8385897731482696E-2</v>
      </c>
      <c r="AG127" s="32">
        <v>2.0595238742631843E-2</v>
      </c>
      <c r="AH127" s="32">
        <v>1.8850483994164911E-2</v>
      </c>
      <c r="AI127" s="32">
        <v>1.8318300939351936E-2</v>
      </c>
      <c r="AK127" s="3"/>
    </row>
    <row r="128" spans="1:37" x14ac:dyDescent="0.4">
      <c r="A128" s="104" t="s">
        <v>84</v>
      </c>
      <c r="B128" s="32" t="s">
        <v>458</v>
      </c>
      <c r="C128" s="32">
        <v>0.14105422033572523</v>
      </c>
      <c r="D128" s="32">
        <v>0.14381207585969508</v>
      </c>
      <c r="E128" s="32">
        <v>0.14643540184591025</v>
      </c>
      <c r="F128" s="32">
        <v>0.15302734919588695</v>
      </c>
      <c r="G128" s="32">
        <v>0.15040402320967178</v>
      </c>
      <c r="H128" s="32">
        <v>0.14596454846376908</v>
      </c>
      <c r="I128" s="32">
        <v>0.1541708502668013</v>
      </c>
      <c r="J128" s="32">
        <v>0.16143544530555107</v>
      </c>
      <c r="K128" s="32">
        <v>0.1631170645274839</v>
      </c>
      <c r="L128" s="32">
        <v>0.16062826807902333</v>
      </c>
      <c r="M128" s="32">
        <v>0.14717531430356073</v>
      </c>
      <c r="N128" s="32">
        <v>0.1454264303127506</v>
      </c>
      <c r="O128" s="32">
        <v>0.13446227298574859</v>
      </c>
      <c r="P128" s="32">
        <v>0.13621115697655872</v>
      </c>
      <c r="Q128" s="32">
        <v>0.13553850928778557</v>
      </c>
      <c r="R128" s="32">
        <v>0.1320407413061653</v>
      </c>
      <c r="S128" s="32">
        <v>0.13634568651431336</v>
      </c>
      <c r="T128" s="32">
        <v>0.12659229502710298</v>
      </c>
      <c r="U128" s="32">
        <v>0.11381198894041351</v>
      </c>
      <c r="V128" s="32">
        <v>0.17253413217030769</v>
      </c>
      <c r="W128" s="32">
        <v>0.15605426379536602</v>
      </c>
      <c r="X128" s="32">
        <v>0.14529190077499596</v>
      </c>
      <c r="Y128" s="32">
        <v>0.14959684598314399</v>
      </c>
      <c r="Z128" s="32">
        <v>0.15881211931933586</v>
      </c>
      <c r="AA128" s="32">
        <v>0.18148034643099034</v>
      </c>
      <c r="AB128" s="32">
        <v>0.17488839908101367</v>
      </c>
      <c r="AC128" s="32">
        <v>0.15222017196935919</v>
      </c>
      <c r="AD128" s="32">
        <v>0.1458972836948918</v>
      </c>
      <c r="AE128" s="32">
        <v>0.13836362958063272</v>
      </c>
      <c r="AF128" s="32">
        <v>0.13493312636788976</v>
      </c>
      <c r="AG128" s="32">
        <v>0.13419321391023931</v>
      </c>
      <c r="AH128" s="32">
        <v>0.14313942817092198</v>
      </c>
      <c r="AI128" s="32">
        <v>0.10358774407106193</v>
      </c>
      <c r="AK128" s="3"/>
    </row>
    <row r="129" spans="1:37" x14ac:dyDescent="0.4">
      <c r="A129" s="104" t="s">
        <v>75</v>
      </c>
      <c r="B129" s="32" t="s">
        <v>458</v>
      </c>
      <c r="C129" s="32">
        <v>0.12425514570943197</v>
      </c>
      <c r="D129" s="32">
        <v>0.12545174105961765</v>
      </c>
      <c r="E129" s="32">
        <v>6.5015371271686551E-2</v>
      </c>
      <c r="F129" s="32">
        <v>0.12867441024299464</v>
      </c>
      <c r="G129" s="32">
        <v>0.13778865722566799</v>
      </c>
      <c r="H129" s="32">
        <v>0.13769825180185985</v>
      </c>
      <c r="I129" s="32">
        <v>0.14465822342937149</v>
      </c>
      <c r="J129" s="32">
        <v>0.11683307934359112</v>
      </c>
      <c r="K129" s="32">
        <v>0.10947523150473294</v>
      </c>
      <c r="L129" s="32">
        <v>0.11381454438977701</v>
      </c>
      <c r="M129" s="32">
        <v>0.33675238145194802</v>
      </c>
      <c r="N129" s="32">
        <v>0.33823660105065601</v>
      </c>
      <c r="O129" s="32">
        <v>0.35029925918329657</v>
      </c>
      <c r="P129" s="32">
        <v>0.35805715972661251</v>
      </c>
      <c r="Q129" s="32">
        <v>0.32846874034312801</v>
      </c>
      <c r="R129" s="32">
        <v>0.32780588035976549</v>
      </c>
      <c r="S129" s="32">
        <v>0.2750889467695215</v>
      </c>
      <c r="T129" s="32">
        <v>0.25014025388756256</v>
      </c>
      <c r="U129" s="32">
        <v>0.23661758017220408</v>
      </c>
      <c r="V129" s="32">
        <v>0.30192654306299099</v>
      </c>
      <c r="W129" s="32">
        <v>0.31754876847447594</v>
      </c>
      <c r="X129" s="32">
        <v>0.30783217627354498</v>
      </c>
      <c r="Y129" s="32">
        <v>0.31767785655975606</v>
      </c>
      <c r="Z129" s="32">
        <v>0.25264966025445301</v>
      </c>
      <c r="AA129" s="32">
        <v>0.24930431829731708</v>
      </c>
      <c r="AB129" s="32">
        <v>0.25183478992913294</v>
      </c>
      <c r="AC129" s="32">
        <v>0.25559808691612806</v>
      </c>
      <c r="AD129" s="32">
        <v>0.26109454532955589</v>
      </c>
      <c r="AE129" s="32">
        <v>0.26353446086727983</v>
      </c>
      <c r="AF129" s="32">
        <v>0.26471827701457834</v>
      </c>
      <c r="AG129" s="32">
        <v>0.26281027021281816</v>
      </c>
      <c r="AH129" s="32">
        <v>0.27192630271011675</v>
      </c>
      <c r="AI129" s="32">
        <v>0.27213830346586798</v>
      </c>
      <c r="AK129" s="3"/>
    </row>
    <row r="130" spans="1:37" x14ac:dyDescent="0.4">
      <c r="A130" s="104" t="s">
        <v>85</v>
      </c>
      <c r="B130" s="32" t="s">
        <v>458</v>
      </c>
      <c r="C130" s="32">
        <v>0</v>
      </c>
      <c r="D130" s="32">
        <v>0</v>
      </c>
      <c r="E130" s="32">
        <v>0</v>
      </c>
      <c r="F130" s="32">
        <v>0</v>
      </c>
      <c r="G130" s="32">
        <v>0</v>
      </c>
      <c r="H130" s="32">
        <v>0</v>
      </c>
      <c r="I130" s="32">
        <v>0</v>
      </c>
      <c r="J130" s="32">
        <v>0</v>
      </c>
      <c r="K130" s="32">
        <v>0</v>
      </c>
      <c r="L130" s="32">
        <v>0</v>
      </c>
      <c r="M130" s="32">
        <v>0</v>
      </c>
      <c r="N130" s="32">
        <v>0</v>
      </c>
      <c r="O130" s="32">
        <v>0</v>
      </c>
      <c r="P130" s="32">
        <v>0</v>
      </c>
      <c r="Q130" s="32">
        <v>0</v>
      </c>
      <c r="R130" s="32">
        <v>0</v>
      </c>
      <c r="S130" s="32">
        <v>0</v>
      </c>
      <c r="T130" s="32">
        <v>0</v>
      </c>
      <c r="U130" s="32">
        <v>0</v>
      </c>
      <c r="V130" s="32">
        <v>0</v>
      </c>
      <c r="W130" s="32">
        <v>0</v>
      </c>
      <c r="X130" s="32">
        <v>0</v>
      </c>
      <c r="Y130" s="32">
        <v>0</v>
      </c>
      <c r="Z130" s="32">
        <v>0</v>
      </c>
      <c r="AA130" s="32">
        <v>0</v>
      </c>
      <c r="AB130" s="32">
        <v>0</v>
      </c>
      <c r="AC130" s="32">
        <v>0</v>
      </c>
      <c r="AD130" s="32">
        <v>0</v>
      </c>
      <c r="AE130" s="32">
        <v>0</v>
      </c>
      <c r="AF130" s="32">
        <v>0</v>
      </c>
      <c r="AG130" s="32">
        <v>0</v>
      </c>
      <c r="AH130" s="32">
        <v>0</v>
      </c>
      <c r="AI130" s="32">
        <v>0</v>
      </c>
      <c r="AK130" s="3"/>
    </row>
    <row r="131" spans="1:37" x14ac:dyDescent="0.4">
      <c r="A131" s="104" t="s">
        <v>86</v>
      </c>
      <c r="B131" s="32" t="s">
        <v>458</v>
      </c>
      <c r="C131" s="32">
        <v>0</v>
      </c>
      <c r="D131" s="32">
        <v>0</v>
      </c>
      <c r="E131" s="32">
        <v>0</v>
      </c>
      <c r="F131" s="32">
        <v>0</v>
      </c>
      <c r="G131" s="32">
        <v>0</v>
      </c>
      <c r="H131" s="32">
        <v>0</v>
      </c>
      <c r="I131" s="32">
        <v>0</v>
      </c>
      <c r="J131" s="32">
        <v>0</v>
      </c>
      <c r="K131" s="32">
        <v>0</v>
      </c>
      <c r="L131" s="32">
        <v>0</v>
      </c>
      <c r="M131" s="32">
        <v>0</v>
      </c>
      <c r="N131" s="32">
        <v>0</v>
      </c>
      <c r="O131" s="32">
        <v>0</v>
      </c>
      <c r="P131" s="32">
        <v>0</v>
      </c>
      <c r="Q131" s="32">
        <v>0</v>
      </c>
      <c r="R131" s="32">
        <v>0</v>
      </c>
      <c r="S131" s="32">
        <v>0</v>
      </c>
      <c r="T131" s="32">
        <v>0</v>
      </c>
      <c r="U131" s="32">
        <v>0</v>
      </c>
      <c r="V131" s="32">
        <v>0</v>
      </c>
      <c r="W131" s="32">
        <v>0</v>
      </c>
      <c r="X131" s="32">
        <v>0</v>
      </c>
      <c r="Y131" s="32">
        <v>0</v>
      </c>
      <c r="Z131" s="32">
        <v>0</v>
      </c>
      <c r="AA131" s="32">
        <v>0</v>
      </c>
      <c r="AB131" s="32">
        <v>0</v>
      </c>
      <c r="AC131" s="32">
        <v>0</v>
      </c>
      <c r="AD131" s="32">
        <v>0</v>
      </c>
      <c r="AE131" s="32">
        <v>0</v>
      </c>
      <c r="AF131" s="32">
        <v>0</v>
      </c>
      <c r="AG131" s="32">
        <v>0</v>
      </c>
      <c r="AH131" s="32">
        <v>0</v>
      </c>
      <c r="AI131" s="32">
        <v>0</v>
      </c>
      <c r="AK131" s="3"/>
    </row>
    <row r="132" spans="1:37" x14ac:dyDescent="0.4">
      <c r="A132" s="104" t="s">
        <v>87</v>
      </c>
      <c r="B132" s="32" t="s">
        <v>458</v>
      </c>
      <c r="C132" s="32">
        <v>0</v>
      </c>
      <c r="D132" s="32">
        <v>0</v>
      </c>
      <c r="E132" s="32">
        <v>0</v>
      </c>
      <c r="F132" s="32">
        <v>0</v>
      </c>
      <c r="G132" s="32">
        <v>0</v>
      </c>
      <c r="H132" s="32">
        <v>0</v>
      </c>
      <c r="I132" s="32">
        <v>0</v>
      </c>
      <c r="J132" s="32">
        <v>0</v>
      </c>
      <c r="K132" s="32">
        <v>0</v>
      </c>
      <c r="L132" s="32">
        <v>0</v>
      </c>
      <c r="M132" s="32">
        <v>0</v>
      </c>
      <c r="N132" s="32">
        <v>0</v>
      </c>
      <c r="O132" s="32">
        <v>0</v>
      </c>
      <c r="P132" s="32">
        <v>0</v>
      </c>
      <c r="Q132" s="32">
        <v>0</v>
      </c>
      <c r="R132" s="32">
        <v>0</v>
      </c>
      <c r="S132" s="32">
        <v>0</v>
      </c>
      <c r="T132" s="32">
        <v>0</v>
      </c>
      <c r="U132" s="32">
        <v>0</v>
      </c>
      <c r="V132" s="32">
        <v>0</v>
      </c>
      <c r="W132" s="32">
        <v>0</v>
      </c>
      <c r="X132" s="32">
        <v>0</v>
      </c>
      <c r="Y132" s="32">
        <v>0</v>
      </c>
      <c r="Z132" s="32">
        <v>0</v>
      </c>
      <c r="AA132" s="32">
        <v>0</v>
      </c>
      <c r="AB132" s="32">
        <v>0</v>
      </c>
      <c r="AC132" s="32">
        <v>0</v>
      </c>
      <c r="AD132" s="32">
        <v>0</v>
      </c>
      <c r="AE132" s="32">
        <v>0</v>
      </c>
      <c r="AF132" s="32">
        <v>0</v>
      </c>
      <c r="AG132" s="32">
        <v>0</v>
      </c>
      <c r="AH132" s="32">
        <v>0</v>
      </c>
      <c r="AI132" s="32">
        <v>0</v>
      </c>
      <c r="AK132" s="3"/>
    </row>
    <row r="133" spans="1:37" x14ac:dyDescent="0.4">
      <c r="A133" s="104" t="s">
        <v>88</v>
      </c>
      <c r="B133" s="32" t="s">
        <v>458</v>
      </c>
      <c r="C133" s="32">
        <v>0</v>
      </c>
      <c r="D133" s="32">
        <v>0</v>
      </c>
      <c r="E133" s="32">
        <v>0</v>
      </c>
      <c r="F133" s="32">
        <v>0</v>
      </c>
      <c r="G133" s="32">
        <v>0</v>
      </c>
      <c r="H133" s="32">
        <v>0</v>
      </c>
      <c r="I133" s="32">
        <v>0</v>
      </c>
      <c r="J133" s="32">
        <v>0</v>
      </c>
      <c r="K133" s="32">
        <v>0</v>
      </c>
      <c r="L133" s="32">
        <v>0</v>
      </c>
      <c r="M133" s="32">
        <v>0</v>
      </c>
      <c r="N133" s="32">
        <v>0</v>
      </c>
      <c r="O133" s="32">
        <v>0</v>
      </c>
      <c r="P133" s="32">
        <v>0</v>
      </c>
      <c r="Q133" s="32">
        <v>0</v>
      </c>
      <c r="R133" s="32">
        <v>0</v>
      </c>
      <c r="S133" s="32">
        <v>0</v>
      </c>
      <c r="T133" s="32">
        <v>0</v>
      </c>
      <c r="U133" s="32">
        <v>0</v>
      </c>
      <c r="V133" s="32">
        <v>0</v>
      </c>
      <c r="W133" s="32">
        <v>0</v>
      </c>
      <c r="X133" s="32">
        <v>0</v>
      </c>
      <c r="Y133" s="32">
        <v>0</v>
      </c>
      <c r="Z133" s="32">
        <v>0</v>
      </c>
      <c r="AA133" s="32">
        <v>0</v>
      </c>
      <c r="AB133" s="32">
        <v>0</v>
      </c>
      <c r="AC133" s="32">
        <v>0</v>
      </c>
      <c r="AD133" s="32">
        <v>0</v>
      </c>
      <c r="AE133" s="32">
        <v>0</v>
      </c>
      <c r="AF133" s="32">
        <v>0</v>
      </c>
      <c r="AG133" s="32">
        <v>0</v>
      </c>
      <c r="AH133" s="32">
        <v>0</v>
      </c>
      <c r="AI133" s="32">
        <v>0</v>
      </c>
      <c r="AK133" s="3"/>
    </row>
    <row r="134" spans="1:37" x14ac:dyDescent="0.4">
      <c r="A134" s="104" t="s">
        <v>69</v>
      </c>
      <c r="B134" s="32" t="s">
        <v>458</v>
      </c>
      <c r="C134" s="32">
        <v>0.53550857163671017</v>
      </c>
      <c r="D134" s="32">
        <v>0.86278523122370754</v>
      </c>
      <c r="E134" s="32">
        <v>1.4457269077385222</v>
      </c>
      <c r="F134" s="32">
        <v>1.1165633491238192</v>
      </c>
      <c r="G134" s="32">
        <v>0.58187442745014983</v>
      </c>
      <c r="H134" s="32">
        <v>0.67042328739080193</v>
      </c>
      <c r="I134" s="32">
        <v>0.65920123070052772</v>
      </c>
      <c r="J134" s="32">
        <v>0.63342394666922108</v>
      </c>
      <c r="K134" s="32">
        <v>0.31549456927018282</v>
      </c>
      <c r="L134" s="32">
        <v>0.41055632332874981</v>
      </c>
      <c r="M134" s="32">
        <v>0.78059100314049801</v>
      </c>
      <c r="N134" s="32">
        <v>0.62851047090472567</v>
      </c>
      <c r="O134" s="32">
        <v>0.35629224220911415</v>
      </c>
      <c r="P134" s="32">
        <v>0.26701943640237591</v>
      </c>
      <c r="Q134" s="32">
        <v>0.28732192425988151</v>
      </c>
      <c r="R134" s="32">
        <v>0.38813697236189221</v>
      </c>
      <c r="S134" s="32">
        <v>0.28959699978877729</v>
      </c>
      <c r="T134" s="32">
        <v>0.10886743033641265</v>
      </c>
      <c r="U134" s="32">
        <v>4.6817952364205662E-2</v>
      </c>
      <c r="V134" s="32">
        <v>1.2084920688412793E-2</v>
      </c>
      <c r="W134" s="32">
        <v>4.0056544027015056E-2</v>
      </c>
      <c r="X134" s="32">
        <v>0</v>
      </c>
      <c r="Y134" s="32">
        <v>0</v>
      </c>
      <c r="Z134" s="32">
        <v>0</v>
      </c>
      <c r="AA134" s="32">
        <v>0</v>
      </c>
      <c r="AB134" s="32">
        <v>2.884015359222323E-4</v>
      </c>
      <c r="AC134" s="32">
        <v>4.9827641651342355E-4</v>
      </c>
      <c r="AD134" s="32">
        <v>0</v>
      </c>
      <c r="AE134" s="32">
        <v>0</v>
      </c>
      <c r="AF134" s="32">
        <v>0</v>
      </c>
      <c r="AG134" s="32">
        <v>3.3311405887157105E-4</v>
      </c>
      <c r="AH134" s="32">
        <v>5.4034433501227704E-4</v>
      </c>
      <c r="AI134" s="32">
        <v>7.1338209086190931E-3</v>
      </c>
      <c r="AK134" s="3"/>
    </row>
    <row r="135" spans="1:37" x14ac:dyDescent="0.4">
      <c r="A135" s="104" t="s">
        <v>89</v>
      </c>
      <c r="B135" s="32" t="s">
        <v>458</v>
      </c>
      <c r="C135" s="32">
        <v>0</v>
      </c>
      <c r="D135" s="32">
        <v>0</v>
      </c>
      <c r="E135" s="32">
        <v>0</v>
      </c>
      <c r="F135" s="32">
        <v>0</v>
      </c>
      <c r="G135" s="32">
        <v>0</v>
      </c>
      <c r="H135" s="32">
        <v>0</v>
      </c>
      <c r="I135" s="32">
        <v>0</v>
      </c>
      <c r="J135" s="32">
        <v>0</v>
      </c>
      <c r="K135" s="32">
        <v>0</v>
      </c>
      <c r="L135" s="32">
        <v>0</v>
      </c>
      <c r="M135" s="32">
        <v>0</v>
      </c>
      <c r="N135" s="32">
        <v>0</v>
      </c>
      <c r="O135" s="32">
        <v>0</v>
      </c>
      <c r="P135" s="32">
        <v>0</v>
      </c>
      <c r="Q135" s="32">
        <v>0</v>
      </c>
      <c r="R135" s="32">
        <v>0</v>
      </c>
      <c r="S135" s="32">
        <v>0</v>
      </c>
      <c r="T135" s="32">
        <v>0</v>
      </c>
      <c r="U135" s="32">
        <v>0</v>
      </c>
      <c r="V135" s="32">
        <v>0</v>
      </c>
      <c r="W135" s="32">
        <v>0</v>
      </c>
      <c r="X135" s="32">
        <v>0</v>
      </c>
      <c r="Y135" s="32">
        <v>0</v>
      </c>
      <c r="Z135" s="32">
        <v>0</v>
      </c>
      <c r="AA135" s="32">
        <v>0</v>
      </c>
      <c r="AB135" s="32">
        <v>0</v>
      </c>
      <c r="AC135" s="32">
        <v>0</v>
      </c>
      <c r="AD135" s="32">
        <v>0</v>
      </c>
      <c r="AE135" s="32">
        <v>0</v>
      </c>
      <c r="AF135" s="32">
        <v>0</v>
      </c>
      <c r="AG135" s="32">
        <v>0</v>
      </c>
      <c r="AH135" s="32">
        <v>0</v>
      </c>
      <c r="AI135" s="32">
        <v>0</v>
      </c>
      <c r="AK135" s="3"/>
    </row>
    <row r="136" spans="1:37" x14ac:dyDescent="0.4">
      <c r="A136" s="104" t="s">
        <v>90</v>
      </c>
      <c r="B136" s="32" t="s">
        <v>458</v>
      </c>
      <c r="C136" s="32">
        <v>7.5986563000755153E-2</v>
      </c>
      <c r="D136" s="32">
        <v>8.6922016179211706E-2</v>
      </c>
      <c r="E136" s="32">
        <v>8.1935574391936272E-2</v>
      </c>
      <c r="F136" s="32">
        <v>6.2709854256504771E-2</v>
      </c>
      <c r="G136" s="32">
        <v>5.309455952224406E-2</v>
      </c>
      <c r="H136" s="32">
        <v>3.6225505759175054E-2</v>
      </c>
      <c r="I136" s="32">
        <v>3.7244651840139115E-2</v>
      </c>
      <c r="J136" s="32">
        <v>5.5525793928426624E-2</v>
      </c>
      <c r="K136" s="32">
        <v>7.3035216658442384E-2</v>
      </c>
      <c r="L136" s="32">
        <v>4.9109601912947935E-2</v>
      </c>
      <c r="M136" s="32">
        <v>3.6827833842737911E-2</v>
      </c>
      <c r="N136" s="32">
        <v>4.843484412939935E-2</v>
      </c>
      <c r="O136" s="32">
        <v>4.0301469752785257E-2</v>
      </c>
      <c r="P136" s="32">
        <v>2.5639984025593657E-2</v>
      </c>
      <c r="Q136" s="32">
        <v>3.017328808138486E-2</v>
      </c>
      <c r="R136" s="32">
        <v>3.3197776896277717E-2</v>
      </c>
      <c r="S136" s="32">
        <v>3.5504102270697419E-2</v>
      </c>
      <c r="T136" s="32">
        <v>3.8282263676181372E-2</v>
      </c>
      <c r="U136" s="32">
        <v>1.9985528546660462E-2</v>
      </c>
      <c r="V136" s="32">
        <v>1.0339640384571688E-2</v>
      </c>
      <c r="W136" s="32">
        <v>9.0930147137734865E-3</v>
      </c>
      <c r="X136" s="32">
        <v>5.9645004928486622E-3</v>
      </c>
      <c r="Y136" s="32">
        <v>3.8682935171734045E-2</v>
      </c>
      <c r="Z136" s="32">
        <v>3.7249756821955513E-2</v>
      </c>
      <c r="AA136" s="32">
        <v>3.6414382541785299E-2</v>
      </c>
      <c r="AB136" s="32">
        <v>3.4873914015017195E-2</v>
      </c>
      <c r="AC136" s="32">
        <v>3.5092052363223152E-2</v>
      </c>
      <c r="AD136" s="32">
        <v>3.3991575968673422E-2</v>
      </c>
      <c r="AE136" s="32">
        <v>3.3585039734320671E-2</v>
      </c>
      <c r="AF136" s="32">
        <v>2.9244398174579037E-2</v>
      </c>
      <c r="AG136" s="32">
        <v>3.0122711089276437E-2</v>
      </c>
      <c r="AH136" s="32">
        <v>3.3199923261270782E-2</v>
      </c>
      <c r="AI136" s="32">
        <v>3.3255026868343439E-2</v>
      </c>
      <c r="AK136" s="3"/>
    </row>
    <row r="137" spans="1:37" x14ac:dyDescent="0.4">
      <c r="A137" s="104" t="s">
        <v>91</v>
      </c>
      <c r="B137" s="32" t="s">
        <v>458</v>
      </c>
      <c r="C137" s="32">
        <v>0</v>
      </c>
      <c r="D137" s="32">
        <v>0</v>
      </c>
      <c r="E137" s="32">
        <v>0</v>
      </c>
      <c r="F137" s="32">
        <v>0</v>
      </c>
      <c r="G137" s="32">
        <v>0</v>
      </c>
      <c r="H137" s="32">
        <v>0</v>
      </c>
      <c r="I137" s="32">
        <v>0</v>
      </c>
      <c r="J137" s="32">
        <v>0</v>
      </c>
      <c r="K137" s="32">
        <v>0</v>
      </c>
      <c r="L137" s="32">
        <v>0</v>
      </c>
      <c r="M137" s="32">
        <v>0</v>
      </c>
      <c r="N137" s="32">
        <v>0</v>
      </c>
      <c r="O137" s="32">
        <v>0</v>
      </c>
      <c r="P137" s="32">
        <v>0</v>
      </c>
      <c r="Q137" s="32">
        <v>0</v>
      </c>
      <c r="R137" s="32">
        <v>0</v>
      </c>
      <c r="S137" s="32">
        <v>0</v>
      </c>
      <c r="T137" s="32">
        <v>0</v>
      </c>
      <c r="U137" s="32">
        <v>0</v>
      </c>
      <c r="V137" s="32">
        <v>0</v>
      </c>
      <c r="W137" s="32">
        <v>0</v>
      </c>
      <c r="X137" s="32">
        <v>0</v>
      </c>
      <c r="Y137" s="32">
        <v>0</v>
      </c>
      <c r="Z137" s="32">
        <v>0</v>
      </c>
      <c r="AA137" s="32">
        <v>0</v>
      </c>
      <c r="AB137" s="32">
        <v>0</v>
      </c>
      <c r="AC137" s="32">
        <v>0</v>
      </c>
      <c r="AD137" s="32">
        <v>0</v>
      </c>
      <c r="AE137" s="32">
        <v>0</v>
      </c>
      <c r="AF137" s="32">
        <v>0</v>
      </c>
      <c r="AG137" s="32">
        <v>0</v>
      </c>
      <c r="AH137" s="32">
        <v>0</v>
      </c>
      <c r="AI137" s="32">
        <v>0</v>
      </c>
      <c r="AK137" s="3"/>
    </row>
    <row r="138" spans="1:37" x14ac:dyDescent="0.4">
      <c r="A138" s="104" t="s">
        <v>92</v>
      </c>
      <c r="B138" s="32" t="s">
        <v>458</v>
      </c>
      <c r="C138" s="32">
        <v>2.3540849350976764E-2</v>
      </c>
      <c r="D138" s="32">
        <v>2.4979626879580025E-2</v>
      </c>
      <c r="E138" s="32">
        <v>2.6846976437979998E-2</v>
      </c>
      <c r="F138" s="32">
        <v>2.7214323892091476E-2</v>
      </c>
      <c r="G138" s="32">
        <v>2.7214323892091476E-2</v>
      </c>
      <c r="H138" s="32">
        <v>3.3795965778255332E-2</v>
      </c>
      <c r="I138" s="32">
        <v>3.0367389539881596E-2</v>
      </c>
      <c r="J138" s="32">
        <v>2.9418408616760299E-2</v>
      </c>
      <c r="K138" s="32">
        <v>2.598983237838657E-2</v>
      </c>
      <c r="L138" s="32">
        <v>2.2959215881966935E-2</v>
      </c>
      <c r="M138" s="32">
        <v>2.3602073926662009E-2</v>
      </c>
      <c r="N138" s="32">
        <v>2.0877580308668601E-2</v>
      </c>
      <c r="O138" s="32">
        <v>2.0142885400445655E-2</v>
      </c>
      <c r="P138" s="32">
        <v>1.9959211673389918E-2</v>
      </c>
      <c r="Q138" s="32">
        <v>2.0357171415344016E-2</v>
      </c>
      <c r="R138" s="32">
        <v>1.6255124844432593E-2</v>
      </c>
      <c r="S138" s="32">
        <v>1.3622468089967048E-2</v>
      </c>
      <c r="T138" s="32">
        <v>1.1908179970780183E-2</v>
      </c>
      <c r="U138" s="32">
        <v>7.591847384970399E-3</v>
      </c>
      <c r="V138" s="32">
        <v>1.0622463881390034E-2</v>
      </c>
      <c r="W138" s="32">
        <v>9.3673600798425075E-3</v>
      </c>
      <c r="X138" s="32">
        <v>9.5204215190556208E-3</v>
      </c>
      <c r="Y138" s="32">
        <v>9.4285846555277521E-3</v>
      </c>
      <c r="Z138" s="32">
        <v>8.4796037324064537E-3</v>
      </c>
      <c r="AA138" s="32">
        <v>7.0714384916458137E-3</v>
      </c>
      <c r="AB138" s="32">
        <v>7.3469490822294188E-3</v>
      </c>
      <c r="AC138" s="32">
        <v>5.6020486751999317E-3</v>
      </c>
      <c r="AD138" s="32">
        <v>6.8571524767474567E-3</v>
      </c>
      <c r="AE138" s="32">
        <v>5.7551101144130441E-3</v>
      </c>
      <c r="AF138" s="32">
        <v>5.0816397818753481E-3</v>
      </c>
      <c r="AG138" s="32">
        <v>6.5204173104786095E-3</v>
      </c>
      <c r="AH138" s="32">
        <v>8.2959300053507198E-3</v>
      </c>
      <c r="AI138" s="32">
        <v>5.7551101144130441E-3</v>
      </c>
      <c r="AK138" s="3"/>
    </row>
    <row r="139" spans="1:37" x14ac:dyDescent="0.4">
      <c r="A139" s="104" t="s">
        <v>62</v>
      </c>
      <c r="B139" s="32" t="s">
        <v>458</v>
      </c>
      <c r="C139" s="32">
        <v>2.7966299053821677</v>
      </c>
      <c r="D139" s="32">
        <v>3.6095015171878266</v>
      </c>
      <c r="E139" s="32">
        <v>3.6304259223923827</v>
      </c>
      <c r="F139" s="32">
        <v>3.2776429031000216</v>
      </c>
      <c r="G139" s="32">
        <v>3.1903182041108562</v>
      </c>
      <c r="H139" s="32">
        <v>3.1104662243858061</v>
      </c>
      <c r="I139" s="32">
        <v>3.2401048952951004</v>
      </c>
      <c r="J139" s="32">
        <v>3.1184882938218399</v>
      </c>
      <c r="K139" s="32">
        <v>4.0138255033743171</v>
      </c>
      <c r="L139" s="32">
        <v>3.8434739480769324</v>
      </c>
      <c r="M139" s="32">
        <v>4.1956313541546884</v>
      </c>
      <c r="N139" s="32">
        <v>4.3955433373117687</v>
      </c>
      <c r="O139" s="32">
        <v>2.2616852161116334</v>
      </c>
      <c r="P139" s="32">
        <v>2.2319713324191759</v>
      </c>
      <c r="Q139" s="32">
        <v>2.4139883806579645</v>
      </c>
      <c r="R139" s="32">
        <v>2.1831562465087706</v>
      </c>
      <c r="S139" s="32">
        <v>2.3440485475391766</v>
      </c>
      <c r="T139" s="32">
        <v>2.2638362233203084</v>
      </c>
      <c r="U139" s="32">
        <v>2.027552599045928</v>
      </c>
      <c r="V139" s="32">
        <v>2.2792165965411635</v>
      </c>
      <c r="W139" s="32">
        <v>2.4414464617694986</v>
      </c>
      <c r="X139" s="32">
        <v>2.2650003419583009</v>
      </c>
      <c r="Y139" s="32">
        <v>2.4121479015227054</v>
      </c>
      <c r="Z139" s="32">
        <v>2.3325985159623941</v>
      </c>
      <c r="AA139" s="32">
        <v>2.2756383195628573</v>
      </c>
      <c r="AB139" s="32">
        <v>2.3227826190572349</v>
      </c>
      <c r="AC139" s="32">
        <v>2.3608606424893379</v>
      </c>
      <c r="AD139" s="32">
        <v>2.3816094300240498</v>
      </c>
      <c r="AE139" s="32">
        <v>2.4450619094059327</v>
      </c>
      <c r="AF139" s="32">
        <v>2.2832453647370832</v>
      </c>
      <c r="AG139" s="32">
        <v>2.3885479588271816</v>
      </c>
      <c r="AH139" s="32">
        <v>2.3932574681715586</v>
      </c>
      <c r="AI139" s="32">
        <v>2.1765829078056607</v>
      </c>
      <c r="AK139" s="3"/>
    </row>
    <row r="140" spans="1:37" ht="16.5" thickBot="1" x14ac:dyDescent="0.45">
      <c r="A140" s="138" t="s">
        <v>63</v>
      </c>
      <c r="B140" s="161" t="s">
        <v>458</v>
      </c>
      <c r="C140" s="161">
        <v>0</v>
      </c>
      <c r="D140" s="161">
        <v>0</v>
      </c>
      <c r="E140" s="161">
        <v>0</v>
      </c>
      <c r="F140" s="161">
        <v>0</v>
      </c>
      <c r="G140" s="161">
        <v>0</v>
      </c>
      <c r="H140" s="161">
        <v>0</v>
      </c>
      <c r="I140" s="161">
        <v>0</v>
      </c>
      <c r="J140" s="161">
        <v>0</v>
      </c>
      <c r="K140" s="161">
        <v>0</v>
      </c>
      <c r="L140" s="161">
        <v>0</v>
      </c>
      <c r="M140" s="161">
        <v>0</v>
      </c>
      <c r="N140" s="161">
        <v>0</v>
      </c>
      <c r="O140" s="161">
        <v>0</v>
      </c>
      <c r="P140" s="161">
        <v>0</v>
      </c>
      <c r="Q140" s="161">
        <v>0</v>
      </c>
      <c r="R140" s="161">
        <v>0</v>
      </c>
      <c r="S140" s="161">
        <v>0</v>
      </c>
      <c r="T140" s="161">
        <v>0</v>
      </c>
      <c r="U140" s="161">
        <v>0</v>
      </c>
      <c r="V140" s="161">
        <v>0</v>
      </c>
      <c r="W140" s="161">
        <v>0</v>
      </c>
      <c r="X140" s="161">
        <v>0</v>
      </c>
      <c r="Y140" s="161">
        <v>0</v>
      </c>
      <c r="Z140" s="161">
        <v>0</v>
      </c>
      <c r="AA140" s="161">
        <v>0</v>
      </c>
      <c r="AB140" s="161">
        <v>0</v>
      </c>
      <c r="AC140" s="161">
        <v>0</v>
      </c>
      <c r="AD140" s="161">
        <v>0</v>
      </c>
      <c r="AE140" s="161">
        <v>0</v>
      </c>
      <c r="AF140" s="161">
        <v>0</v>
      </c>
      <c r="AG140" s="161">
        <v>0</v>
      </c>
      <c r="AH140" s="161">
        <v>0</v>
      </c>
      <c r="AI140" s="161">
        <v>0</v>
      </c>
      <c r="AK140" s="3"/>
    </row>
    <row r="141" spans="1:37" ht="17" x14ac:dyDescent="0.45">
      <c r="A141" s="252" t="s">
        <v>449</v>
      </c>
      <c r="B141" s="241" t="s">
        <v>458</v>
      </c>
      <c r="C141" s="258">
        <v>26.92460625264826</v>
      </c>
      <c r="D141" s="258">
        <v>26.448466366325668</v>
      </c>
      <c r="E141" s="258">
        <v>26.684940195948609</v>
      </c>
      <c r="F141" s="258">
        <v>26.904845065360281</v>
      </c>
      <c r="G141" s="258">
        <v>27.543957964998537</v>
      </c>
      <c r="H141" s="258">
        <v>28.348712325078182</v>
      </c>
      <c r="I141" s="258">
        <v>28.69167682250546</v>
      </c>
      <c r="J141" s="258">
        <v>28.981165134559841</v>
      </c>
      <c r="K141" s="258">
        <v>29.667708078894691</v>
      </c>
      <c r="L141" s="258">
        <v>30.840346353806449</v>
      </c>
      <c r="M141" s="258">
        <v>30.390777107441533</v>
      </c>
      <c r="N141" s="258">
        <v>30.598758285542427</v>
      </c>
      <c r="O141" s="258">
        <v>31.043963055913085</v>
      </c>
      <c r="P141" s="258">
        <v>32.3403968225931</v>
      </c>
      <c r="Q141" s="258">
        <v>32.345380523700065</v>
      </c>
      <c r="R141" s="258">
        <v>31.466623128123757</v>
      </c>
      <c r="S141" s="258">
        <v>31.819150693171284</v>
      </c>
      <c r="T141" s="258">
        <v>30.86282488303754</v>
      </c>
      <c r="U141" s="258">
        <v>28.977785301980987</v>
      </c>
      <c r="V141" s="258">
        <v>29.194406294139284</v>
      </c>
      <c r="W141" s="258">
        <v>29.122866885250293</v>
      </c>
      <c r="X141" s="258">
        <v>28.589464823242725</v>
      </c>
      <c r="Y141" s="258">
        <v>29.863734621973755</v>
      </c>
      <c r="Z141" s="258">
        <v>28.070166775754295</v>
      </c>
      <c r="AA141" s="258">
        <v>28.563982489108184</v>
      </c>
      <c r="AB141" s="258">
        <v>28.915475634666457</v>
      </c>
      <c r="AC141" s="258">
        <v>28.383866566732596</v>
      </c>
      <c r="AD141" s="258">
        <v>29.007851076241241</v>
      </c>
      <c r="AE141" s="258">
        <v>28.718290747720122</v>
      </c>
      <c r="AF141" s="258">
        <v>22.643265319497903</v>
      </c>
      <c r="AG141" s="258">
        <v>25.369592412136146</v>
      </c>
      <c r="AH141" s="258">
        <v>25.922326415031002</v>
      </c>
      <c r="AI141" s="258">
        <v>25.981513834476111</v>
      </c>
      <c r="AK141" s="3"/>
    </row>
    <row r="142" spans="1:37" x14ac:dyDescent="0.4">
      <c r="A142" s="104" t="s">
        <v>93</v>
      </c>
      <c r="B142" s="32" t="s">
        <v>458</v>
      </c>
      <c r="C142" s="32">
        <v>1.5624701681138903E-2</v>
      </c>
      <c r="D142" s="32">
        <v>1.5555565832992271E-2</v>
      </c>
      <c r="E142" s="32">
        <v>2.9797550551198523E-2</v>
      </c>
      <c r="F142" s="32">
        <v>2.544199211796069E-2</v>
      </c>
      <c r="G142" s="32">
        <v>2.945187131046537E-2</v>
      </c>
      <c r="H142" s="32">
        <v>3.1387675058571068E-2</v>
      </c>
      <c r="I142" s="32">
        <v>3.0350637336371587E-2</v>
      </c>
      <c r="J142" s="32">
        <v>3.0350637336371587E-2</v>
      </c>
      <c r="K142" s="32">
        <v>3.3530886351116673E-2</v>
      </c>
      <c r="L142" s="32">
        <v>4.0375335317633279E-2</v>
      </c>
      <c r="M142" s="32">
        <v>2.7861746803092821E-2</v>
      </c>
      <c r="N142" s="32">
        <v>2.6962980777186601E-2</v>
      </c>
      <c r="O142" s="32">
        <v>2.8069154347532717E-2</v>
      </c>
      <c r="P142" s="32">
        <v>3.3323478806676778E-2</v>
      </c>
      <c r="Q142" s="32">
        <v>4.0859286254659698E-2</v>
      </c>
      <c r="R142" s="32">
        <v>1.7214826188511445E-2</v>
      </c>
      <c r="S142" s="32">
        <v>3.0350637336371587E-2</v>
      </c>
      <c r="T142" s="32">
        <v>1.7422233732951344E-2</v>
      </c>
      <c r="U142" s="32">
        <v>3.387656559184983E-2</v>
      </c>
      <c r="V142" s="32">
        <v>1.9565445025496946E-2</v>
      </c>
      <c r="W142" s="32">
        <v>1.8320999758857561E-2</v>
      </c>
      <c r="X142" s="32">
        <v>1.7491369581097971E-2</v>
      </c>
      <c r="Y142" s="32">
        <v>1.500247904781921E-2</v>
      </c>
      <c r="Z142" s="98">
        <v>2.5925943054987119E-2</v>
      </c>
      <c r="AA142" s="32">
        <v>2.4750633636494365E-2</v>
      </c>
      <c r="AB142" s="32">
        <v>2.4128411003174678E-2</v>
      </c>
      <c r="AC142" s="32">
        <v>2.3367916673561723E-2</v>
      </c>
      <c r="AD142" s="32">
        <v>2.6962980777186601E-2</v>
      </c>
      <c r="AE142" s="32">
        <v>2.6824709080893336E-2</v>
      </c>
      <c r="AF142" s="32">
        <v>2.198519971062908E-2</v>
      </c>
      <c r="AG142" s="32">
        <v>2.4819769484640999E-2</v>
      </c>
      <c r="AH142" s="32">
        <v>2.571853551054722E-2</v>
      </c>
      <c r="AI142" s="32">
        <v>2.4404954395761212E-2</v>
      </c>
      <c r="AK142" s="3"/>
    </row>
    <row r="143" spans="1:37" x14ac:dyDescent="0.4">
      <c r="A143" s="104" t="s">
        <v>68</v>
      </c>
      <c r="B143" s="32" t="s">
        <v>458</v>
      </c>
      <c r="C143" s="32">
        <v>2.942833155683958</v>
      </c>
      <c r="D143" s="32">
        <v>2.9276588435816784</v>
      </c>
      <c r="E143" s="32">
        <v>3.0777349634478051</v>
      </c>
      <c r="F143" s="32">
        <v>3.351952569157604</v>
      </c>
      <c r="G143" s="32">
        <v>3.5899032538397013</v>
      </c>
      <c r="H143" s="32">
        <v>3.5541511448622032</v>
      </c>
      <c r="I143" s="32">
        <v>3.7296467371238666</v>
      </c>
      <c r="J143" s="32">
        <v>3.7342607586260792</v>
      </c>
      <c r="K143" s="32">
        <v>3.9235966339849591</v>
      </c>
      <c r="L143" s="32">
        <v>4.30741538621076</v>
      </c>
      <c r="M143" s="32">
        <v>4.4905964733519825</v>
      </c>
      <c r="N143" s="32">
        <v>4.4168711618841456</v>
      </c>
      <c r="O143" s="32">
        <v>4.4315406639891197</v>
      </c>
      <c r="P143" s="32">
        <v>5.0169392272706128</v>
      </c>
      <c r="Q143" s="32">
        <v>5.2172104954351264</v>
      </c>
      <c r="R143" s="32">
        <v>5.0638451769396573</v>
      </c>
      <c r="S143" s="32">
        <v>4.9958031080052692</v>
      </c>
      <c r="T143" s="32">
        <v>4.435674584494679</v>
      </c>
      <c r="U143" s="32">
        <v>4.5717970150203762</v>
      </c>
      <c r="V143" s="32">
        <v>4.6300068405353203</v>
      </c>
      <c r="W143" s="32">
        <v>4.8378390932852904</v>
      </c>
      <c r="X143" s="32">
        <v>4.4813116046515233</v>
      </c>
      <c r="Y143" s="32">
        <v>5.8283561594926097</v>
      </c>
      <c r="Z143" s="98">
        <v>4.4694806614515787</v>
      </c>
      <c r="AA143" s="32">
        <v>4.7663612400128743</v>
      </c>
      <c r="AB143" s="32">
        <v>4.7373723960981131</v>
      </c>
      <c r="AC143" s="32">
        <v>4.35969513080531</v>
      </c>
      <c r="AD143" s="32">
        <v>4.703262761753618</v>
      </c>
      <c r="AE143" s="32">
        <v>4.6437058722797806</v>
      </c>
      <c r="AF143" s="32">
        <v>4.4512974783827763</v>
      </c>
      <c r="AG143" s="32">
        <v>4.4063849230370922</v>
      </c>
      <c r="AH143" s="32">
        <v>4.4692221819342599</v>
      </c>
      <c r="AI143" s="32">
        <v>4.2979854758040048</v>
      </c>
      <c r="AK143" s="3"/>
    </row>
    <row r="144" spans="1:37" x14ac:dyDescent="0.4">
      <c r="A144" s="104" t="s">
        <v>67</v>
      </c>
      <c r="B144" s="32" t="s">
        <v>458</v>
      </c>
      <c r="C144" s="32">
        <v>2.961995761060058</v>
      </c>
      <c r="D144" s="32">
        <v>2.3995881051771328</v>
      </c>
      <c r="E144" s="32">
        <v>2.3799055091984633</v>
      </c>
      <c r="F144" s="32">
        <v>2.2847646998390672</v>
      </c>
      <c r="G144" s="32">
        <v>2.1169161334998634</v>
      </c>
      <c r="H144" s="32">
        <v>2.2510835525403903</v>
      </c>
      <c r="I144" s="32">
        <v>2.2607040148449555</v>
      </c>
      <c r="J144" s="32">
        <v>2.1221687551079844</v>
      </c>
      <c r="K144" s="32">
        <v>2.2145620358826097</v>
      </c>
      <c r="L144" s="32">
        <v>2.2168239938152152</v>
      </c>
      <c r="M144" s="32">
        <v>1.8962640185594355</v>
      </c>
      <c r="N144" s="32">
        <v>1.5248499034300655</v>
      </c>
      <c r="O144" s="32">
        <v>1.7646165406312229</v>
      </c>
      <c r="P144" s="32">
        <v>2.2726676271299198</v>
      </c>
      <c r="Q144" s="32">
        <v>2.4907300153748073</v>
      </c>
      <c r="R144" s="32">
        <v>2.3119860145128697</v>
      </c>
      <c r="S144" s="32">
        <v>2.2707989127419936</v>
      </c>
      <c r="T144" s="32">
        <v>3.0418482003172098</v>
      </c>
      <c r="U144" s="32">
        <v>1.6842269935703942</v>
      </c>
      <c r="V144" s="32">
        <v>2.3637685651416818</v>
      </c>
      <c r="W144" s="32">
        <v>2.3273578957215442</v>
      </c>
      <c r="X144" s="32">
        <v>2.3104342489248744</v>
      </c>
      <c r="Y144" s="32">
        <v>2.4035428917247814</v>
      </c>
      <c r="Z144" s="98">
        <v>2.3304689904175149</v>
      </c>
      <c r="AA144" s="32">
        <v>2.281266457007054</v>
      </c>
      <c r="AB144" s="32">
        <v>2.4194017131747203</v>
      </c>
      <c r="AC144" s="32">
        <v>2.6434582066492638</v>
      </c>
      <c r="AD144" s="32">
        <v>2.8145771265384814</v>
      </c>
      <c r="AE144" s="32">
        <v>2.9940571606666988</v>
      </c>
      <c r="AF144" s="32">
        <v>1.5223462375227561</v>
      </c>
      <c r="AG144" s="32">
        <v>2.1614178579742997</v>
      </c>
      <c r="AH144" s="32">
        <v>2.6837104144688397</v>
      </c>
      <c r="AI144" s="32">
        <v>2.7195003314960982</v>
      </c>
      <c r="AK144" s="3"/>
    </row>
    <row r="145" spans="1:37" x14ac:dyDescent="0.4">
      <c r="A145" s="104" t="s">
        <v>357</v>
      </c>
      <c r="B145" s="32" t="s">
        <v>458</v>
      </c>
      <c r="C145" s="32">
        <v>0.54074836077790933</v>
      </c>
      <c r="D145" s="32">
        <v>0.18816190284027892</v>
      </c>
      <c r="E145" s="32">
        <v>0.15530593980586097</v>
      </c>
      <c r="F145" s="32">
        <v>4.6823365822177096E-2</v>
      </c>
      <c r="G145" s="32">
        <v>4.7040475710069729E-3</v>
      </c>
      <c r="H145" s="32">
        <v>1.8092490657719126E-3</v>
      </c>
      <c r="I145" s="32">
        <v>8.6843955157051792E-4</v>
      </c>
      <c r="J145" s="32">
        <v>0</v>
      </c>
      <c r="K145" s="32">
        <v>0</v>
      </c>
      <c r="L145" s="32">
        <v>0</v>
      </c>
      <c r="M145" s="32">
        <v>0</v>
      </c>
      <c r="N145" s="32">
        <v>0</v>
      </c>
      <c r="O145" s="32">
        <v>0</v>
      </c>
      <c r="P145" s="32">
        <v>0</v>
      </c>
      <c r="Q145" s="32">
        <v>0</v>
      </c>
      <c r="R145" s="32">
        <v>0</v>
      </c>
      <c r="S145" s="32">
        <v>0</v>
      </c>
      <c r="T145" s="32">
        <v>0</v>
      </c>
      <c r="U145" s="32">
        <v>0</v>
      </c>
      <c r="V145" s="32">
        <v>0</v>
      </c>
      <c r="W145" s="32">
        <v>0</v>
      </c>
      <c r="X145" s="32">
        <v>0</v>
      </c>
      <c r="Y145" s="32">
        <v>0</v>
      </c>
      <c r="Z145" s="98">
        <v>0</v>
      </c>
      <c r="AA145" s="32">
        <v>0</v>
      </c>
      <c r="AB145" s="32">
        <v>0</v>
      </c>
      <c r="AC145" s="32">
        <v>0</v>
      </c>
      <c r="AD145" s="32">
        <v>0</v>
      </c>
      <c r="AE145" s="32">
        <v>0</v>
      </c>
      <c r="AF145" s="32">
        <v>0</v>
      </c>
      <c r="AG145" s="32">
        <v>0</v>
      </c>
      <c r="AH145" s="32">
        <v>0</v>
      </c>
      <c r="AI145" s="32">
        <v>0</v>
      </c>
      <c r="AK145" s="3"/>
    </row>
    <row r="146" spans="1:37" x14ac:dyDescent="0.4">
      <c r="A146" s="104" t="s">
        <v>73</v>
      </c>
      <c r="B146" s="32" t="s">
        <v>458</v>
      </c>
      <c r="C146" s="32">
        <v>1.6600434384995998E-2</v>
      </c>
      <c r="D146" s="32">
        <v>1.5342825719465996E-2</v>
      </c>
      <c r="E146" s="32">
        <v>1.4839782253253999E-2</v>
      </c>
      <c r="F146" s="32">
        <v>2.1253586447456996E-2</v>
      </c>
      <c r="G146" s="32">
        <v>1.2073043189087996E-2</v>
      </c>
      <c r="H146" s="32">
        <v>1.0878314956834499E-2</v>
      </c>
      <c r="I146" s="32">
        <v>1.1255597556493496E-2</v>
      </c>
      <c r="J146" s="32">
        <v>1.0941195390110998E-2</v>
      </c>
      <c r="K146" s="32">
        <v>3.7728259965899999E-2</v>
      </c>
      <c r="L146" s="32">
        <v>1.3519293154447496E-2</v>
      </c>
      <c r="M146" s="32">
        <v>9.9979888909635002E-3</v>
      </c>
      <c r="N146" s="32">
        <v>9.3691845581985005E-3</v>
      </c>
      <c r="O146" s="32">
        <v>9.4320649914749997E-3</v>
      </c>
      <c r="P146" s="32">
        <v>7.7342932930094983E-3</v>
      </c>
      <c r="Q146" s="32">
        <v>9.6207062913044993E-3</v>
      </c>
      <c r="R146" s="32">
        <v>8.2373367592214995E-3</v>
      </c>
      <c r="S146" s="32">
        <v>7.1054889602444986E-3</v>
      </c>
      <c r="T146" s="32">
        <v>1.3142010554788499E-2</v>
      </c>
      <c r="U146" s="32">
        <v>6.0994020278205005E-3</v>
      </c>
      <c r="V146" s="32">
        <v>2.4523368977834997E-3</v>
      </c>
      <c r="W146" s="32">
        <v>2.5780977643364996E-3</v>
      </c>
      <c r="X146" s="32">
        <v>2.5780977643364996E-3</v>
      </c>
      <c r="Y146" s="32">
        <v>2.9553803639954992E-3</v>
      </c>
      <c r="Z146" s="98">
        <v>3.9614672964194998E-3</v>
      </c>
      <c r="AA146" s="32">
        <v>6.0365215945439978E-3</v>
      </c>
      <c r="AB146" s="32">
        <v>7.9858150261154989E-3</v>
      </c>
      <c r="AC146" s="32">
        <v>1.3833695320829998E-2</v>
      </c>
      <c r="AD146" s="32">
        <v>3.3326629636544996E-3</v>
      </c>
      <c r="AE146" s="32">
        <v>2.7038586308894999E-3</v>
      </c>
      <c r="AF146" s="32">
        <v>6.2251628943734991E-3</v>
      </c>
      <c r="AG146" s="32">
        <v>4.9675542288434987E-3</v>
      </c>
      <c r="AH146" s="32">
        <v>4.2129890295254995E-3</v>
      </c>
      <c r="AI146" s="32">
        <v>4.4645107626314993E-3</v>
      </c>
      <c r="AK146" s="3"/>
    </row>
    <row r="147" spans="1:37" x14ac:dyDescent="0.4">
      <c r="A147" s="104" t="s">
        <v>75</v>
      </c>
      <c r="B147" s="32" t="s">
        <v>458</v>
      </c>
      <c r="C147" s="32">
        <v>20.211956504455937</v>
      </c>
      <c r="D147" s="32">
        <v>20.628984073454667</v>
      </c>
      <c r="E147" s="32">
        <v>20.766422863423564</v>
      </c>
      <c r="F147" s="32">
        <v>20.907177243985384</v>
      </c>
      <c r="G147" s="32">
        <v>21.551182422034451</v>
      </c>
      <c r="H147" s="32">
        <v>21.954069830838176</v>
      </c>
      <c r="I147" s="32">
        <v>22.341745705792711</v>
      </c>
      <c r="J147" s="32">
        <v>22.874709541950011</v>
      </c>
      <c r="K147" s="32">
        <v>23.248996283854314</v>
      </c>
      <c r="L147" s="32">
        <v>23.931757116136485</v>
      </c>
      <c r="M147" s="32">
        <v>23.741893993579144</v>
      </c>
      <c r="N147" s="32">
        <v>24.383919600050472</v>
      </c>
      <c r="O147" s="32">
        <v>24.636156398468536</v>
      </c>
      <c r="P147" s="32">
        <v>24.832706943952907</v>
      </c>
      <c r="Q147" s="32">
        <v>24.250288787696665</v>
      </c>
      <c r="R147" s="32">
        <v>23.790738467974748</v>
      </c>
      <c r="S147" s="32">
        <v>24.248878940438001</v>
      </c>
      <c r="T147" s="32">
        <v>23.116081777273493</v>
      </c>
      <c r="U147" s="32">
        <v>22.456284482079759</v>
      </c>
      <c r="V147" s="32">
        <v>21.937814802979158</v>
      </c>
      <c r="W147" s="32">
        <v>21.706960052323158</v>
      </c>
      <c r="X147" s="32">
        <v>21.570463374457891</v>
      </c>
      <c r="Y147" s="32">
        <v>21.382696429703536</v>
      </c>
      <c r="Z147" s="98">
        <v>21.045639004304608</v>
      </c>
      <c r="AA147" s="32">
        <v>21.271850361158958</v>
      </c>
      <c r="AB147" s="32">
        <v>21.524492565435231</v>
      </c>
      <c r="AC147" s="32">
        <v>21.147118067979186</v>
      </c>
      <c r="AD147" s="32">
        <v>21.302347112449581</v>
      </c>
      <c r="AE147" s="32">
        <v>20.880619579156839</v>
      </c>
      <c r="AF147" s="32">
        <v>16.530052260508569</v>
      </c>
      <c r="AG147" s="32">
        <v>18.556638151652209</v>
      </c>
      <c r="AH147" s="32">
        <v>18.513460664397563</v>
      </c>
      <c r="AI147" s="32">
        <v>18.742704148283117</v>
      </c>
      <c r="AK147" s="3"/>
    </row>
    <row r="148" spans="1:37" x14ac:dyDescent="0.4">
      <c r="A148" s="104" t="s">
        <v>69</v>
      </c>
      <c r="B148" s="32" t="s">
        <v>458</v>
      </c>
      <c r="C148" s="32">
        <v>6.1585965938213832E-2</v>
      </c>
      <c r="D148" s="32">
        <v>9.6495853802575263E-2</v>
      </c>
      <c r="E148" s="32">
        <v>8.1025606726777111E-2</v>
      </c>
      <c r="F148" s="32">
        <v>7.9002317549601991E-2</v>
      </c>
      <c r="G148" s="32">
        <v>5.4362466193265638E-2</v>
      </c>
      <c r="H148" s="32">
        <v>0.36579875202169565</v>
      </c>
      <c r="I148" s="32">
        <v>0.12387597310358811</v>
      </c>
      <c r="J148" s="32">
        <v>6.5209070294800038E-3</v>
      </c>
      <c r="K148" s="32">
        <v>4.008470504408816E-3</v>
      </c>
      <c r="L148" s="32">
        <v>0.12764780712541798</v>
      </c>
      <c r="M148" s="32">
        <v>3.6595699536087364E-2</v>
      </c>
      <c r="N148" s="32">
        <v>5.1242470519291927E-2</v>
      </c>
      <c r="O148" s="32">
        <v>6.0266650648790627E-4</v>
      </c>
      <c r="P148" s="32">
        <v>2.8516693526735206E-4</v>
      </c>
      <c r="Q148" s="32">
        <v>0.12809616947653038</v>
      </c>
      <c r="R148" s="32">
        <v>7.3376922269902348E-2</v>
      </c>
      <c r="S148" s="32">
        <v>6.0552929532684471E-2</v>
      </c>
      <c r="T148" s="32">
        <v>4.1800182721536489E-2</v>
      </c>
      <c r="U148" s="32">
        <v>4.3697243660195256E-2</v>
      </c>
      <c r="V148" s="32">
        <v>4.0789256924809517E-2</v>
      </c>
      <c r="W148" s="32">
        <v>3.2662739022375292E-2</v>
      </c>
      <c r="X148" s="32">
        <v>2.4262975604721772E-2</v>
      </c>
      <c r="Y148" s="32">
        <v>3.2099914731705412E-2</v>
      </c>
      <c r="Z148" s="98">
        <v>7.6787191247035119E-3</v>
      </c>
      <c r="AA148" s="32">
        <v>4.9615533286217622E-3</v>
      </c>
      <c r="AB148" s="32">
        <v>2.610919786271787E-2</v>
      </c>
      <c r="AC148" s="32">
        <v>5.1331748269194927E-2</v>
      </c>
      <c r="AD148" s="32">
        <v>1.6050177793555609E-2</v>
      </c>
      <c r="AE148" s="32">
        <v>3.6367389618220627E-2</v>
      </c>
      <c r="AF148" s="32">
        <v>1.4918477759929879E-3</v>
      </c>
      <c r="AG148" s="32">
        <v>9.8537356568704562E-2</v>
      </c>
      <c r="AH148" s="32">
        <v>0.10059389219002367</v>
      </c>
      <c r="AI148" s="32">
        <v>8.7558265046840666E-2</v>
      </c>
      <c r="AK148" s="3"/>
    </row>
    <row r="149" spans="1:37" x14ac:dyDescent="0.4">
      <c r="A149" s="104" t="s">
        <v>62</v>
      </c>
      <c r="B149" s="32" t="s">
        <v>458</v>
      </c>
      <c r="C149" s="32">
        <v>5.4588806964422069E-5</v>
      </c>
      <c r="D149" s="32">
        <v>1.0917761392884414E-4</v>
      </c>
      <c r="E149" s="32">
        <v>1.09253332631684E-4</v>
      </c>
      <c r="F149" s="32">
        <v>4.9152619781934082E-4</v>
      </c>
      <c r="G149" s="32">
        <v>6.5567202359502615E-4</v>
      </c>
      <c r="H149" s="32">
        <v>2.7319667649792757E-4</v>
      </c>
      <c r="I149" s="32">
        <v>3.8793928062705709E-3</v>
      </c>
      <c r="J149" s="32">
        <v>3.984065238362298E-3</v>
      </c>
      <c r="K149" s="32">
        <v>4.9710266347416212E-3</v>
      </c>
      <c r="L149" s="32">
        <v>5.5198549293330283E-3</v>
      </c>
      <c r="M149" s="32">
        <v>6.8267527474908454E-3</v>
      </c>
      <c r="N149" s="32">
        <v>6.8877581849242937E-3</v>
      </c>
      <c r="O149" s="32">
        <v>8.4105593849087244E-3</v>
      </c>
      <c r="P149" s="32">
        <v>9.4526050068282959E-3</v>
      </c>
      <c r="Q149" s="32">
        <v>4.2162024968503464E-2</v>
      </c>
      <c r="R149" s="32">
        <v>3.9049025715647639E-2</v>
      </c>
      <c r="S149" s="32">
        <v>3.8238666421089397E-2</v>
      </c>
      <c r="T149" s="32">
        <v>4.1407013067408231E-2</v>
      </c>
      <c r="U149" s="32">
        <v>4.2027410303535635E-2</v>
      </c>
      <c r="V149" s="32">
        <v>4.018795578253808E-2</v>
      </c>
      <c r="W149" s="32">
        <v>4.1564596961506863E-2</v>
      </c>
      <c r="X149" s="32">
        <v>4.1599872847042758E-2</v>
      </c>
      <c r="Y149" s="32">
        <v>3.8184039754773559E-2</v>
      </c>
      <c r="Z149" s="98">
        <v>3.9231292881024088E-2</v>
      </c>
      <c r="AA149" s="32">
        <v>4.4091568157977469E-2</v>
      </c>
      <c r="AB149" s="32">
        <v>1.972947796438547E-2</v>
      </c>
      <c r="AC149" s="32">
        <v>6.1600533035981583E-3</v>
      </c>
      <c r="AD149" s="32">
        <v>6.9232457482917356E-3</v>
      </c>
      <c r="AE149" s="32">
        <v>7.0835594153091644E-3</v>
      </c>
      <c r="AF149" s="32">
        <v>5.0686227919553841E-3</v>
      </c>
      <c r="AG149" s="32">
        <v>4.3601056274885025E-3</v>
      </c>
      <c r="AH149" s="32">
        <v>6.214567049647699E-3</v>
      </c>
      <c r="AI149" s="32">
        <v>8.6131718758275123E-3</v>
      </c>
      <c r="AK149" s="3"/>
    </row>
    <row r="150" spans="1:37" x14ac:dyDescent="0.4">
      <c r="A150" s="104" t="s">
        <v>63</v>
      </c>
      <c r="B150" s="32" t="s">
        <v>458</v>
      </c>
      <c r="C150" s="32">
        <v>0</v>
      </c>
      <c r="D150" s="32">
        <v>0</v>
      </c>
      <c r="E150" s="32">
        <v>0</v>
      </c>
      <c r="F150" s="32">
        <v>0</v>
      </c>
      <c r="G150" s="32">
        <v>0</v>
      </c>
      <c r="H150" s="32">
        <v>0</v>
      </c>
      <c r="I150" s="32">
        <v>0</v>
      </c>
      <c r="J150" s="32">
        <v>0</v>
      </c>
      <c r="K150" s="32">
        <v>0</v>
      </c>
      <c r="L150" s="32">
        <v>0</v>
      </c>
      <c r="M150" s="32">
        <v>0</v>
      </c>
      <c r="N150" s="32">
        <v>0</v>
      </c>
      <c r="O150" s="32">
        <v>0</v>
      </c>
      <c r="P150" s="32">
        <v>0</v>
      </c>
      <c r="Q150" s="32">
        <v>0</v>
      </c>
      <c r="R150" s="32">
        <v>0</v>
      </c>
      <c r="S150" s="32">
        <v>0</v>
      </c>
      <c r="T150" s="32">
        <v>0</v>
      </c>
      <c r="U150" s="32">
        <v>0</v>
      </c>
      <c r="V150" s="32">
        <v>0</v>
      </c>
      <c r="W150" s="32">
        <v>0</v>
      </c>
      <c r="X150" s="32">
        <v>0</v>
      </c>
      <c r="Y150" s="32">
        <v>0</v>
      </c>
      <c r="Z150" s="98">
        <v>0</v>
      </c>
      <c r="AA150" s="32">
        <v>0</v>
      </c>
      <c r="AB150" s="32">
        <v>0</v>
      </c>
      <c r="AC150" s="32">
        <v>0</v>
      </c>
      <c r="AD150" s="32">
        <v>0</v>
      </c>
      <c r="AE150" s="32">
        <v>0</v>
      </c>
      <c r="AF150" s="32">
        <v>0</v>
      </c>
      <c r="AG150" s="32">
        <v>0</v>
      </c>
      <c r="AH150" s="32">
        <v>0</v>
      </c>
      <c r="AI150" s="32">
        <v>0</v>
      </c>
      <c r="AK150" s="3"/>
    </row>
    <row r="151" spans="1:37" ht="16.5" thickBot="1" x14ac:dyDescent="0.45">
      <c r="A151" s="138" t="s">
        <v>84</v>
      </c>
      <c r="B151" s="161" t="s">
        <v>458</v>
      </c>
      <c r="C151" s="161">
        <v>0.17320677985908084</v>
      </c>
      <c r="D151" s="161">
        <v>0.1765700183029465</v>
      </c>
      <c r="E151" s="161">
        <v>0.17979872720905746</v>
      </c>
      <c r="F151" s="161">
        <v>0.18793776424321237</v>
      </c>
      <c r="G151" s="161">
        <v>0.18470905533710133</v>
      </c>
      <c r="H151" s="161">
        <v>0.17926060905803903</v>
      </c>
      <c r="I151" s="161">
        <v>0.18935032438963592</v>
      </c>
      <c r="J151" s="161">
        <v>0.19822927388144126</v>
      </c>
      <c r="K151" s="161">
        <v>0.20031448171663796</v>
      </c>
      <c r="L151" s="161">
        <v>0.19728756711715884</v>
      </c>
      <c r="M151" s="161">
        <v>0.18074043397333989</v>
      </c>
      <c r="N151" s="161">
        <v>0.17865522613814319</v>
      </c>
      <c r="O151" s="161">
        <v>0.16513500759380326</v>
      </c>
      <c r="P151" s="161">
        <v>0.16728748019787731</v>
      </c>
      <c r="Q151" s="161">
        <v>0.16641303820247225</v>
      </c>
      <c r="R151" s="161">
        <v>0.16217535776320149</v>
      </c>
      <c r="S151" s="161">
        <v>0.1674220097356319</v>
      </c>
      <c r="T151" s="161">
        <v>0.15544888087547021</v>
      </c>
      <c r="U151" s="161">
        <v>0.1397761897270563</v>
      </c>
      <c r="V151" s="161">
        <v>0.15982109085249557</v>
      </c>
      <c r="W151" s="161">
        <v>0.15558341041322485</v>
      </c>
      <c r="X151" s="161">
        <v>0.14132327941123449</v>
      </c>
      <c r="Y151" s="161">
        <v>0.16089732715453256</v>
      </c>
      <c r="Z151" s="129">
        <v>0.14778069722345655</v>
      </c>
      <c r="AA151" s="161">
        <v>0.16466415421166208</v>
      </c>
      <c r="AB151" s="161">
        <v>0.15625605810199794</v>
      </c>
      <c r="AC151" s="161">
        <v>0.13890174773165123</v>
      </c>
      <c r="AD151" s="161">
        <v>0.13439500821687125</v>
      </c>
      <c r="AE151" s="161">
        <v>0.12692861887148957</v>
      </c>
      <c r="AF151" s="161">
        <v>0.10479850991085357</v>
      </c>
      <c r="AG151" s="161">
        <v>0.11246669356286725</v>
      </c>
      <c r="AH151" s="161">
        <v>0.11919317045059855</v>
      </c>
      <c r="AI151" s="161">
        <v>9.6282976811833121E-2</v>
      </c>
      <c r="AK151" s="3"/>
    </row>
    <row r="152" spans="1:37" ht="17" x14ac:dyDescent="0.45">
      <c r="A152" s="256" t="s">
        <v>448</v>
      </c>
      <c r="B152" s="128" t="s">
        <v>458</v>
      </c>
      <c r="C152" s="192">
        <v>25.914728879913365</v>
      </c>
      <c r="D152" s="192">
        <v>24.426681636914616</v>
      </c>
      <c r="E152" s="192">
        <v>21.967535985573292</v>
      </c>
      <c r="F152" s="192">
        <v>22.308384804598031</v>
      </c>
      <c r="G152" s="192">
        <v>21.438788153844321</v>
      </c>
      <c r="H152" s="192">
        <v>20.883901096087193</v>
      </c>
      <c r="I152" s="192">
        <v>26.163942634042542</v>
      </c>
      <c r="J152" s="192">
        <v>26.747611926121515</v>
      </c>
      <c r="K152" s="192">
        <v>24.004093488628136</v>
      </c>
      <c r="L152" s="192">
        <v>22.176187156381239</v>
      </c>
      <c r="M152" s="192">
        <v>21.964418106491596</v>
      </c>
      <c r="N152" s="192">
        <v>22.920165736663847</v>
      </c>
      <c r="O152" s="192">
        <v>25.00860220508946</v>
      </c>
      <c r="P152" s="192">
        <v>23.742061768767062</v>
      </c>
      <c r="Q152" s="192">
        <v>24.508508839562417</v>
      </c>
      <c r="R152" s="192">
        <v>21.605252315219435</v>
      </c>
      <c r="S152" s="192">
        <v>23.666295740032623</v>
      </c>
      <c r="T152" s="192">
        <v>20.168912335399149</v>
      </c>
      <c r="U152" s="192">
        <v>17.585116309401926</v>
      </c>
      <c r="V152" s="192">
        <v>18.286569094037731</v>
      </c>
      <c r="W152" s="192">
        <v>14.354837458195698</v>
      </c>
      <c r="X152" s="192">
        <v>12.131402331331717</v>
      </c>
      <c r="Y152" s="192">
        <v>12.659822445437143</v>
      </c>
      <c r="Z152" s="192">
        <v>10.782306921880684</v>
      </c>
      <c r="AA152" s="192">
        <v>11.311329440348851</v>
      </c>
      <c r="AB152" s="192">
        <v>10.704619766914323</v>
      </c>
      <c r="AC152" s="192">
        <v>10.277411017637217</v>
      </c>
      <c r="AD152" s="192">
        <v>7.6499388544811335</v>
      </c>
      <c r="AE152" s="192">
        <v>6.2240808974230486</v>
      </c>
      <c r="AF152" s="192">
        <v>5.7447834902179773</v>
      </c>
      <c r="AG152" s="192">
        <v>6.1409138216974188</v>
      </c>
      <c r="AH152" s="192">
        <v>6.805501872639649</v>
      </c>
      <c r="AI152" s="192">
        <v>5.9727830458898286</v>
      </c>
      <c r="AK152" s="3"/>
    </row>
    <row r="153" spans="1:37" x14ac:dyDescent="0.4">
      <c r="A153" s="104" t="s">
        <v>60</v>
      </c>
      <c r="B153" s="32" t="s">
        <v>458</v>
      </c>
      <c r="C153" s="32">
        <v>10.963627545541623</v>
      </c>
      <c r="D153" s="32">
        <v>10.170308305657707</v>
      </c>
      <c r="E153" s="32">
        <v>9.0762143367234938</v>
      </c>
      <c r="F153" s="32">
        <v>9.4498677017642532</v>
      </c>
      <c r="G153" s="32">
        <v>9.8503048652441247</v>
      </c>
      <c r="H153" s="32">
        <v>10.639766697376016</v>
      </c>
      <c r="I153" s="32">
        <v>11.522554889866107</v>
      </c>
      <c r="J153" s="32">
        <v>10.299362720456667</v>
      </c>
      <c r="K153" s="32">
        <v>10.642907724189712</v>
      </c>
      <c r="L153" s="32">
        <v>10.741986927992645</v>
      </c>
      <c r="M153" s="32">
        <v>10.210804080889385</v>
      </c>
      <c r="N153" s="32">
        <v>10.981651155953722</v>
      </c>
      <c r="O153" s="32">
        <v>10.18942909303534</v>
      </c>
      <c r="P153" s="32">
        <v>9.827440004535628</v>
      </c>
      <c r="Q153" s="32">
        <v>11.130364765005536</v>
      </c>
      <c r="R153" s="32">
        <v>10.474958732849359</v>
      </c>
      <c r="S153" s="32">
        <v>11.205114385539192</v>
      </c>
      <c r="T153" s="32">
        <v>9.9950612412149127</v>
      </c>
      <c r="U153" s="32">
        <v>8.6652828575851419</v>
      </c>
      <c r="V153" s="32">
        <v>7.841565823926099</v>
      </c>
      <c r="W153" s="32">
        <v>3.9475989191205412</v>
      </c>
      <c r="X153" s="32">
        <v>2.137960957321194</v>
      </c>
      <c r="Y153" s="32">
        <v>3.8779200825621181</v>
      </c>
      <c r="Z153" s="32">
        <v>2.7052281134040319</v>
      </c>
      <c r="AA153" s="32">
        <v>2.1951606622009576</v>
      </c>
      <c r="AB153" s="32">
        <v>1.9131774237776165</v>
      </c>
      <c r="AC153" s="32">
        <v>1.1768293144345041</v>
      </c>
      <c r="AD153" s="32">
        <v>0</v>
      </c>
      <c r="AE153" s="32">
        <v>0</v>
      </c>
      <c r="AF153" s="32">
        <v>0</v>
      </c>
      <c r="AG153" s="32">
        <v>0</v>
      </c>
      <c r="AH153" s="32">
        <v>0</v>
      </c>
      <c r="AI153" s="32">
        <v>0</v>
      </c>
      <c r="AK153" s="3"/>
    </row>
    <row r="154" spans="1:37" x14ac:dyDescent="0.4">
      <c r="A154" s="104" t="s">
        <v>68</v>
      </c>
      <c r="B154" s="32" t="s">
        <v>458</v>
      </c>
      <c r="C154" s="32">
        <v>0.21998362689233705</v>
      </c>
      <c r="D154" s="32">
        <v>0.1952040320675445</v>
      </c>
      <c r="E154" s="32">
        <v>0.20223108134621703</v>
      </c>
      <c r="F154" s="32">
        <v>0.311853050093508</v>
      </c>
      <c r="G154" s="32">
        <v>0.29180746741434749</v>
      </c>
      <c r="H154" s="32">
        <v>0.25977891649155604</v>
      </c>
      <c r="I154" s="32">
        <v>0.19831072753811552</v>
      </c>
      <c r="J154" s="32">
        <v>0.24047302321015052</v>
      </c>
      <c r="K154" s="32">
        <v>0.25504490434592403</v>
      </c>
      <c r="L154" s="32">
        <v>0.16338499257407252</v>
      </c>
      <c r="M154" s="32">
        <v>0.14126754612616804</v>
      </c>
      <c r="N154" s="32">
        <v>0.19136824562440199</v>
      </c>
      <c r="O154" s="32">
        <v>0.41385126722247001</v>
      </c>
      <c r="P154" s="32">
        <v>0.26410791476962209</v>
      </c>
      <c r="Q154" s="32">
        <v>0.16561520928379353</v>
      </c>
      <c r="R154" s="32">
        <v>6.7174689123349507E-2</v>
      </c>
      <c r="S154" s="32">
        <v>6.1934776370775005E-2</v>
      </c>
      <c r="T154" s="32">
        <v>8.2282652540550019E-2</v>
      </c>
      <c r="U154" s="32">
        <v>0.10883522820936151</v>
      </c>
      <c r="V154" s="32">
        <v>5.9380519228799999E-2</v>
      </c>
      <c r="W154" s="32">
        <v>6.1101498111191997E-2</v>
      </c>
      <c r="X154" s="32">
        <v>4.5900275886926994E-2</v>
      </c>
      <c r="Y154" s="32">
        <v>0.10972549592477551</v>
      </c>
      <c r="Z154" s="32">
        <v>0.19407836196025199</v>
      </c>
      <c r="AA154" s="32">
        <v>0.14794585659137882</v>
      </c>
      <c r="AB154" s="32">
        <v>2.8837027893229332E-2</v>
      </c>
      <c r="AC154" s="32">
        <v>7.4028425559997835E-2</v>
      </c>
      <c r="AD154" s="32">
        <v>0.12288081550441916</v>
      </c>
      <c r="AE154" s="32">
        <v>2.7957795682055534E-2</v>
      </c>
      <c r="AF154" s="32">
        <v>2.5578613073069606E-2</v>
      </c>
      <c r="AG154" s="32">
        <v>2.7506276666982101E-2</v>
      </c>
      <c r="AH154" s="32">
        <v>0.29092892086586997</v>
      </c>
      <c r="AI154" s="32">
        <v>4.433626265998733E-2</v>
      </c>
      <c r="AK154" s="3"/>
    </row>
    <row r="155" spans="1:37" x14ac:dyDescent="0.4">
      <c r="A155" s="104" t="s">
        <v>87</v>
      </c>
      <c r="B155" s="32" t="s">
        <v>458</v>
      </c>
      <c r="C155" s="32">
        <v>0</v>
      </c>
      <c r="D155" s="32">
        <v>0</v>
      </c>
      <c r="E155" s="32">
        <v>0</v>
      </c>
      <c r="F155" s="32">
        <v>0</v>
      </c>
      <c r="G155" s="32">
        <v>0</v>
      </c>
      <c r="H155" s="32">
        <v>0</v>
      </c>
      <c r="I155" s="32">
        <v>0</v>
      </c>
      <c r="J155" s="32">
        <v>0</v>
      </c>
      <c r="K155" s="32">
        <v>0</v>
      </c>
      <c r="L155" s="32">
        <v>0</v>
      </c>
      <c r="M155" s="32">
        <v>0</v>
      </c>
      <c r="N155" s="32">
        <v>0</v>
      </c>
      <c r="O155" s="32">
        <v>0</v>
      </c>
      <c r="P155" s="32">
        <v>0</v>
      </c>
      <c r="Q155" s="32">
        <v>0</v>
      </c>
      <c r="R155" s="32">
        <v>0</v>
      </c>
      <c r="S155" s="32">
        <v>0</v>
      </c>
      <c r="T155" s="32">
        <v>0</v>
      </c>
      <c r="U155" s="32">
        <v>0</v>
      </c>
      <c r="V155" s="32">
        <v>0</v>
      </c>
      <c r="W155" s="32">
        <v>0</v>
      </c>
      <c r="X155" s="32">
        <v>0</v>
      </c>
      <c r="Y155" s="32">
        <v>0</v>
      </c>
      <c r="Z155" s="32">
        <v>0</v>
      </c>
      <c r="AA155" s="32">
        <v>0</v>
      </c>
      <c r="AB155" s="32">
        <v>0</v>
      </c>
      <c r="AC155" s="32">
        <v>0</v>
      </c>
      <c r="AD155" s="32">
        <v>0</v>
      </c>
      <c r="AE155" s="32">
        <v>0</v>
      </c>
      <c r="AF155" s="32">
        <v>0</v>
      </c>
      <c r="AG155" s="32">
        <v>0</v>
      </c>
      <c r="AH155" s="32">
        <v>0</v>
      </c>
      <c r="AI155" s="32">
        <v>0</v>
      </c>
      <c r="AK155" s="3"/>
    </row>
    <row r="156" spans="1:37" x14ac:dyDescent="0.4">
      <c r="A156" s="104" t="s">
        <v>69</v>
      </c>
      <c r="B156" s="32" t="s">
        <v>458</v>
      </c>
      <c r="C156" s="32">
        <v>11.391660691141317</v>
      </c>
      <c r="D156" s="32">
        <v>9.9428943038782815</v>
      </c>
      <c r="E156" s="32">
        <v>8.4426893132215231</v>
      </c>
      <c r="F156" s="32">
        <v>7.0726953273599769</v>
      </c>
      <c r="G156" s="32">
        <v>4.3162620211212293</v>
      </c>
      <c r="H156" s="32">
        <v>4.3779883451937032</v>
      </c>
      <c r="I156" s="32">
        <v>8.0463492421089775</v>
      </c>
      <c r="J156" s="32">
        <v>10.590344870974217</v>
      </c>
      <c r="K156" s="32">
        <v>8.0930569958475154</v>
      </c>
      <c r="L156" s="32">
        <v>6.4335800667993768</v>
      </c>
      <c r="M156" s="32">
        <v>6.3187630965964452</v>
      </c>
      <c r="N156" s="32">
        <v>4.7940027434437003</v>
      </c>
      <c r="O156" s="32">
        <v>5.1813316723558831</v>
      </c>
      <c r="P156" s="32">
        <v>5.0318218046815595</v>
      </c>
      <c r="Q156" s="32">
        <v>4.8645900240131947</v>
      </c>
      <c r="R156" s="32">
        <v>1.8148440391526972</v>
      </c>
      <c r="S156" s="32">
        <v>2.3263014518748513</v>
      </c>
      <c r="T156" s="32">
        <v>1.5918182696937635</v>
      </c>
      <c r="U156" s="32">
        <v>0.57048039413451834</v>
      </c>
      <c r="V156" s="32">
        <v>0.15551729580789622</v>
      </c>
      <c r="W156" s="32">
        <v>8.9961236300270253E-2</v>
      </c>
      <c r="X156" s="32">
        <v>6.855977357441298E-2</v>
      </c>
      <c r="Y156" s="32">
        <v>0.19629271426452957</v>
      </c>
      <c r="Z156" s="32">
        <v>0.52167004054922983</v>
      </c>
      <c r="AA156" s="32">
        <v>0.43553853968411305</v>
      </c>
      <c r="AB156" s="32">
        <v>0.23992166108461052</v>
      </c>
      <c r="AC156" s="32">
        <v>0.14102437543564902</v>
      </c>
      <c r="AD156" s="32">
        <v>0.2242272550856485</v>
      </c>
      <c r="AE156" s="32">
        <v>5.1889160503745195E-2</v>
      </c>
      <c r="AF156" s="32">
        <v>8.2602136836642109E-3</v>
      </c>
      <c r="AG156" s="32">
        <v>3.7621518686507011E-2</v>
      </c>
      <c r="AH156" s="32">
        <v>0.22257521234891572</v>
      </c>
      <c r="AI156" s="32">
        <v>3.8898097164891475E-2</v>
      </c>
      <c r="AK156" s="3"/>
    </row>
    <row r="157" spans="1:37" x14ac:dyDescent="0.4">
      <c r="A157" s="104" t="s">
        <v>62</v>
      </c>
      <c r="B157" s="32" t="s">
        <v>458</v>
      </c>
      <c r="C157" s="32">
        <v>3.3394570163380912</v>
      </c>
      <c r="D157" s="32">
        <v>4.1182749953110838</v>
      </c>
      <c r="E157" s="32">
        <v>4.2464012542820591</v>
      </c>
      <c r="F157" s="32">
        <v>5.4739687253802911</v>
      </c>
      <c r="G157" s="32">
        <v>6.9804138000646212</v>
      </c>
      <c r="H157" s="32">
        <v>5.6063671370259174</v>
      </c>
      <c r="I157" s="32">
        <v>6.3967277745293387</v>
      </c>
      <c r="J157" s="32">
        <v>5.6174313114804821</v>
      </c>
      <c r="K157" s="32">
        <v>5.013083864244984</v>
      </c>
      <c r="L157" s="32">
        <v>4.8372351690151447</v>
      </c>
      <c r="M157" s="32">
        <v>5.2935833828796008</v>
      </c>
      <c r="N157" s="32">
        <v>6.9531435916420223</v>
      </c>
      <c r="O157" s="32">
        <v>9.2239901724757676</v>
      </c>
      <c r="P157" s="32">
        <v>8.6186920447802517</v>
      </c>
      <c r="Q157" s="32">
        <v>8.3479388412598947</v>
      </c>
      <c r="R157" s="32">
        <v>9.2482748540940278</v>
      </c>
      <c r="S157" s="32">
        <v>10.072945126247806</v>
      </c>
      <c r="T157" s="32">
        <v>8.4997501719499216</v>
      </c>
      <c r="U157" s="32">
        <v>8.2405178294729016</v>
      </c>
      <c r="V157" s="32">
        <v>10.230105455074932</v>
      </c>
      <c r="W157" s="32">
        <v>10.256175804663695</v>
      </c>
      <c r="X157" s="32">
        <v>9.8789813245491835</v>
      </c>
      <c r="Y157" s="32">
        <v>8.4758841526857189</v>
      </c>
      <c r="Z157" s="32">
        <v>7.3613304059671698</v>
      </c>
      <c r="AA157" s="32">
        <v>8.5326843818724019</v>
      </c>
      <c r="AB157" s="32">
        <v>8.5226836541588664</v>
      </c>
      <c r="AC157" s="32">
        <v>8.8855289022070654</v>
      </c>
      <c r="AD157" s="32">
        <v>7.302830783891066</v>
      </c>
      <c r="AE157" s="32">
        <v>6.144233941237248</v>
      </c>
      <c r="AF157" s="32">
        <v>5.7109446634612437</v>
      </c>
      <c r="AG157" s="32">
        <v>6.0757860263439296</v>
      </c>
      <c r="AH157" s="32">
        <v>6.291997739424863</v>
      </c>
      <c r="AI157" s="32">
        <v>5.8895486860649493</v>
      </c>
      <c r="AK157" s="3"/>
    </row>
    <row r="158" spans="1:37" ht="16.5" thickBot="1" x14ac:dyDescent="0.45">
      <c r="A158" s="138" t="s">
        <v>63</v>
      </c>
      <c r="B158" s="161" t="s">
        <v>458</v>
      </c>
      <c r="C158" s="161">
        <v>0</v>
      </c>
      <c r="D158" s="161">
        <v>0</v>
      </c>
      <c r="E158" s="161">
        <v>0</v>
      </c>
      <c r="F158" s="161">
        <v>0</v>
      </c>
      <c r="G158" s="161">
        <v>0</v>
      </c>
      <c r="H158" s="161">
        <v>0</v>
      </c>
      <c r="I158" s="161">
        <v>0</v>
      </c>
      <c r="J158" s="161">
        <v>0</v>
      </c>
      <c r="K158" s="161">
        <v>0</v>
      </c>
      <c r="L158" s="161">
        <v>0</v>
      </c>
      <c r="M158" s="161">
        <v>0</v>
      </c>
      <c r="N158" s="161">
        <v>0</v>
      </c>
      <c r="O158" s="161">
        <v>0</v>
      </c>
      <c r="P158" s="161">
        <v>0</v>
      </c>
      <c r="Q158" s="161">
        <v>0</v>
      </c>
      <c r="R158" s="161">
        <v>0</v>
      </c>
      <c r="S158" s="161">
        <v>0</v>
      </c>
      <c r="T158" s="161">
        <v>0</v>
      </c>
      <c r="U158" s="161">
        <v>0</v>
      </c>
      <c r="V158" s="161">
        <v>0</v>
      </c>
      <c r="W158" s="161">
        <v>0</v>
      </c>
      <c r="X158" s="161">
        <v>0</v>
      </c>
      <c r="Y158" s="161">
        <v>0</v>
      </c>
      <c r="Z158" s="161">
        <v>0</v>
      </c>
      <c r="AA158" s="161">
        <v>0</v>
      </c>
      <c r="AB158" s="161">
        <v>0</v>
      </c>
      <c r="AC158" s="161">
        <v>0</v>
      </c>
      <c r="AD158" s="161">
        <v>0</v>
      </c>
      <c r="AE158" s="161">
        <v>0</v>
      </c>
      <c r="AF158" s="161">
        <v>0</v>
      </c>
      <c r="AG158" s="161">
        <v>0</v>
      </c>
      <c r="AH158" s="161">
        <v>0</v>
      </c>
      <c r="AI158" s="161">
        <v>0</v>
      </c>
      <c r="AK158" s="3"/>
    </row>
    <row r="159" spans="1:37" x14ac:dyDescent="0.4">
      <c r="A159" s="1070" t="s">
        <v>66</v>
      </c>
      <c r="B159" s="1072" t="s">
        <v>458</v>
      </c>
      <c r="C159" s="1072">
        <v>1.2043985020174812</v>
      </c>
      <c r="D159" s="1072">
        <v>1.1631321569739694</v>
      </c>
      <c r="E159" s="1072">
        <v>1.1070675030347257</v>
      </c>
      <c r="F159" s="1072">
        <v>0.96559845756461615</v>
      </c>
      <c r="G159" s="1072">
        <v>0.78106839697222397</v>
      </c>
      <c r="H159" s="1072">
        <v>1.30340878917182</v>
      </c>
      <c r="I159" s="1072">
        <v>1.3784547067231099</v>
      </c>
      <c r="J159" s="1072">
        <v>1.1431057664989883</v>
      </c>
      <c r="K159" s="1072">
        <v>1.1809425376357632</v>
      </c>
      <c r="L159" s="1072">
        <v>1.3353088979132046</v>
      </c>
      <c r="M159" s="1072">
        <v>1.1334736121796833</v>
      </c>
      <c r="N159" s="1072">
        <v>0.98377864606437071</v>
      </c>
      <c r="O159" s="1072">
        <v>0.91722936459869253</v>
      </c>
      <c r="P159" s="1072">
        <v>1.1816082978731166</v>
      </c>
      <c r="Q159" s="1072">
        <v>1.4868977937644678</v>
      </c>
      <c r="R159" s="1072">
        <v>1.3351162237572942</v>
      </c>
      <c r="S159" s="1072">
        <v>1.2659270823216298</v>
      </c>
      <c r="T159" s="1072">
        <v>1.809523358117775</v>
      </c>
      <c r="U159" s="1072">
        <v>1.0838607576887096</v>
      </c>
      <c r="V159" s="1072">
        <v>1.3236630153514977</v>
      </c>
      <c r="W159" s="1072">
        <v>1.3409838238392502</v>
      </c>
      <c r="X159" s="1072">
        <v>1.3129947692643804</v>
      </c>
      <c r="Y159" s="1072">
        <v>1.2992071404028855</v>
      </c>
      <c r="Z159" s="1072">
        <v>1.5520696327911627</v>
      </c>
      <c r="AA159" s="1072">
        <v>1.8425708267964334</v>
      </c>
      <c r="AB159" s="1072">
        <v>2.3812803027590284</v>
      </c>
      <c r="AC159" s="1072">
        <v>2.559869224810583</v>
      </c>
      <c r="AD159" s="1072">
        <v>2.4691613393642107</v>
      </c>
      <c r="AE159" s="1072">
        <v>2.7062235552071234</v>
      </c>
      <c r="AF159" s="1072">
        <v>0.8526579053373734</v>
      </c>
      <c r="AG159" s="1072">
        <v>1.0416719810086443</v>
      </c>
      <c r="AH159" s="1072">
        <v>1.8303847798960675</v>
      </c>
      <c r="AI159" s="1072">
        <v>2.0946692014320893</v>
      </c>
      <c r="AK159" s="3"/>
    </row>
    <row r="160" spans="1:37" x14ac:dyDescent="0.4">
      <c r="A160" s="104" t="s">
        <v>67</v>
      </c>
      <c r="B160" s="32" t="s">
        <v>458</v>
      </c>
      <c r="C160" s="32">
        <v>0.79788248720762267</v>
      </c>
      <c r="D160" s="32">
        <v>0.7665163060050797</v>
      </c>
      <c r="E160" s="32">
        <v>0.72383197390929876</v>
      </c>
      <c r="F160" s="32">
        <v>0.7030808008519458</v>
      </c>
      <c r="G160" s="32">
        <v>0.55135710630715695</v>
      </c>
      <c r="H160" s="32">
        <v>0.56381127952710897</v>
      </c>
      <c r="I160" s="32">
        <v>0.72964770724004324</v>
      </c>
      <c r="J160" s="32">
        <v>1.0460958200495145</v>
      </c>
      <c r="K160" s="32">
        <v>1.0951371175598894</v>
      </c>
      <c r="L160" s="32">
        <v>1.1432224022547837</v>
      </c>
      <c r="M160" s="32">
        <v>0.97215636126556348</v>
      </c>
      <c r="N160" s="32">
        <v>0.77227012927743366</v>
      </c>
      <c r="O160" s="32">
        <v>0.85488476014877635</v>
      </c>
      <c r="P160" s="32">
        <v>1.1000197552525799</v>
      </c>
      <c r="Q160" s="32">
        <v>1.2055666166076922</v>
      </c>
      <c r="R160" s="32">
        <v>1.1228950205271291</v>
      </c>
      <c r="S160" s="32">
        <v>1.1021051722630055</v>
      </c>
      <c r="T160" s="32">
        <v>1.4880311862152888</v>
      </c>
      <c r="U160" s="32">
        <v>0.85711689469460517</v>
      </c>
      <c r="V160" s="32">
        <v>1.1469765859164369</v>
      </c>
      <c r="W160" s="32">
        <v>1.2107123287490862</v>
      </c>
      <c r="X160" s="32">
        <v>1.2074387647416669</v>
      </c>
      <c r="Y160" s="32">
        <v>1.2065101236721025</v>
      </c>
      <c r="Z160" s="32">
        <v>1.4720431863581875</v>
      </c>
      <c r="AA160" s="32">
        <v>1.7405177875202433</v>
      </c>
      <c r="AB160" s="32">
        <v>2.253527039751702</v>
      </c>
      <c r="AC160" s="32">
        <v>2.3867503900377045</v>
      </c>
      <c r="AD160" s="32">
        <v>2.371819382128733</v>
      </c>
      <c r="AE160" s="32">
        <v>2.595484352085077</v>
      </c>
      <c r="AF160" s="32">
        <v>0.78159041843556398</v>
      </c>
      <c r="AG160" s="32">
        <v>0.97372372077580926</v>
      </c>
      <c r="AH160" s="32">
        <v>1.7640186835629774</v>
      </c>
      <c r="AI160" s="32">
        <v>2.0946692014320893</v>
      </c>
      <c r="AK160" s="3"/>
    </row>
    <row r="161" spans="1:37" x14ac:dyDescent="0.4">
      <c r="A161" s="104" t="s">
        <v>68</v>
      </c>
      <c r="B161" s="32" t="s">
        <v>458</v>
      </c>
      <c r="C161" s="32">
        <v>0.26016987447474321</v>
      </c>
      <c r="D161" s="32">
        <v>0.29028591241167356</v>
      </c>
      <c r="E161" s="32">
        <v>0.30161001913568863</v>
      </c>
      <c r="F161" s="32">
        <v>0.1697826224937263</v>
      </c>
      <c r="G161" s="32">
        <v>0.19005750656789994</v>
      </c>
      <c r="H161" s="32">
        <v>0.15997725914520289</v>
      </c>
      <c r="I161" s="32">
        <v>0.12110229864888769</v>
      </c>
      <c r="J161" s="32">
        <v>8.9563583068394292E-2</v>
      </c>
      <c r="K161" s="32">
        <v>7.9676355604876625E-2</v>
      </c>
      <c r="L161" s="32">
        <v>6.5469907030320712E-2</v>
      </c>
      <c r="M161" s="32">
        <v>6.2295260334774866E-2</v>
      </c>
      <c r="N161" s="32">
        <v>0.11436751240695182</v>
      </c>
      <c r="O161" s="32">
        <v>5.9417906927929393E-2</v>
      </c>
      <c r="P161" s="32">
        <v>8.0747316780758888E-2</v>
      </c>
      <c r="Q161" s="32">
        <v>0.10462546170609668</v>
      </c>
      <c r="R161" s="32">
        <v>0.10882955266965344</v>
      </c>
      <c r="S161" s="32">
        <v>9.1685770690993512E-2</v>
      </c>
      <c r="T161" s="32">
        <v>0.22009028648995288</v>
      </c>
      <c r="U161" s="32">
        <v>8.2633884628443316E-2</v>
      </c>
      <c r="V161" s="32">
        <v>8.3284760426161827E-2</v>
      </c>
      <c r="W161" s="32">
        <v>6.3961855611908133E-2</v>
      </c>
      <c r="X161" s="32">
        <v>5.2323157204331006E-2</v>
      </c>
      <c r="Y161" s="32">
        <v>3.1756888243761605E-2</v>
      </c>
      <c r="Z161" s="32">
        <v>4.3175104517561715E-2</v>
      </c>
      <c r="AA161" s="32">
        <v>6.6314266999848298E-2</v>
      </c>
      <c r="AB161" s="32">
        <v>5.9470746321263146E-2</v>
      </c>
      <c r="AC161" s="32">
        <v>6.8783101530837679E-2</v>
      </c>
      <c r="AD161" s="32">
        <v>6.1427881673618144E-2</v>
      </c>
      <c r="AE161" s="32">
        <v>4.7308192871269181E-2</v>
      </c>
      <c r="AF161" s="32">
        <v>6.6626999395898168E-2</v>
      </c>
      <c r="AG161" s="32">
        <v>6.3533317162415656E-2</v>
      </c>
      <c r="AH161" s="32">
        <v>6.1454531927220925E-2</v>
      </c>
      <c r="AI161" s="32">
        <v>0</v>
      </c>
      <c r="AK161" s="3"/>
    </row>
    <row r="162" spans="1:37" x14ac:dyDescent="0.4">
      <c r="A162" s="104" t="s">
        <v>69</v>
      </c>
      <c r="B162" s="32" t="s">
        <v>458</v>
      </c>
      <c r="C162" s="32">
        <v>0.14634614033511531</v>
      </c>
      <c r="D162" s="32">
        <v>0.10632993855721599</v>
      </c>
      <c r="E162" s="32">
        <v>8.1625509989738193E-2</v>
      </c>
      <c r="F162" s="32">
        <v>9.2735034218943968E-2</v>
      </c>
      <c r="G162" s="32">
        <v>3.9653784097167036E-2</v>
      </c>
      <c r="H162" s="32">
        <v>0.57962025049950816</v>
      </c>
      <c r="I162" s="32">
        <v>0.52770470083417897</v>
      </c>
      <c r="J162" s="32">
        <v>7.4463633810794806E-3</v>
      </c>
      <c r="K162" s="32">
        <v>6.1290644709972629E-3</v>
      </c>
      <c r="L162" s="32">
        <v>0.12661658862810041</v>
      </c>
      <c r="M162" s="32">
        <v>9.9021990579345062E-2</v>
      </c>
      <c r="N162" s="32">
        <v>9.7141004379985185E-2</v>
      </c>
      <c r="O162" s="32">
        <v>2.9266975219868025E-3</v>
      </c>
      <c r="P162" s="32">
        <v>8.4122583977776818E-4</v>
      </c>
      <c r="Q162" s="32">
        <v>0.17670571545067906</v>
      </c>
      <c r="R162" s="32">
        <v>0.10339165056051179</v>
      </c>
      <c r="S162" s="32">
        <v>7.213613936763065E-2</v>
      </c>
      <c r="T162" s="32">
        <v>0.10140188541253309</v>
      </c>
      <c r="U162" s="32">
        <v>0.14410997836566108</v>
      </c>
      <c r="V162" s="32">
        <v>9.3401669008899083E-2</v>
      </c>
      <c r="W162" s="32">
        <v>6.6309639478255911E-2</v>
      </c>
      <c r="X162" s="32">
        <v>5.323284731838248E-2</v>
      </c>
      <c r="Y162" s="32">
        <v>6.0940128487021489E-2</v>
      </c>
      <c r="Z162" s="32">
        <v>3.685134191541356E-2</v>
      </c>
      <c r="AA162" s="32">
        <v>3.5738772276341903E-2</v>
      </c>
      <c r="AB162" s="32">
        <v>6.8282516686063166E-2</v>
      </c>
      <c r="AC162" s="32">
        <v>0.10433573324204062</v>
      </c>
      <c r="AD162" s="32">
        <v>3.591407556185925E-2</v>
      </c>
      <c r="AE162" s="32">
        <v>6.3431010250776979E-2</v>
      </c>
      <c r="AF162" s="32">
        <v>4.4404875059113101E-3</v>
      </c>
      <c r="AG162" s="32">
        <v>4.4149430704193996E-3</v>
      </c>
      <c r="AH162" s="32">
        <v>4.9115644058692377E-3</v>
      </c>
      <c r="AI162" s="32">
        <v>0</v>
      </c>
      <c r="AK162" s="3"/>
    </row>
    <row r="163" spans="1:37" x14ac:dyDescent="0.4">
      <c r="A163" s="1067" t="s">
        <v>1063</v>
      </c>
      <c r="B163" s="1068"/>
      <c r="C163" s="1068"/>
      <c r="D163" s="1068"/>
      <c r="E163" s="1068"/>
      <c r="F163" s="1068"/>
      <c r="G163" s="1068"/>
      <c r="H163" s="1068"/>
      <c r="I163" s="1068"/>
      <c r="J163" s="1068"/>
      <c r="K163" s="1068"/>
      <c r="L163" s="1068"/>
      <c r="M163" s="1068"/>
      <c r="N163" s="1068"/>
      <c r="O163" s="1068"/>
      <c r="P163" s="1068"/>
      <c r="Q163" s="1068"/>
      <c r="R163" s="1068"/>
      <c r="S163" s="1068"/>
      <c r="T163" s="1068"/>
      <c r="U163" s="1068"/>
      <c r="V163" s="1068"/>
      <c r="W163" s="1068"/>
      <c r="X163" s="1068"/>
      <c r="Y163" s="1068"/>
      <c r="Z163" s="1068"/>
      <c r="AA163" s="1068"/>
      <c r="AB163" s="1068"/>
      <c r="AC163" s="1068"/>
      <c r="AD163" s="1068"/>
      <c r="AE163" s="1068"/>
      <c r="AF163" s="1068"/>
      <c r="AG163" s="1068"/>
      <c r="AH163" s="1068"/>
      <c r="AI163" s="1068"/>
      <c r="AK163" s="3"/>
    </row>
    <row r="164" spans="1:37" x14ac:dyDescent="0.4">
      <c r="A164" s="196"/>
      <c r="B164" s="198"/>
      <c r="C164" s="198"/>
      <c r="D164" s="198"/>
      <c r="E164" s="198"/>
      <c r="F164" s="198"/>
      <c r="G164" s="198"/>
      <c r="H164" s="198"/>
      <c r="I164" s="198"/>
      <c r="J164" s="198"/>
      <c r="K164" s="198"/>
      <c r="L164" s="198"/>
      <c r="M164" s="198"/>
      <c r="N164" s="198"/>
      <c r="O164" s="198"/>
      <c r="P164" s="198"/>
      <c r="Q164" s="198"/>
      <c r="R164" s="198"/>
      <c r="S164" s="198"/>
      <c r="T164" s="198"/>
      <c r="U164" s="198"/>
      <c r="V164" s="198"/>
      <c r="W164" s="198"/>
      <c r="X164" s="198"/>
      <c r="Y164" s="198"/>
      <c r="Z164" s="198"/>
      <c r="AA164" s="198"/>
      <c r="AB164" s="198"/>
      <c r="AC164" s="198"/>
      <c r="AD164" s="198"/>
      <c r="AE164" s="198"/>
      <c r="AF164" s="198"/>
      <c r="AG164" s="198"/>
      <c r="AH164" s="198"/>
      <c r="AI164" s="198"/>
      <c r="AK164" s="3"/>
    </row>
    <row r="165" spans="1:37" x14ac:dyDescent="0.4">
      <c r="A165" s="1326" t="s">
        <v>1171</v>
      </c>
      <c r="AK165" s="3"/>
    </row>
    <row r="166" spans="1:37" x14ac:dyDescent="0.4">
      <c r="AK166" s="3"/>
    </row>
    <row r="167" spans="1:37" ht="17" x14ac:dyDescent="0.45">
      <c r="A167" s="108" t="s">
        <v>1559</v>
      </c>
      <c r="AK167" s="3"/>
    </row>
    <row r="168" spans="1:37" x14ac:dyDescent="0.4">
      <c r="A168" s="108" t="s">
        <v>456</v>
      </c>
    </row>
    <row r="169" spans="1:37" ht="17" x14ac:dyDescent="0.45">
      <c r="A169" s="108" t="s">
        <v>1560</v>
      </c>
      <c r="B169" s="995" t="s">
        <v>391</v>
      </c>
      <c r="C169" s="996" t="s">
        <v>392</v>
      </c>
      <c r="D169" s="996" t="s">
        <v>393</v>
      </c>
      <c r="E169" s="996" t="s">
        <v>394</v>
      </c>
      <c r="F169" s="996" t="s">
        <v>395</v>
      </c>
      <c r="G169" s="996" t="s">
        <v>396</v>
      </c>
      <c r="H169" s="996" t="s">
        <v>397</v>
      </c>
      <c r="I169" s="996" t="s">
        <v>398</v>
      </c>
      <c r="J169" s="996" t="s">
        <v>399</v>
      </c>
      <c r="K169" s="996" t="s">
        <v>400</v>
      </c>
      <c r="L169" s="996" t="s">
        <v>401</v>
      </c>
      <c r="M169" s="996" t="s">
        <v>402</v>
      </c>
      <c r="N169" s="996" t="s">
        <v>403</v>
      </c>
      <c r="O169" s="996" t="s">
        <v>404</v>
      </c>
      <c r="P169" s="996" t="s">
        <v>405</v>
      </c>
      <c r="Q169" s="996" t="s">
        <v>406</v>
      </c>
      <c r="R169" s="996" t="s">
        <v>407</v>
      </c>
      <c r="S169" s="996" t="s">
        <v>408</v>
      </c>
      <c r="T169" s="996" t="s">
        <v>409</v>
      </c>
      <c r="U169" s="996" t="s">
        <v>410</v>
      </c>
      <c r="V169" s="996" t="s">
        <v>411</v>
      </c>
      <c r="W169" s="996" t="s">
        <v>412</v>
      </c>
      <c r="X169" s="996" t="s">
        <v>413</v>
      </c>
      <c r="Y169" s="996" t="s">
        <v>414</v>
      </c>
      <c r="Z169" s="996" t="s">
        <v>415</v>
      </c>
      <c r="AA169" s="996" t="s">
        <v>416</v>
      </c>
      <c r="AB169" s="996" t="s">
        <v>417</v>
      </c>
      <c r="AC169" s="996" t="s">
        <v>418</v>
      </c>
      <c r="AD169" s="996" t="s">
        <v>419</v>
      </c>
      <c r="AE169" s="996" t="s">
        <v>420</v>
      </c>
      <c r="AF169" s="996" t="s">
        <v>421</v>
      </c>
      <c r="AG169" s="996" t="s">
        <v>422</v>
      </c>
      <c r="AH169" s="996" t="s">
        <v>423</v>
      </c>
      <c r="AI169" s="996" t="s">
        <v>424</v>
      </c>
    </row>
    <row r="170" spans="1:37" x14ac:dyDescent="0.4">
      <c r="A170" s="92" t="s">
        <v>453</v>
      </c>
      <c r="B170" s="1311" t="s">
        <v>32</v>
      </c>
      <c r="C170" s="92" t="s">
        <v>32</v>
      </c>
      <c r="D170" s="92" t="s">
        <v>32</v>
      </c>
      <c r="E170" s="92" t="s">
        <v>32</v>
      </c>
      <c r="F170" s="92" t="s">
        <v>32</v>
      </c>
      <c r="G170" s="92" t="s">
        <v>32</v>
      </c>
      <c r="H170" s="92" t="s">
        <v>32</v>
      </c>
      <c r="I170" s="188">
        <v>2355538</v>
      </c>
      <c r="J170" s="188">
        <v>1903421</v>
      </c>
      <c r="K170" s="188">
        <v>2654629</v>
      </c>
      <c r="L170" s="188">
        <v>2391145</v>
      </c>
      <c r="M170" s="188">
        <v>3186740</v>
      </c>
      <c r="N170" s="188">
        <v>4235913</v>
      </c>
      <c r="O170" s="188">
        <v>3755639</v>
      </c>
      <c r="P170" s="188">
        <v>4097265</v>
      </c>
      <c r="Q170" s="188">
        <v>4126382</v>
      </c>
      <c r="R170" s="188">
        <v>4795806</v>
      </c>
      <c r="S170" s="188">
        <v>5003485</v>
      </c>
      <c r="T170" s="188">
        <v>4165944</v>
      </c>
      <c r="U170" s="188">
        <v>4277462</v>
      </c>
      <c r="V170" s="188">
        <v>3904652</v>
      </c>
      <c r="W170" s="188">
        <v>3187876</v>
      </c>
      <c r="X170" s="188">
        <v>2063940</v>
      </c>
      <c r="Y170" s="188">
        <v>2332840</v>
      </c>
      <c r="Z170" s="188">
        <v>2809472</v>
      </c>
      <c r="AA170" s="188">
        <v>2898350</v>
      </c>
      <c r="AB170" s="188">
        <v>1085590</v>
      </c>
      <c r="AC170" s="188">
        <v>658643</v>
      </c>
      <c r="AD170" s="188">
        <v>1497007</v>
      </c>
      <c r="AE170" s="188">
        <v>2575358</v>
      </c>
      <c r="AF170" s="188">
        <v>1790025</v>
      </c>
      <c r="AG170" s="188">
        <v>1271260</v>
      </c>
      <c r="AH170" s="188">
        <v>1435086</v>
      </c>
      <c r="AI170" s="188">
        <v>1110003</v>
      </c>
    </row>
    <row r="171" spans="1:37" x14ac:dyDescent="0.4">
      <c r="A171" s="92" t="s">
        <v>454</v>
      </c>
      <c r="B171" s="28">
        <v>1279</v>
      </c>
      <c r="C171" s="28">
        <v>1571</v>
      </c>
      <c r="D171" s="28">
        <v>1832</v>
      </c>
      <c r="E171" s="28">
        <v>2325</v>
      </c>
      <c r="F171" s="28">
        <v>1861</v>
      </c>
      <c r="G171" s="28">
        <v>1920</v>
      </c>
      <c r="H171" s="28">
        <v>2186</v>
      </c>
      <c r="I171" s="137">
        <f t="shared" ref="I171:AI171" si="1">I170*$B$177/1000</f>
        <v>2442.6929059999998</v>
      </c>
      <c r="J171" s="137">
        <f t="shared" si="1"/>
        <v>1973.8475769999998</v>
      </c>
      <c r="K171" s="137">
        <f t="shared" si="1"/>
        <v>2752.8502729999996</v>
      </c>
      <c r="L171" s="137">
        <f t="shared" si="1"/>
        <v>2479.6173649999996</v>
      </c>
      <c r="M171" s="137">
        <f t="shared" si="1"/>
        <v>3304.6493799999998</v>
      </c>
      <c r="N171" s="137">
        <f t="shared" si="1"/>
        <v>4392.6417809999994</v>
      </c>
      <c r="O171" s="137">
        <f t="shared" si="1"/>
        <v>3894.5976429999996</v>
      </c>
      <c r="P171" s="137">
        <f t="shared" si="1"/>
        <v>4248.863805</v>
      </c>
      <c r="Q171" s="137">
        <f t="shared" si="1"/>
        <v>4279.0581339999999</v>
      </c>
      <c r="R171" s="137">
        <f t="shared" si="1"/>
        <v>4973.250822</v>
      </c>
      <c r="S171" s="137">
        <f t="shared" si="1"/>
        <v>5188.6139449999991</v>
      </c>
      <c r="T171" s="137">
        <f t="shared" si="1"/>
        <v>4320.0839279999991</v>
      </c>
      <c r="U171" s="137">
        <f t="shared" si="1"/>
        <v>4435.7280939999991</v>
      </c>
      <c r="V171" s="137">
        <f t="shared" si="1"/>
        <v>4049.1241239999999</v>
      </c>
      <c r="W171" s="137">
        <f t="shared" si="1"/>
        <v>3305.8274119999996</v>
      </c>
      <c r="X171" s="137">
        <f t="shared" si="1"/>
        <v>2140.3057799999997</v>
      </c>
      <c r="Y171" s="137">
        <f t="shared" si="1"/>
        <v>2419.1550799999995</v>
      </c>
      <c r="Z171" s="137">
        <f t="shared" si="1"/>
        <v>2913.4224639999998</v>
      </c>
      <c r="AA171" s="137">
        <f t="shared" si="1"/>
        <v>3005.5889499999998</v>
      </c>
      <c r="AB171" s="137">
        <f t="shared" si="1"/>
        <v>1125.7568299999998</v>
      </c>
      <c r="AC171" s="137">
        <f t="shared" si="1"/>
        <v>683.01279099999999</v>
      </c>
      <c r="AD171" s="137">
        <f t="shared" si="1"/>
        <v>1552.3962589999999</v>
      </c>
      <c r="AE171" s="137">
        <f t="shared" si="1"/>
        <v>2670.6462459999998</v>
      </c>
      <c r="AF171" s="137">
        <f t="shared" si="1"/>
        <v>1856.2559249999997</v>
      </c>
      <c r="AG171" s="137">
        <f t="shared" si="1"/>
        <v>1318.2966199999998</v>
      </c>
      <c r="AH171" s="137">
        <f t="shared" si="1"/>
        <v>1488.1841819999997</v>
      </c>
      <c r="AI171" s="137">
        <f t="shared" si="1"/>
        <v>1151.0731109999997</v>
      </c>
    </row>
    <row r="172" spans="1:37" ht="17" x14ac:dyDescent="0.45">
      <c r="A172" s="242" t="s">
        <v>1561</v>
      </c>
      <c r="B172" s="191">
        <f t="shared" ref="B172:AI172" si="2">B171*$B$178</f>
        <v>6.7857230316333325E-2</v>
      </c>
      <c r="C172" s="191">
        <f t="shared" si="2"/>
        <v>8.3349264133666667E-2</v>
      </c>
      <c r="D172" s="191">
        <f t="shared" si="2"/>
        <v>9.7196595730666663E-2</v>
      </c>
      <c r="E172" s="191">
        <f t="shared" si="2"/>
        <v>0.12335266652499999</v>
      </c>
      <c r="F172" s="191">
        <f t="shared" si="2"/>
        <v>9.8735188130333329E-2</v>
      </c>
      <c r="G172" s="191">
        <f t="shared" si="2"/>
        <v>0.10186542783999999</v>
      </c>
      <c r="H172" s="191">
        <f t="shared" si="2"/>
        <v>0.11597803398866666</v>
      </c>
      <c r="I172" s="191">
        <f t="shared" si="2"/>
        <v>0.1295968530996994</v>
      </c>
      <c r="J172" s="191">
        <f t="shared" si="2"/>
        <v>0.10472230620940225</v>
      </c>
      <c r="K172" s="191">
        <f t="shared" si="2"/>
        <v>0.14605222439510715</v>
      </c>
      <c r="L172" s="191">
        <f t="shared" si="2"/>
        <v>0.13155587696105125</v>
      </c>
      <c r="M172" s="191">
        <f t="shared" si="2"/>
        <v>0.17532787653900558</v>
      </c>
      <c r="N172" s="191">
        <f t="shared" si="2"/>
        <v>0.23305121581740859</v>
      </c>
      <c r="O172" s="191">
        <f t="shared" si="2"/>
        <v>0.20662752873377632</v>
      </c>
      <c r="P172" s="191">
        <f t="shared" si="2"/>
        <v>0.22542308819282048</v>
      </c>
      <c r="Q172" s="191">
        <f t="shared" si="2"/>
        <v>0.22702504561049064</v>
      </c>
      <c r="R172" s="191">
        <f t="shared" si="2"/>
        <v>0.26385537642638629</v>
      </c>
      <c r="S172" s="191">
        <f t="shared" si="2"/>
        <v>0.27528144760625789</v>
      </c>
      <c r="T172" s="191">
        <f t="shared" si="2"/>
        <v>0.22920166543251438</v>
      </c>
      <c r="U172" s="191">
        <f t="shared" si="2"/>
        <v>0.23533715629021751</v>
      </c>
      <c r="V172" s="191">
        <f t="shared" si="2"/>
        <v>0.21482591732735687</v>
      </c>
      <c r="W172" s="191">
        <f t="shared" si="2"/>
        <v>0.17539037692113535</v>
      </c>
      <c r="X172" s="191">
        <f t="shared" si="2"/>
        <v>0.11355373124381503</v>
      </c>
      <c r="Y172" s="191">
        <f t="shared" si="2"/>
        <v>0.12834805585182779</v>
      </c>
      <c r="Z172" s="191">
        <f t="shared" si="2"/>
        <v>0.15457136759063902</v>
      </c>
      <c r="AA172" s="191">
        <f t="shared" si="2"/>
        <v>0.15946125224110747</v>
      </c>
      <c r="AB172" s="191">
        <f t="shared" si="2"/>
        <v>5.9726927672787561E-2</v>
      </c>
      <c r="AC172" s="191">
        <f t="shared" si="2"/>
        <v>3.6237182383024737E-2</v>
      </c>
      <c r="AD172" s="191">
        <f t="shared" si="2"/>
        <v>8.2362244323047104E-2</v>
      </c>
      <c r="AE172" s="191">
        <f t="shared" si="2"/>
        <v>0.14169089711358326</v>
      </c>
      <c r="AF172" s="191">
        <f t="shared" si="2"/>
        <v>9.8483491656593702E-2</v>
      </c>
      <c r="AG172" s="191">
        <f t="shared" si="2"/>
        <v>6.9942108966836392E-2</v>
      </c>
      <c r="AH172" s="191">
        <f t="shared" si="2"/>
        <v>7.8955478335494989E-2</v>
      </c>
      <c r="AI172" s="191">
        <f t="shared" si="2"/>
        <v>6.1070080691216028E-2</v>
      </c>
    </row>
    <row r="173" spans="1:37" x14ac:dyDescent="0.4">
      <c r="A173" s="1067" t="s">
        <v>1063</v>
      </c>
      <c r="B173" s="1073"/>
      <c r="C173" s="1073"/>
      <c r="D173" s="1073"/>
      <c r="E173" s="1073"/>
      <c r="F173" s="1073"/>
      <c r="G173" s="1073"/>
      <c r="H173" s="1073"/>
      <c r="I173" s="1073"/>
      <c r="J173" s="1073"/>
      <c r="K173" s="1073"/>
      <c r="L173" s="1073"/>
      <c r="M173" s="1073"/>
      <c r="N173" s="1073"/>
      <c r="O173" s="1073"/>
      <c r="P173" s="1073"/>
      <c r="Q173" s="1073"/>
      <c r="R173" s="1073"/>
      <c r="S173" s="1073"/>
      <c r="T173" s="1073"/>
      <c r="U173" s="1073"/>
      <c r="V173" s="1073"/>
      <c r="W173" s="1073"/>
      <c r="X173" s="1073"/>
      <c r="Y173" s="1073"/>
      <c r="Z173" s="1073"/>
      <c r="AA173" s="1073"/>
      <c r="AB173" s="1073"/>
      <c r="AC173" s="1073"/>
      <c r="AD173" s="1073"/>
      <c r="AE173" s="1073"/>
      <c r="AF173" s="1073"/>
      <c r="AG173" s="1073"/>
      <c r="AH173" s="1073"/>
      <c r="AI173" s="1073"/>
    </row>
    <row r="174" spans="1:37" x14ac:dyDescent="0.4">
      <c r="A174" s="196"/>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row>
    <row r="175" spans="1:37" x14ac:dyDescent="0.4">
      <c r="A175" s="1354" t="s">
        <v>1173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row>
    <row r="176" spans="1:37" x14ac:dyDescent="0.4">
      <c r="A176" s="1354" t="s">
        <v>942</v>
      </c>
      <c r="B176" s="1357" t="s">
        <v>573</v>
      </c>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row>
    <row r="177" spans="1:35" x14ac:dyDescent="0.4">
      <c r="A177" s="1326" t="s">
        <v>1172</v>
      </c>
      <c r="B177" s="28">
        <v>1.0369999999999999</v>
      </c>
      <c r="H177" s="197"/>
      <c r="I177" s="197"/>
      <c r="J177" s="197"/>
    </row>
    <row r="178" spans="1:35" ht="17" x14ac:dyDescent="0.45">
      <c r="A178" s="1389" t="s">
        <v>1562</v>
      </c>
      <c r="B178" s="28">
        <f>(31.9)*1000*(1/2000)*(0.90718/1000000)*(44/12)</f>
        <v>5.305491033333333E-5</v>
      </c>
      <c r="H178" s="197"/>
      <c r="I178" s="197"/>
      <c r="J178" s="197"/>
    </row>
    <row r="179" spans="1:35" x14ac:dyDescent="0.4">
      <c r="A179" s="1326" t="s">
        <v>1063</v>
      </c>
      <c r="H179" s="197"/>
      <c r="I179" s="197"/>
      <c r="J179" s="197"/>
    </row>
    <row r="180" spans="1:35" x14ac:dyDescent="0.4">
      <c r="H180" s="197"/>
      <c r="I180" s="197"/>
      <c r="J180" s="197"/>
    </row>
    <row r="181" spans="1:35" x14ac:dyDescent="0.4">
      <c r="A181" s="88" t="s">
        <v>455</v>
      </c>
      <c r="AF181" s="12"/>
    </row>
    <row r="182" spans="1:35" ht="17" x14ac:dyDescent="0.45">
      <c r="A182" s="108" t="s">
        <v>1560</v>
      </c>
      <c r="B182" s="995" t="s">
        <v>391</v>
      </c>
      <c r="C182" s="996" t="s">
        <v>392</v>
      </c>
      <c r="D182" s="996" t="s">
        <v>393</v>
      </c>
      <c r="E182" s="996" t="s">
        <v>394</v>
      </c>
      <c r="F182" s="996" t="s">
        <v>395</v>
      </c>
      <c r="G182" s="996" t="s">
        <v>396</v>
      </c>
      <c r="H182" s="996" t="s">
        <v>397</v>
      </c>
      <c r="I182" s="996" t="s">
        <v>398</v>
      </c>
      <c r="J182" s="996" t="s">
        <v>399</v>
      </c>
      <c r="K182" s="996" t="s">
        <v>400</v>
      </c>
      <c r="L182" s="996" t="s">
        <v>401</v>
      </c>
      <c r="M182" s="996" t="s">
        <v>402</v>
      </c>
      <c r="N182" s="996" t="s">
        <v>403</v>
      </c>
      <c r="O182" s="996" t="s">
        <v>404</v>
      </c>
      <c r="P182" s="996" t="s">
        <v>405</v>
      </c>
      <c r="Q182" s="996" t="s">
        <v>406</v>
      </c>
      <c r="R182" s="996" t="s">
        <v>407</v>
      </c>
      <c r="S182" s="996" t="s">
        <v>408</v>
      </c>
      <c r="T182" s="996" t="s">
        <v>409</v>
      </c>
      <c r="U182" s="996" t="s">
        <v>410</v>
      </c>
      <c r="V182" s="996" t="s">
        <v>411</v>
      </c>
      <c r="W182" s="996" t="s">
        <v>412</v>
      </c>
      <c r="X182" s="996" t="s">
        <v>413</v>
      </c>
      <c r="Y182" s="996" t="s">
        <v>414</v>
      </c>
      <c r="Z182" s="996" t="s">
        <v>415</v>
      </c>
      <c r="AA182" s="996" t="s">
        <v>416</v>
      </c>
      <c r="AB182" s="996" t="s">
        <v>417</v>
      </c>
      <c r="AC182" s="996" t="s">
        <v>418</v>
      </c>
      <c r="AD182" s="996" t="s">
        <v>419</v>
      </c>
      <c r="AE182" s="996" t="s">
        <v>420</v>
      </c>
      <c r="AF182" s="996" t="s">
        <v>421</v>
      </c>
      <c r="AG182" s="996" t="s">
        <v>422</v>
      </c>
      <c r="AH182" s="996" t="s">
        <v>423</v>
      </c>
      <c r="AI182" s="996" t="s">
        <v>424</v>
      </c>
    </row>
    <row r="183" spans="1:35" s="3" customFormat="1" x14ac:dyDescent="0.4">
      <c r="A183" s="1423" t="s">
        <v>1323</v>
      </c>
      <c r="B183" s="98">
        <v>0</v>
      </c>
      <c r="C183" s="98">
        <v>0</v>
      </c>
      <c r="D183" s="98">
        <v>0</v>
      </c>
      <c r="E183" s="98">
        <v>0</v>
      </c>
      <c r="F183" s="98">
        <v>0</v>
      </c>
      <c r="G183" s="98">
        <v>0</v>
      </c>
      <c r="H183" s="98">
        <v>0</v>
      </c>
      <c r="I183" s="98">
        <v>0</v>
      </c>
      <c r="J183" s="98">
        <v>0</v>
      </c>
      <c r="K183" s="98">
        <v>0</v>
      </c>
      <c r="L183" s="98">
        <v>0</v>
      </c>
      <c r="M183" s="98">
        <v>0</v>
      </c>
      <c r="N183" s="98">
        <v>0</v>
      </c>
      <c r="O183" s="98">
        <v>0</v>
      </c>
      <c r="P183" s="98">
        <v>0</v>
      </c>
      <c r="Q183" s="98">
        <v>0</v>
      </c>
      <c r="R183" s="98">
        <v>0</v>
      </c>
      <c r="S183" s="98">
        <v>0</v>
      </c>
      <c r="T183" s="98">
        <v>0</v>
      </c>
      <c r="U183" s="98">
        <v>0</v>
      </c>
      <c r="V183" s="98">
        <v>0</v>
      </c>
      <c r="W183" s="98">
        <v>0</v>
      </c>
      <c r="X183" s="98">
        <v>0</v>
      </c>
      <c r="Y183" s="98">
        <v>0</v>
      </c>
      <c r="Z183" s="98">
        <v>0</v>
      </c>
      <c r="AA183" s="98">
        <v>0</v>
      </c>
      <c r="AB183" s="98">
        <v>0</v>
      </c>
      <c r="AC183" s="98">
        <v>0</v>
      </c>
      <c r="AD183" s="188">
        <v>19759</v>
      </c>
      <c r="AE183" s="188">
        <v>38970</v>
      </c>
      <c r="AF183" s="188">
        <v>68111</v>
      </c>
      <c r="AG183" s="188">
        <v>118958</v>
      </c>
      <c r="AH183" s="188">
        <v>93716</v>
      </c>
      <c r="AI183" s="188">
        <v>72856</v>
      </c>
    </row>
    <row r="184" spans="1:35" s="3" customFormat="1" x14ac:dyDescent="0.4">
      <c r="A184" s="92" t="s">
        <v>70</v>
      </c>
      <c r="B184" s="98">
        <f t="shared" ref="B184:AI184" si="3">B183*$B$191</f>
        <v>0</v>
      </c>
      <c r="C184" s="98">
        <f t="shared" si="3"/>
        <v>0</v>
      </c>
      <c r="D184" s="98">
        <f t="shared" si="3"/>
        <v>0</v>
      </c>
      <c r="E184" s="98">
        <f t="shared" si="3"/>
        <v>0</v>
      </c>
      <c r="F184" s="98">
        <f t="shared" si="3"/>
        <v>0</v>
      </c>
      <c r="G184" s="98">
        <f t="shared" si="3"/>
        <v>0</v>
      </c>
      <c r="H184" s="98">
        <f t="shared" si="3"/>
        <v>0</v>
      </c>
      <c r="I184" s="98">
        <f t="shared" si="3"/>
        <v>0</v>
      </c>
      <c r="J184" s="98">
        <f t="shared" si="3"/>
        <v>0</v>
      </c>
      <c r="K184" s="98">
        <f t="shared" si="3"/>
        <v>0</v>
      </c>
      <c r="L184" s="98">
        <f t="shared" si="3"/>
        <v>0</v>
      </c>
      <c r="M184" s="98">
        <f t="shared" si="3"/>
        <v>0</v>
      </c>
      <c r="N184" s="98">
        <f t="shared" si="3"/>
        <v>0</v>
      </c>
      <c r="O184" s="98">
        <f t="shared" si="3"/>
        <v>0</v>
      </c>
      <c r="P184" s="98">
        <f t="shared" si="3"/>
        <v>0</v>
      </c>
      <c r="Q184" s="98">
        <f t="shared" si="3"/>
        <v>0</v>
      </c>
      <c r="R184" s="98">
        <f t="shared" si="3"/>
        <v>0</v>
      </c>
      <c r="S184" s="98">
        <f t="shared" si="3"/>
        <v>0</v>
      </c>
      <c r="T184" s="98">
        <f t="shared" si="3"/>
        <v>0</v>
      </c>
      <c r="U184" s="98">
        <f t="shared" si="3"/>
        <v>0</v>
      </c>
      <c r="V184" s="98">
        <f t="shared" si="3"/>
        <v>0</v>
      </c>
      <c r="W184" s="98">
        <f t="shared" si="3"/>
        <v>0</v>
      </c>
      <c r="X184" s="98">
        <f t="shared" si="3"/>
        <v>0</v>
      </c>
      <c r="Y184" s="98">
        <f t="shared" si="3"/>
        <v>0</v>
      </c>
      <c r="Z184" s="98">
        <f t="shared" si="3"/>
        <v>0</v>
      </c>
      <c r="AA184" s="98">
        <f t="shared" si="3"/>
        <v>0</v>
      </c>
      <c r="AB184" s="98">
        <f t="shared" si="3"/>
        <v>0</v>
      </c>
      <c r="AC184" s="98">
        <f t="shared" si="3"/>
        <v>0</v>
      </c>
      <c r="AD184" s="188">
        <f t="shared" si="3"/>
        <v>13172.666666666666</v>
      </c>
      <c r="AE184" s="188">
        <f t="shared" si="3"/>
        <v>25980</v>
      </c>
      <c r="AF184" s="188">
        <f t="shared" si="3"/>
        <v>45407.333333333328</v>
      </c>
      <c r="AG184" s="188">
        <f t="shared" si="3"/>
        <v>79305.333333333328</v>
      </c>
      <c r="AH184" s="188">
        <f t="shared" si="3"/>
        <v>62477.333333333328</v>
      </c>
      <c r="AI184" s="188">
        <f t="shared" si="3"/>
        <v>48570.666666666664</v>
      </c>
    </row>
    <row r="185" spans="1:35" s="3" customFormat="1" x14ac:dyDescent="0.4">
      <c r="A185" s="92" t="s">
        <v>71</v>
      </c>
      <c r="B185" s="98">
        <f t="shared" ref="B185:AI185" si="4">B184*$B$192/1000</f>
        <v>0</v>
      </c>
      <c r="C185" s="98">
        <f t="shared" si="4"/>
        <v>0</v>
      </c>
      <c r="D185" s="98">
        <f t="shared" si="4"/>
        <v>0</v>
      </c>
      <c r="E185" s="98">
        <f t="shared" si="4"/>
        <v>0</v>
      </c>
      <c r="F185" s="98">
        <f t="shared" si="4"/>
        <v>0</v>
      </c>
      <c r="G185" s="98">
        <f t="shared" si="4"/>
        <v>0</v>
      </c>
      <c r="H185" s="98">
        <f t="shared" si="4"/>
        <v>0</v>
      </c>
      <c r="I185" s="98">
        <f t="shared" si="4"/>
        <v>0</v>
      </c>
      <c r="J185" s="98">
        <f t="shared" si="4"/>
        <v>0</v>
      </c>
      <c r="K185" s="98">
        <f t="shared" si="4"/>
        <v>0</v>
      </c>
      <c r="L185" s="98">
        <f t="shared" si="4"/>
        <v>0</v>
      </c>
      <c r="M185" s="98">
        <f t="shared" si="4"/>
        <v>0</v>
      </c>
      <c r="N185" s="98">
        <f t="shared" si="4"/>
        <v>0</v>
      </c>
      <c r="O185" s="98">
        <f t="shared" si="4"/>
        <v>0</v>
      </c>
      <c r="P185" s="98">
        <f t="shared" si="4"/>
        <v>0</v>
      </c>
      <c r="Q185" s="98">
        <f t="shared" si="4"/>
        <v>0</v>
      </c>
      <c r="R185" s="98">
        <f t="shared" si="4"/>
        <v>0</v>
      </c>
      <c r="S185" s="98">
        <f t="shared" si="4"/>
        <v>0</v>
      </c>
      <c r="T185" s="98">
        <f t="shared" si="4"/>
        <v>0</v>
      </c>
      <c r="U185" s="98">
        <f t="shared" si="4"/>
        <v>0</v>
      </c>
      <c r="V185" s="98">
        <f t="shared" si="4"/>
        <v>0</v>
      </c>
      <c r="W185" s="98">
        <f t="shared" si="4"/>
        <v>0</v>
      </c>
      <c r="X185" s="98">
        <f t="shared" si="4"/>
        <v>0</v>
      </c>
      <c r="Y185" s="98">
        <f t="shared" si="4"/>
        <v>0</v>
      </c>
      <c r="Z185" s="98">
        <f t="shared" si="4"/>
        <v>0</v>
      </c>
      <c r="AA185" s="98">
        <f t="shared" si="4"/>
        <v>0</v>
      </c>
      <c r="AB185" s="98">
        <f t="shared" si="4"/>
        <v>0</v>
      </c>
      <c r="AC185" s="98">
        <f t="shared" si="4"/>
        <v>0</v>
      </c>
      <c r="AD185" s="137">
        <f t="shared" si="4"/>
        <v>87.861686666666657</v>
      </c>
      <c r="AE185" s="137">
        <f t="shared" si="4"/>
        <v>173.28659999999999</v>
      </c>
      <c r="AF185" s="137">
        <f t="shared" si="4"/>
        <v>302.86691333333329</v>
      </c>
      <c r="AG185" s="137">
        <f t="shared" si="4"/>
        <v>528.96657333333326</v>
      </c>
      <c r="AH185" s="137">
        <f t="shared" si="4"/>
        <v>416.72381333333328</v>
      </c>
      <c r="AI185" s="137">
        <f t="shared" si="4"/>
        <v>323.9663466666666</v>
      </c>
    </row>
    <row r="186" spans="1:35" s="3" customFormat="1" ht="17" x14ac:dyDescent="0.45">
      <c r="A186" s="243" t="s">
        <v>1561</v>
      </c>
      <c r="B186" s="125">
        <f t="shared" ref="B186:AI186" si="5">B184*$B$193*0.90718474/2000/1000000</f>
        <v>0</v>
      </c>
      <c r="C186" s="125">
        <f t="shared" si="5"/>
        <v>0</v>
      </c>
      <c r="D186" s="125">
        <f t="shared" si="5"/>
        <v>0</v>
      </c>
      <c r="E186" s="125">
        <f t="shared" si="5"/>
        <v>0</v>
      </c>
      <c r="F186" s="125">
        <f t="shared" si="5"/>
        <v>0</v>
      </c>
      <c r="G186" s="125">
        <f t="shared" si="5"/>
        <v>0</v>
      </c>
      <c r="H186" s="125">
        <f t="shared" si="5"/>
        <v>0</v>
      </c>
      <c r="I186" s="125">
        <f t="shared" si="5"/>
        <v>0</v>
      </c>
      <c r="J186" s="125">
        <f t="shared" si="5"/>
        <v>0</v>
      </c>
      <c r="K186" s="125">
        <f t="shared" si="5"/>
        <v>0</v>
      </c>
      <c r="L186" s="125">
        <f t="shared" si="5"/>
        <v>0</v>
      </c>
      <c r="M186" s="125">
        <f t="shared" si="5"/>
        <v>0</v>
      </c>
      <c r="N186" s="125">
        <f t="shared" si="5"/>
        <v>0</v>
      </c>
      <c r="O186" s="125">
        <f t="shared" si="5"/>
        <v>0</v>
      </c>
      <c r="P186" s="125">
        <f t="shared" si="5"/>
        <v>0</v>
      </c>
      <c r="Q186" s="125">
        <f t="shared" si="5"/>
        <v>0</v>
      </c>
      <c r="R186" s="125">
        <f t="shared" si="5"/>
        <v>0</v>
      </c>
      <c r="S186" s="125">
        <f t="shared" si="5"/>
        <v>0</v>
      </c>
      <c r="T186" s="125">
        <f t="shared" si="5"/>
        <v>0</v>
      </c>
      <c r="U186" s="125">
        <f t="shared" si="5"/>
        <v>0</v>
      </c>
      <c r="V186" s="125">
        <f t="shared" si="5"/>
        <v>0</v>
      </c>
      <c r="W186" s="125">
        <f t="shared" si="5"/>
        <v>0</v>
      </c>
      <c r="X186" s="125">
        <f t="shared" si="5"/>
        <v>0</v>
      </c>
      <c r="Y186" s="125">
        <f t="shared" si="5"/>
        <v>0</v>
      </c>
      <c r="Z186" s="125">
        <f t="shared" si="5"/>
        <v>0</v>
      </c>
      <c r="AA186" s="125">
        <f t="shared" si="5"/>
        <v>0</v>
      </c>
      <c r="AB186" s="125">
        <f t="shared" si="5"/>
        <v>0</v>
      </c>
      <c r="AC186" s="125">
        <f t="shared" si="5"/>
        <v>0</v>
      </c>
      <c r="AD186" s="260">
        <f t="shared" si="5"/>
        <v>4.4567682329355309E-3</v>
      </c>
      <c r="AE186" s="260">
        <f t="shared" si="5"/>
        <v>8.7899315773823424E-3</v>
      </c>
      <c r="AF186" s="260">
        <f t="shared" si="5"/>
        <v>1.5362869634772607E-2</v>
      </c>
      <c r="AG186" s="260">
        <f t="shared" si="5"/>
        <v>2.6831734169418742E-2</v>
      </c>
      <c r="AH186" s="260">
        <f t="shared" si="5"/>
        <v>2.1138240382498417E-2</v>
      </c>
      <c r="AI186" s="260">
        <f t="shared" si="5"/>
        <v>1.6433134590756165E-2</v>
      </c>
    </row>
    <row r="187" spans="1:35" s="3" customFormat="1" x14ac:dyDescent="0.4">
      <c r="A187" s="1067" t="s">
        <v>1063</v>
      </c>
      <c r="B187" s="1074"/>
      <c r="C187" s="1075"/>
      <c r="D187" s="1075"/>
      <c r="E187" s="1075"/>
      <c r="F187" s="1075"/>
      <c r="G187" s="1075"/>
      <c r="H187" s="1075"/>
      <c r="I187" s="1075"/>
      <c r="J187" s="1075"/>
      <c r="K187" s="1075"/>
      <c r="L187" s="1075"/>
      <c r="M187" s="1075"/>
      <c r="N187" s="1075"/>
      <c r="O187" s="1075"/>
      <c r="P187" s="1075"/>
      <c r="Q187" s="1075"/>
      <c r="R187" s="1075"/>
      <c r="S187" s="1075"/>
      <c r="T187" s="1075"/>
      <c r="U187" s="1075"/>
      <c r="V187" s="1075"/>
      <c r="W187" s="1075"/>
      <c r="X187" s="1075"/>
      <c r="Y187" s="1075"/>
      <c r="Z187" s="1075"/>
      <c r="AA187" s="1075"/>
      <c r="AB187" s="1075"/>
      <c r="AC187" s="1075"/>
      <c r="AD187" s="1055"/>
      <c r="AE187" s="1055"/>
      <c r="AF187" s="1055"/>
      <c r="AG187" s="1055"/>
      <c r="AH187" s="1055"/>
      <c r="AI187" s="1055"/>
    </row>
    <row r="188" spans="1:35" s="3" customFormat="1" x14ac:dyDescent="0.4">
      <c r="A188" s="196"/>
      <c r="B188" s="92"/>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c r="AA188" s="86"/>
      <c r="AB188" s="86"/>
      <c r="AC188" s="86"/>
      <c r="AD188" s="28"/>
      <c r="AE188" s="28"/>
      <c r="AF188" s="28"/>
      <c r="AG188" s="28"/>
      <c r="AH188" s="28"/>
      <c r="AI188" s="28"/>
    </row>
    <row r="189" spans="1:35" s="3" customFormat="1" x14ac:dyDescent="0.4">
      <c r="A189" s="1354" t="s">
        <v>1176</v>
      </c>
      <c r="B189" s="92"/>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c r="AA189" s="86"/>
      <c r="AB189" s="86"/>
      <c r="AC189" s="86"/>
      <c r="AD189" s="28"/>
      <c r="AE189" s="28"/>
      <c r="AF189" s="28"/>
      <c r="AG189" s="28"/>
      <c r="AH189" s="28"/>
      <c r="AI189" s="28"/>
    </row>
    <row r="190" spans="1:35" s="3" customFormat="1" x14ac:dyDescent="0.4">
      <c r="A190" s="1358" t="s">
        <v>942</v>
      </c>
      <c r="B190" s="1359" t="s">
        <v>573</v>
      </c>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c r="AA190" s="86"/>
      <c r="AB190" s="86"/>
      <c r="AC190" s="86"/>
      <c r="AD190" s="28"/>
      <c r="AE190" s="28"/>
      <c r="AF190" s="28"/>
      <c r="AG190" s="28"/>
      <c r="AH190" s="28"/>
      <c r="AI190" s="28"/>
    </row>
    <row r="191" spans="1:35" s="3" customFormat="1" x14ac:dyDescent="0.4">
      <c r="A191" s="1326" t="s">
        <v>1175</v>
      </c>
      <c r="B191" s="33">
        <f>2/3</f>
        <v>0.66666666666666663</v>
      </c>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c r="AA191" s="86"/>
      <c r="AB191" s="86"/>
      <c r="AC191" s="86"/>
      <c r="AD191" s="28"/>
      <c r="AE191" s="28"/>
      <c r="AF191" s="28"/>
      <c r="AG191" s="28"/>
      <c r="AH191" s="28"/>
      <c r="AI191" s="28"/>
    </row>
    <row r="192" spans="1:35" s="3" customFormat="1" x14ac:dyDescent="0.4">
      <c r="A192" s="1326" t="s">
        <v>1174</v>
      </c>
      <c r="B192" s="28">
        <v>6.67</v>
      </c>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c r="AA192" s="86"/>
      <c r="AB192" s="86"/>
      <c r="AC192" s="86"/>
      <c r="AD192" s="28"/>
      <c r="AE192" s="28"/>
      <c r="AF192" s="28"/>
      <c r="AG192" s="28"/>
      <c r="AH192" s="28"/>
      <c r="AI192" s="28"/>
    </row>
    <row r="193" spans="1:35" s="3" customFormat="1" ht="17" x14ac:dyDescent="0.45">
      <c r="A193" s="1389" t="s">
        <v>1563</v>
      </c>
      <c r="B193" s="28">
        <v>745.9</v>
      </c>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c r="AA193" s="86"/>
      <c r="AB193" s="86"/>
      <c r="AC193" s="86"/>
      <c r="AD193" s="28"/>
      <c r="AE193" s="28"/>
      <c r="AF193" s="28"/>
      <c r="AG193" s="28"/>
      <c r="AH193" s="28"/>
      <c r="AI193" s="28"/>
    </row>
    <row r="194" spans="1:35" s="3" customFormat="1" x14ac:dyDescent="0.4">
      <c r="A194" s="1326" t="s">
        <v>1063</v>
      </c>
      <c r="B194" s="92"/>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c r="AA194" s="86"/>
      <c r="AB194" s="86"/>
      <c r="AC194" s="86"/>
      <c r="AD194" s="28"/>
      <c r="AE194" s="28"/>
      <c r="AF194" s="28"/>
      <c r="AG194" s="28"/>
      <c r="AH194" s="28"/>
      <c r="AI194" s="28"/>
    </row>
    <row r="195" spans="1:35" s="3" customFormat="1" x14ac:dyDescent="0.4">
      <c r="A195" s="196"/>
      <c r="B195" s="92"/>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c r="AA195" s="86"/>
      <c r="AB195" s="86"/>
      <c r="AC195" s="86"/>
      <c r="AD195" s="28"/>
      <c r="AE195" s="28"/>
      <c r="AF195" s="28"/>
      <c r="AG195" s="28"/>
      <c r="AH195" s="28"/>
      <c r="AI195" s="28"/>
    </row>
    <row r="196" spans="1:35" s="3" customFormat="1" x14ac:dyDescent="0.4">
      <c r="A196" s="1466" t="s">
        <v>1413</v>
      </c>
      <c r="B196" s="92"/>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c r="AA196" s="86"/>
      <c r="AB196" s="86"/>
      <c r="AC196" s="86"/>
      <c r="AD196" s="28"/>
      <c r="AE196" s="28"/>
      <c r="AF196" s="28"/>
      <c r="AG196" s="28"/>
      <c r="AH196" s="28"/>
      <c r="AI196" s="28"/>
    </row>
    <row r="197" spans="1:35" s="3" customFormat="1" x14ac:dyDescent="0.4">
      <c r="A197" s="1393" t="s">
        <v>1276</v>
      </c>
      <c r="B197" s="92"/>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c r="AA197" s="86"/>
      <c r="AB197" s="86"/>
      <c r="AC197" s="86"/>
      <c r="AD197" s="28"/>
      <c r="AE197" s="28"/>
      <c r="AF197" s="28"/>
      <c r="AG197" s="28"/>
      <c r="AH197" s="28"/>
      <c r="AI197" s="28"/>
    </row>
    <row r="198" spans="1:35" s="3" customFormat="1" x14ac:dyDescent="0.4">
      <c r="A198" s="2" t="s">
        <v>1275</v>
      </c>
      <c r="D198" s="28"/>
      <c r="E198" s="28"/>
      <c r="F198" s="28"/>
      <c r="G198" s="28"/>
      <c r="H198" s="197"/>
      <c r="I198" s="197"/>
      <c r="J198" s="197"/>
      <c r="K198" s="28"/>
      <c r="L198" s="28"/>
      <c r="M198" s="28"/>
      <c r="N198" s="28"/>
      <c r="O198" s="28"/>
      <c r="P198" s="28"/>
      <c r="Q198" s="28"/>
      <c r="R198" s="28"/>
      <c r="S198" s="28"/>
      <c r="T198" s="28"/>
      <c r="U198" s="28"/>
      <c r="V198" s="28"/>
      <c r="W198" s="28"/>
      <c r="X198" s="28"/>
      <c r="Y198" s="28"/>
      <c r="Z198" s="28"/>
      <c r="AA198" s="28"/>
      <c r="AB198" s="28"/>
      <c r="AC198" s="28"/>
      <c r="AD198" s="28"/>
      <c r="AE198" s="28"/>
    </row>
    <row r="199" spans="1:35" s="3" customFormat="1" ht="17" x14ac:dyDescent="0.45">
      <c r="A199" s="1297" t="s">
        <v>1031</v>
      </c>
      <c r="D199" s="28"/>
      <c r="E199" s="28"/>
      <c r="F199" s="28"/>
      <c r="G199" s="28"/>
      <c r="H199" s="197"/>
      <c r="I199" s="197"/>
      <c r="J199" s="197"/>
      <c r="K199" s="28"/>
      <c r="L199" s="28"/>
      <c r="M199" s="28"/>
      <c r="N199" s="28"/>
      <c r="O199" s="28"/>
      <c r="P199" s="28"/>
      <c r="Q199" s="28"/>
      <c r="R199" s="28"/>
      <c r="S199" s="28"/>
      <c r="T199" s="28"/>
      <c r="U199" s="28"/>
      <c r="V199" s="28"/>
      <c r="W199" s="28"/>
      <c r="X199" s="28"/>
      <c r="Y199" s="28"/>
      <c r="Z199" s="28"/>
      <c r="AA199" s="28"/>
      <c r="AB199" s="28"/>
      <c r="AC199" s="28"/>
      <c r="AD199" s="28"/>
      <c r="AE199" s="28"/>
    </row>
    <row r="201" spans="1:35" customFormat="1" ht="17" x14ac:dyDescent="0.45">
      <c r="A201" s="42" t="s">
        <v>1685</v>
      </c>
    </row>
    <row r="202" spans="1:35" customFormat="1" ht="17" x14ac:dyDescent="0.45">
      <c r="A202" s="1491" t="s">
        <v>1690</v>
      </c>
    </row>
    <row r="203" spans="1:35" customFormat="1" ht="17" x14ac:dyDescent="0.45">
      <c r="A203" s="1492" t="s">
        <v>1686</v>
      </c>
    </row>
    <row r="204" spans="1:35" customFormat="1" x14ac:dyDescent="0.4">
      <c r="A204" s="1493" t="s">
        <v>937</v>
      </c>
      <c r="B204" s="1493" t="s">
        <v>1627</v>
      </c>
      <c r="C204" s="1493" t="s">
        <v>1628</v>
      </c>
      <c r="D204" s="1493" t="s">
        <v>1629</v>
      </c>
      <c r="E204" s="1493" t="s">
        <v>1630</v>
      </c>
      <c r="F204" s="1493" t="s">
        <v>1631</v>
      </c>
      <c r="G204" s="1493" t="s">
        <v>1632</v>
      </c>
      <c r="H204" s="1493" t="s">
        <v>1633</v>
      </c>
      <c r="I204" s="1493" t="s">
        <v>1634</v>
      </c>
      <c r="J204" s="1493" t="s">
        <v>1635</v>
      </c>
      <c r="K204" s="1493" t="s">
        <v>1636</v>
      </c>
      <c r="L204" s="1493" t="s">
        <v>1637</v>
      </c>
      <c r="M204" s="1493" t="s">
        <v>1638</v>
      </c>
      <c r="N204" s="1493" t="s">
        <v>1639</v>
      </c>
      <c r="O204" s="1493" t="s">
        <v>1640</v>
      </c>
      <c r="P204" s="1493" t="s">
        <v>1641</v>
      </c>
      <c r="Q204" s="1493" t="s">
        <v>1642</v>
      </c>
      <c r="R204" s="1493" t="s">
        <v>1643</v>
      </c>
      <c r="S204" s="1493" t="s">
        <v>1644</v>
      </c>
      <c r="T204" s="1493" t="s">
        <v>1645</v>
      </c>
      <c r="U204" s="1493" t="s">
        <v>1646</v>
      </c>
      <c r="V204" s="1493" t="s">
        <v>1647</v>
      </c>
      <c r="W204" s="1493" t="s">
        <v>1648</v>
      </c>
      <c r="X204" s="1493" t="s">
        <v>1649</v>
      </c>
      <c r="Y204" s="1493" t="s">
        <v>1650</v>
      </c>
      <c r="Z204" s="1493" t="s">
        <v>1651</v>
      </c>
      <c r="AA204" s="1493" t="s">
        <v>1652</v>
      </c>
      <c r="AB204" s="1493" t="s">
        <v>1653</v>
      </c>
      <c r="AC204" s="1493" t="s">
        <v>1654</v>
      </c>
      <c r="AD204" s="1493" t="s">
        <v>1655</v>
      </c>
      <c r="AE204" s="1493" t="s">
        <v>1656</v>
      </c>
      <c r="AF204" s="1493" t="s">
        <v>1657</v>
      </c>
      <c r="AG204" s="1493" t="s">
        <v>1658</v>
      </c>
      <c r="AH204" s="1493" t="s">
        <v>1659</v>
      </c>
      <c r="AI204" s="1493" t="s">
        <v>1660</v>
      </c>
    </row>
    <row r="205" spans="1:35" customFormat="1" x14ac:dyDescent="0.4">
      <c r="A205" s="1494" t="s">
        <v>67</v>
      </c>
      <c r="B205" s="1495" t="s">
        <v>458</v>
      </c>
      <c r="C205" s="1495">
        <v>2961504.2994215679</v>
      </c>
      <c r="D205" s="1495">
        <v>2399189.9596033371</v>
      </c>
      <c r="E205" s="1495">
        <v>2379510.6294095125</v>
      </c>
      <c r="F205" s="1495">
        <v>2284385.6060477435</v>
      </c>
      <c r="G205" s="1495">
        <v>2116564.8895564419</v>
      </c>
      <c r="H205" s="1495">
        <v>2250710.0472080559</v>
      </c>
      <c r="I205" s="1495">
        <v>2260328.9132617996</v>
      </c>
      <c r="J205" s="1495">
        <v>2121816.6396366372</v>
      </c>
      <c r="K205" s="1495">
        <v>2214194.5902903508</v>
      </c>
      <c r="L205" s="1495">
        <v>2216456.1729133204</v>
      </c>
      <c r="M205" s="1495">
        <v>1895949.3857588684</v>
      </c>
      <c r="N205" s="1495">
        <v>1524596.8965750788</v>
      </c>
      <c r="O205" s="1495">
        <v>1764323.7511047272</v>
      </c>
      <c r="P205" s="1495">
        <v>2272290.5405147215</v>
      </c>
      <c r="Q205" s="1495">
        <v>2490316.7473105914</v>
      </c>
      <c r="R205" s="1495">
        <v>2311602.4040939105</v>
      </c>
      <c r="S205" s="1495">
        <v>2270422.1361884931</v>
      </c>
      <c r="T205" s="1495">
        <v>3041343.4893651498</v>
      </c>
      <c r="U205" s="1495">
        <v>1683947.5424757202</v>
      </c>
      <c r="V205" s="1495">
        <v>2363376.3628342692</v>
      </c>
      <c r="W205" s="1495">
        <v>2326971.7347621606</v>
      </c>
      <c r="X205" s="1495">
        <v>2310050.8959786864</v>
      </c>
      <c r="Y205" s="1495">
        <v>2403144.089963052</v>
      </c>
      <c r="Z205" s="1495">
        <v>2330082.3132576291</v>
      </c>
      <c r="AA205" s="1495">
        <v>2280887.9436528035</v>
      </c>
      <c r="AB205" s="1495">
        <v>2419000.2800782411</v>
      </c>
      <c r="AC205" s="1495">
        <v>2643019.597547051</v>
      </c>
      <c r="AD205" s="1495">
        <v>2814110.124963244</v>
      </c>
      <c r="AE205" s="1495">
        <v>2993560.3793217498</v>
      </c>
      <c r="AF205" s="1495">
        <v>1522093.6460821885</v>
      </c>
      <c r="AG205" s="1495">
        <v>2161059.2301950487</v>
      </c>
      <c r="AH205" s="1495">
        <v>2683265.1266210768</v>
      </c>
      <c r="AI205" s="1518">
        <v>2719049.1052970737</v>
      </c>
    </row>
    <row r="206" spans="1:35" customFormat="1" x14ac:dyDescent="0.4">
      <c r="A206" s="1496" t="s">
        <v>1661</v>
      </c>
      <c r="B206" s="1495" t="s">
        <v>458</v>
      </c>
      <c r="C206" s="1495">
        <v>540751.82926829252</v>
      </c>
      <c r="D206" s="1495">
        <v>188163.10975609752</v>
      </c>
      <c r="E206" s="1495">
        <v>155306.9359756097</v>
      </c>
      <c r="F206" s="1495">
        <v>46823.666158536573</v>
      </c>
      <c r="G206" s="1495">
        <v>4704.0777439024378</v>
      </c>
      <c r="H206" s="1495">
        <v>1809.2606707317068</v>
      </c>
      <c r="I206" s="1495">
        <v>868.44512195121922</v>
      </c>
      <c r="J206" s="1505" t="s">
        <v>32</v>
      </c>
      <c r="K206" s="1505" t="s">
        <v>32</v>
      </c>
      <c r="L206" s="1505" t="s">
        <v>32</v>
      </c>
      <c r="M206" s="1505" t="s">
        <v>32</v>
      </c>
      <c r="N206" s="1505" t="s">
        <v>32</v>
      </c>
      <c r="O206" s="1505" t="s">
        <v>32</v>
      </c>
      <c r="P206" s="1505" t="s">
        <v>32</v>
      </c>
      <c r="Q206" s="1505" t="s">
        <v>32</v>
      </c>
      <c r="R206" s="1505" t="s">
        <v>32</v>
      </c>
      <c r="S206" s="1505" t="s">
        <v>32</v>
      </c>
      <c r="T206" s="1505" t="s">
        <v>32</v>
      </c>
      <c r="U206" s="1505" t="s">
        <v>32</v>
      </c>
      <c r="V206" s="1505" t="s">
        <v>32</v>
      </c>
      <c r="W206" s="1505" t="s">
        <v>32</v>
      </c>
      <c r="X206" s="1505" t="s">
        <v>32</v>
      </c>
      <c r="Y206" s="1505" t="s">
        <v>32</v>
      </c>
      <c r="Z206" s="1505" t="s">
        <v>32</v>
      </c>
      <c r="AA206" s="1505" t="s">
        <v>32</v>
      </c>
      <c r="AB206" s="1505" t="s">
        <v>32</v>
      </c>
      <c r="AC206" s="1505" t="s">
        <v>32</v>
      </c>
      <c r="AD206" s="1505" t="s">
        <v>32</v>
      </c>
      <c r="AE206" s="1505" t="s">
        <v>32</v>
      </c>
      <c r="AF206" s="1505" t="s">
        <v>32</v>
      </c>
      <c r="AG206" s="1505" t="s">
        <v>32</v>
      </c>
      <c r="AH206" s="1505" t="s">
        <v>32</v>
      </c>
      <c r="AI206" s="1505" t="s">
        <v>32</v>
      </c>
    </row>
    <row r="207" spans="1:35" customFormat="1" x14ac:dyDescent="0.4">
      <c r="A207" s="1497" t="s">
        <v>93</v>
      </c>
      <c r="B207" s="1525" t="s">
        <v>458</v>
      </c>
      <c r="C207" s="1498">
        <v>15704.999999999996</v>
      </c>
      <c r="D207" s="1498">
        <v>15704.999999999996</v>
      </c>
      <c r="E207" s="1498">
        <v>29664.999999999993</v>
      </c>
      <c r="F207" s="1498">
        <v>25476.999999999989</v>
      </c>
      <c r="G207" s="1498">
        <v>29315.999999999993</v>
      </c>
      <c r="H207" s="1498">
        <v>31409.999999999993</v>
      </c>
      <c r="I207" s="1498">
        <v>30362.999999999989</v>
      </c>
      <c r="J207" s="1498">
        <v>30362.999999999989</v>
      </c>
      <c r="K207" s="1498">
        <v>33503.999999999993</v>
      </c>
      <c r="L207" s="1498">
        <v>40483.999999999985</v>
      </c>
      <c r="M207" s="1498">
        <v>27919.999999999985</v>
      </c>
      <c r="N207" s="1498">
        <v>26872.999999999993</v>
      </c>
      <c r="O207" s="1498">
        <v>28268.999999999985</v>
      </c>
      <c r="P207" s="1498">
        <v>33154.999999999985</v>
      </c>
      <c r="Q207" s="1498">
        <v>40832.999999999985</v>
      </c>
      <c r="R207" s="1498">
        <v>17100.999999999993</v>
      </c>
      <c r="S207" s="1498">
        <v>30362.999999999989</v>
      </c>
      <c r="T207" s="1498">
        <v>17449.999999999996</v>
      </c>
      <c r="U207" s="1498">
        <v>33852.999999999993</v>
      </c>
      <c r="V207" s="1498">
        <v>19543.999999999993</v>
      </c>
      <c r="W207" s="1498">
        <v>18496.999999999993</v>
      </c>
      <c r="X207" s="1498">
        <v>17449.999999999996</v>
      </c>
      <c r="Y207" s="1498">
        <v>15006.999999999993</v>
      </c>
      <c r="Z207" s="1498">
        <v>25825.999999999993</v>
      </c>
      <c r="AA207" s="1498">
        <v>24778.999999999993</v>
      </c>
      <c r="AB207" s="1498">
        <v>24080.999999999993</v>
      </c>
      <c r="AC207" s="1498">
        <v>23382.999999999993</v>
      </c>
      <c r="AD207" s="1498">
        <v>26872.999999999993</v>
      </c>
      <c r="AE207" s="1498">
        <v>26872.999999999993</v>
      </c>
      <c r="AF207" s="1498">
        <v>21986.999999999993</v>
      </c>
      <c r="AG207" s="1498">
        <v>24778.999999999993</v>
      </c>
      <c r="AH207" s="1498">
        <v>25825.999999999993</v>
      </c>
      <c r="AI207" s="1519">
        <v>24405.11093502376</v>
      </c>
    </row>
    <row r="208" spans="1:35" customFormat="1" x14ac:dyDescent="0.4">
      <c r="A208" s="108" t="s">
        <v>1662</v>
      </c>
      <c r="B208" s="1495" t="s">
        <v>458</v>
      </c>
      <c r="C208" s="207">
        <v>3517961.1286898605</v>
      </c>
      <c r="D208" s="207">
        <v>2603058.0693594348</v>
      </c>
      <c r="E208" s="207">
        <v>2564482.5653851223</v>
      </c>
      <c r="F208" s="207">
        <v>2356686.2722062799</v>
      </c>
      <c r="G208" s="207">
        <v>2150584.9673003443</v>
      </c>
      <c r="H208" s="207">
        <v>2283929.3078787876</v>
      </c>
      <c r="I208" s="207">
        <v>2291560.358383751</v>
      </c>
      <c r="J208" s="207">
        <v>2152034.8987829788</v>
      </c>
      <c r="K208" s="207">
        <v>2247698.5902903508</v>
      </c>
      <c r="L208" s="207">
        <v>2256940.1729133204</v>
      </c>
      <c r="M208" s="207">
        <v>1923869.3857588684</v>
      </c>
      <c r="N208" s="207">
        <v>1551469.8965750788</v>
      </c>
      <c r="O208" s="207">
        <v>1792592.7511047272</v>
      </c>
      <c r="P208" s="207">
        <v>2305445.5405147215</v>
      </c>
      <c r="Q208" s="207">
        <v>2531149.7473105914</v>
      </c>
      <c r="R208" s="207">
        <v>2328703.4040939105</v>
      </c>
      <c r="S208" s="207">
        <v>2300785.1361884931</v>
      </c>
      <c r="T208" s="207">
        <v>3058793.4893651498</v>
      </c>
      <c r="U208" s="207">
        <v>1717800.5424757202</v>
      </c>
      <c r="V208" s="207">
        <v>2382920.3628342692</v>
      </c>
      <c r="W208" s="207">
        <v>2345468.7347621606</v>
      </c>
      <c r="X208" s="207">
        <v>2327500.8959786864</v>
      </c>
      <c r="Y208" s="207">
        <v>2418151.089963052</v>
      </c>
      <c r="Z208" s="207">
        <v>2355908.3132576291</v>
      </c>
      <c r="AA208" s="207">
        <v>2305666.9436528035</v>
      </c>
      <c r="AB208" s="207">
        <v>2443081.2800782411</v>
      </c>
      <c r="AC208" s="207">
        <v>2666402.597547051</v>
      </c>
      <c r="AD208" s="207">
        <v>2840983.124963244</v>
      </c>
      <c r="AE208" s="207">
        <v>3020433.3793217498</v>
      </c>
      <c r="AF208" s="207">
        <v>1544080.6460821885</v>
      </c>
      <c r="AG208" s="207">
        <v>2185838.2301950487</v>
      </c>
      <c r="AH208" s="207">
        <v>2709091.1266210768</v>
      </c>
      <c r="AI208" s="1522">
        <v>2743454.2162320977</v>
      </c>
    </row>
    <row r="209" spans="1:35" customFormat="1" x14ac:dyDescent="0.4">
      <c r="A209" s="1499" t="s">
        <v>1111</v>
      </c>
      <c r="B209" s="1500"/>
      <c r="C209" s="1500"/>
      <c r="D209" s="1500"/>
      <c r="E209" s="1500"/>
      <c r="F209" s="1500"/>
      <c r="G209" s="1500"/>
      <c r="H209" s="1500"/>
      <c r="I209" s="1500"/>
      <c r="J209" s="1500"/>
      <c r="K209" s="1500"/>
      <c r="L209" s="1500"/>
      <c r="M209" s="1500"/>
      <c r="N209" s="1500"/>
      <c r="O209" s="1500"/>
      <c r="P209" s="1500"/>
      <c r="Q209" s="1500"/>
      <c r="R209" s="1500"/>
      <c r="S209" s="1500"/>
      <c r="T209" s="1500"/>
      <c r="U209" s="1500"/>
      <c r="V209" s="1500"/>
      <c r="W209" s="1500"/>
      <c r="X209" s="1500"/>
      <c r="Y209" s="1500"/>
      <c r="Z209" s="1500"/>
      <c r="AA209" s="1500"/>
      <c r="AB209" s="1500"/>
      <c r="AC209" s="1500"/>
      <c r="AD209" s="1500"/>
      <c r="AE209" s="1500"/>
      <c r="AF209" s="1500"/>
      <c r="AG209" s="1500"/>
      <c r="AH209" s="1500"/>
      <c r="AI209" s="1500"/>
    </row>
    <row r="210" spans="1:35" customFormat="1" x14ac:dyDescent="0.4">
      <c r="A210" s="108"/>
      <c r="B210" s="207"/>
      <c r="C210" s="207"/>
      <c r="D210" s="207"/>
      <c r="E210" s="207"/>
      <c r="F210" s="207"/>
      <c r="G210" s="207"/>
      <c r="H210" s="207"/>
      <c r="I210" s="207"/>
      <c r="J210" s="207"/>
      <c r="K210" s="207"/>
      <c r="L210" s="207"/>
      <c r="M210" s="207"/>
      <c r="N210" s="207"/>
      <c r="O210" s="207"/>
      <c r="P210" s="207"/>
      <c r="Q210" s="207"/>
      <c r="R210" s="207"/>
      <c r="S210" s="207"/>
      <c r="T210" s="207"/>
      <c r="U210" s="207"/>
      <c r="V210" s="207"/>
      <c r="W210" s="207"/>
      <c r="X210" s="207"/>
      <c r="Y210" s="207"/>
      <c r="Z210" s="207"/>
      <c r="AA210" s="207"/>
      <c r="AB210" s="207"/>
      <c r="AC210" s="207"/>
      <c r="AD210" s="207"/>
      <c r="AE210" s="207"/>
      <c r="AF210" s="207"/>
      <c r="AG210" s="207"/>
      <c r="AH210" s="207"/>
      <c r="AI210" s="207"/>
    </row>
    <row r="211" spans="1:35" customFormat="1" ht="17" x14ac:dyDescent="0.45">
      <c r="A211" s="1492" t="s">
        <v>1687</v>
      </c>
      <c r="B211" s="1491"/>
      <c r="C211" s="1491"/>
      <c r="D211" s="1491"/>
      <c r="E211" s="1491"/>
      <c r="F211" s="1491"/>
      <c r="G211" s="1491"/>
      <c r="H211" s="1491"/>
      <c r="I211" s="1491"/>
      <c r="J211" s="1491"/>
      <c r="K211" s="1491"/>
      <c r="L211" s="1491"/>
      <c r="M211" s="1491"/>
      <c r="N211" s="1491"/>
      <c r="O211" s="1491"/>
      <c r="P211" s="1491"/>
      <c r="Q211" s="1491"/>
      <c r="R211" s="1491"/>
      <c r="S211" s="1491"/>
      <c r="T211" s="1491"/>
      <c r="U211" s="1491"/>
      <c r="V211" s="1491"/>
      <c r="W211" s="1491"/>
      <c r="X211" s="1491"/>
      <c r="Y211" s="1491"/>
      <c r="Z211" s="1491"/>
      <c r="AA211" s="1491"/>
      <c r="AB211" s="1491"/>
      <c r="AC211" s="1491"/>
      <c r="AD211" s="1491"/>
      <c r="AE211" s="1491"/>
      <c r="AF211" s="1491"/>
      <c r="AG211" s="1491"/>
      <c r="AH211" s="1491"/>
      <c r="AI211" s="1491"/>
    </row>
    <row r="212" spans="1:35" customFormat="1" x14ac:dyDescent="0.4">
      <c r="A212" s="1493" t="s">
        <v>937</v>
      </c>
      <c r="B212" s="1501" t="s">
        <v>1627</v>
      </c>
      <c r="C212" s="1501" t="s">
        <v>1628</v>
      </c>
      <c r="D212" s="1501" t="s">
        <v>1629</v>
      </c>
      <c r="E212" s="1501" t="s">
        <v>1630</v>
      </c>
      <c r="F212" s="1501" t="s">
        <v>1631</v>
      </c>
      <c r="G212" s="1501" t="s">
        <v>1632</v>
      </c>
      <c r="H212" s="1501" t="s">
        <v>1633</v>
      </c>
      <c r="I212" s="1501" t="s">
        <v>1634</v>
      </c>
      <c r="J212" s="1501" t="s">
        <v>1635</v>
      </c>
      <c r="K212" s="1501" t="s">
        <v>1636</v>
      </c>
      <c r="L212" s="1501" t="s">
        <v>1637</v>
      </c>
      <c r="M212" s="1501" t="s">
        <v>1638</v>
      </c>
      <c r="N212" s="1501" t="s">
        <v>1639</v>
      </c>
      <c r="O212" s="1501" t="s">
        <v>1640</v>
      </c>
      <c r="P212" s="1501" t="s">
        <v>1641</v>
      </c>
      <c r="Q212" s="1501" t="s">
        <v>1642</v>
      </c>
      <c r="R212" s="1501" t="s">
        <v>1643</v>
      </c>
      <c r="S212" s="1501" t="s">
        <v>1644</v>
      </c>
      <c r="T212" s="1501" t="s">
        <v>1645</v>
      </c>
      <c r="U212" s="1501" t="s">
        <v>1646</v>
      </c>
      <c r="V212" s="1501" t="s">
        <v>1647</v>
      </c>
      <c r="W212" s="1501" t="s">
        <v>1648</v>
      </c>
      <c r="X212" s="1501" t="s">
        <v>1649</v>
      </c>
      <c r="Y212" s="1501" t="s">
        <v>1650</v>
      </c>
      <c r="Z212" s="1501" t="s">
        <v>1651</v>
      </c>
      <c r="AA212" s="1501" t="s">
        <v>1652</v>
      </c>
      <c r="AB212" s="1501" t="s">
        <v>1653</v>
      </c>
      <c r="AC212" s="1501" t="s">
        <v>1654</v>
      </c>
      <c r="AD212" s="1501" t="s">
        <v>1655</v>
      </c>
      <c r="AE212" s="1501" t="s">
        <v>1656</v>
      </c>
      <c r="AF212" s="1501" t="s">
        <v>1657</v>
      </c>
      <c r="AG212" s="1501" t="s">
        <v>1658</v>
      </c>
      <c r="AH212" s="1501" t="s">
        <v>1659</v>
      </c>
      <c r="AI212" s="1491"/>
    </row>
    <row r="213" spans="1:35" customFormat="1" x14ac:dyDescent="0.4">
      <c r="A213" s="1502" t="s">
        <v>1664</v>
      </c>
      <c r="B213" s="1495" t="s">
        <v>458</v>
      </c>
      <c r="C213" s="1503">
        <v>207828.30933333334</v>
      </c>
      <c r="D213" s="1503">
        <v>203104.93866666668</v>
      </c>
      <c r="E213" s="1503">
        <v>162956.288</v>
      </c>
      <c r="F213" s="1503">
        <v>171930.69226666668</v>
      </c>
      <c r="G213" s="1503">
        <v>93995.076266666671</v>
      </c>
      <c r="H213" s="1503">
        <v>945618.80746666656</v>
      </c>
      <c r="I213" s="1503">
        <v>651825.152</v>
      </c>
      <c r="J213" s="1503">
        <v>14170.112000000001</v>
      </c>
      <c r="K213" s="1503">
        <v>9919.0784000000021</v>
      </c>
      <c r="L213" s="1503">
        <v>254589.67893333334</v>
      </c>
      <c r="M213" s="1503">
        <v>135560.73813333336</v>
      </c>
      <c r="N213" s="1503">
        <v>148313.83893333332</v>
      </c>
      <c r="O213" s="1503">
        <v>3306.3594666666668</v>
      </c>
      <c r="P213" s="1503">
        <v>944.67413333333354</v>
      </c>
      <c r="Q213" s="1503">
        <v>305129.74506666668</v>
      </c>
      <c r="R213" s="1503">
        <v>176654.06293333333</v>
      </c>
      <c r="S213" s="1503">
        <v>132726.71573333335</v>
      </c>
      <c r="T213" s="1503">
        <v>143118.1312</v>
      </c>
      <c r="U213" s="1503">
        <v>187990.15253333334</v>
      </c>
      <c r="V213" s="1503">
        <v>134143.72693333335</v>
      </c>
      <c r="W213" s="1503">
        <v>99190.784</v>
      </c>
      <c r="X213" s="1503">
        <v>77463.278933333349</v>
      </c>
      <c r="Y213" s="1503">
        <v>93050.402133333322</v>
      </c>
      <c r="Z213" s="1503">
        <v>44399.684266666663</v>
      </c>
      <c r="AA213" s="1503">
        <v>40620.987733333335</v>
      </c>
      <c r="AB213" s="1503">
        <v>94467.41333333333</v>
      </c>
      <c r="AC213" s="1503">
        <v>155871.23200000002</v>
      </c>
      <c r="AD213" s="1503">
        <v>51957.077333333335</v>
      </c>
      <c r="AE213" s="1503">
        <v>99663.121066666674</v>
      </c>
      <c r="AF213" s="1503">
        <v>6140.3818666666675</v>
      </c>
      <c r="AG213" s="1503">
        <v>102969.48053333334</v>
      </c>
      <c r="AH213" s="1503">
        <v>105331.16586666666</v>
      </c>
      <c r="AI213" s="1491"/>
    </row>
    <row r="214" spans="1:35" customFormat="1" x14ac:dyDescent="0.4">
      <c r="A214" s="1504" t="s">
        <v>1665</v>
      </c>
      <c r="B214" s="1495" t="s">
        <v>458</v>
      </c>
      <c r="C214" s="1505">
        <v>56345.382599464247</v>
      </c>
      <c r="D214" s="1505">
        <v>57249.334635982217</v>
      </c>
      <c r="E214" s="1505">
        <v>52950.456237291546</v>
      </c>
      <c r="F214" s="1505">
        <v>57977.208154054752</v>
      </c>
      <c r="G214" s="1505">
        <v>32824.917796729205</v>
      </c>
      <c r="H214" s="1505">
        <v>376114.28860821365</v>
      </c>
      <c r="I214" s="1505">
        <v>320435.38580909808</v>
      </c>
      <c r="J214" s="1505">
        <v>7419.7728524547629</v>
      </c>
      <c r="K214" s="1505">
        <v>4902.2681604343416</v>
      </c>
      <c r="L214" s="1505">
        <v>89143.394981420628</v>
      </c>
      <c r="M214" s="1505">
        <v>64937.094162241752</v>
      </c>
      <c r="N214" s="1505">
        <v>62512.865189565717</v>
      </c>
      <c r="O214" s="1505">
        <v>1762.5692108274973</v>
      </c>
      <c r="P214" s="1505">
        <v>375.61482770576998</v>
      </c>
      <c r="Q214" s="1505">
        <v>100323.51055020108</v>
      </c>
      <c r="R214" s="1505">
        <v>50862.893005429905</v>
      </c>
      <c r="S214" s="1505">
        <v>35074.420765779687</v>
      </c>
      <c r="T214" s="1505">
        <v>41842.028508134608</v>
      </c>
      <c r="U214" s="1505">
        <v>62026.014730552604</v>
      </c>
      <c r="V214" s="1505">
        <v>41087.710347979257</v>
      </c>
      <c r="W214" s="1505">
        <v>37146.52543447628</v>
      </c>
      <c r="X214" s="1505">
        <v>27840.441261275646</v>
      </c>
      <c r="Y214" s="1505">
        <v>36576.89867872867</v>
      </c>
      <c r="Z214" s="1505">
        <v>21601.648514516797</v>
      </c>
      <c r="AA214" s="1505">
        <v>28879.737678035679</v>
      </c>
      <c r="AB214" s="1505">
        <v>46374.154277759866</v>
      </c>
      <c r="AC214" s="1505">
        <v>69811.679747088579</v>
      </c>
      <c r="AD214" s="1505">
        <v>25939.785170585939</v>
      </c>
      <c r="AE214" s="1505">
        <v>52419.377570121236</v>
      </c>
      <c r="AF214" s="1505">
        <v>3883.106841122551</v>
      </c>
      <c r="AG214" s="1505">
        <v>41459.761324997264</v>
      </c>
      <c r="AH214" s="1505">
        <v>41387.362853247265</v>
      </c>
      <c r="AI214" s="1491"/>
    </row>
    <row r="215" spans="1:35" customFormat="1" x14ac:dyDescent="0.4">
      <c r="A215" s="1506" t="s">
        <v>1666</v>
      </c>
      <c r="B215" s="1498" t="s">
        <v>458</v>
      </c>
      <c r="C215" s="1508">
        <v>412012.44682898198</v>
      </c>
      <c r="D215" s="1508">
        <v>248065.56386172867</v>
      </c>
      <c r="E215" s="1508">
        <v>170031.17824768939</v>
      </c>
      <c r="F215" s="1508">
        <v>169398.52106294883</v>
      </c>
      <c r="G215" s="1508">
        <v>170805.45370851195</v>
      </c>
      <c r="H215" s="1508">
        <v>154565.47997429449</v>
      </c>
      <c r="I215" s="1508">
        <v>158224.7284433039</v>
      </c>
      <c r="J215" s="1508">
        <v>160121.74985328966</v>
      </c>
      <c r="K215" s="1508">
        <v>180489.03597538293</v>
      </c>
      <c r="L215" s="1508">
        <v>187550.45374999996</v>
      </c>
      <c r="M215" s="1508">
        <v>99322.987500000003</v>
      </c>
      <c r="N215" s="1508">
        <v>139018.51333333331</v>
      </c>
      <c r="O215" s="1508">
        <v>143060.66958333331</v>
      </c>
      <c r="P215" s="1508">
        <v>142361.99083333334</v>
      </c>
      <c r="Q215" s="1508">
        <v>176843.20499999999</v>
      </c>
      <c r="R215" s="1508">
        <v>169506.63124999998</v>
      </c>
      <c r="S215" s="1508">
        <v>159515.07</v>
      </c>
      <c r="T215" s="1508">
        <v>144250.21875000003</v>
      </c>
      <c r="U215" s="1508">
        <v>140234.49000000002</v>
      </c>
      <c r="V215" s="1508">
        <v>142957.6225</v>
      </c>
      <c r="W215" s="1508">
        <v>136524.02499999997</v>
      </c>
      <c r="X215" s="1508">
        <v>138192.86250000002</v>
      </c>
      <c r="Y215" s="1508">
        <v>140723.91666666669</v>
      </c>
      <c r="Z215" s="1508">
        <v>137735.48250000001</v>
      </c>
      <c r="AA215" s="1508">
        <v>204992.48313877726</v>
      </c>
      <c r="AB215" s="1508">
        <v>232334.66747620518</v>
      </c>
      <c r="AC215" s="1508">
        <v>232545.06251080526</v>
      </c>
      <c r="AD215" s="1508">
        <v>205346.15793208181</v>
      </c>
      <c r="AE215" s="1508">
        <v>209887.31889770593</v>
      </c>
      <c r="AF215" s="1508">
        <v>227682.26372571226</v>
      </c>
      <c r="AG215" s="1508">
        <v>281418.90208283672</v>
      </c>
      <c r="AH215" s="1508">
        <v>219463.86245785191</v>
      </c>
      <c r="AI215" s="1491"/>
    </row>
    <row r="216" spans="1:35" customFormat="1" x14ac:dyDescent="0.4">
      <c r="A216" s="108" t="s">
        <v>1667</v>
      </c>
      <c r="B216" s="1495" t="s">
        <v>458</v>
      </c>
      <c r="C216" s="207">
        <v>676186.13876177953</v>
      </c>
      <c r="D216" s="207">
        <v>508419.83716437756</v>
      </c>
      <c r="E216" s="207">
        <v>385937.9224849809</v>
      </c>
      <c r="F216" s="207">
        <v>399306.42148367024</v>
      </c>
      <c r="G216" s="207">
        <v>297625.44777190784</v>
      </c>
      <c r="H216" s="207">
        <v>1476298.5760491746</v>
      </c>
      <c r="I216" s="207">
        <v>1130485.266252402</v>
      </c>
      <c r="J216" s="207">
        <v>181711.63470574442</v>
      </c>
      <c r="K216" s="207">
        <v>195310.38253581728</v>
      </c>
      <c r="L216" s="207">
        <v>531283.52766475396</v>
      </c>
      <c r="M216" s="207">
        <v>299820.81979557511</v>
      </c>
      <c r="N216" s="207">
        <v>349845.21745623235</v>
      </c>
      <c r="O216" s="207">
        <v>148129.59826082748</v>
      </c>
      <c r="P216" s="207">
        <v>143682.27979437244</v>
      </c>
      <c r="Q216" s="207">
        <v>582296.46061686776</v>
      </c>
      <c r="R216" s="207">
        <v>397023.58718876319</v>
      </c>
      <c r="S216" s="207">
        <v>327316.206499113</v>
      </c>
      <c r="T216" s="207">
        <v>329210.3784581346</v>
      </c>
      <c r="U216" s="207">
        <v>390250.65726388595</v>
      </c>
      <c r="V216" s="207">
        <v>318189.05978131259</v>
      </c>
      <c r="W216" s="207">
        <v>272861.33443447622</v>
      </c>
      <c r="X216" s="207">
        <v>243496.58269460901</v>
      </c>
      <c r="Y216" s="207">
        <v>270351.21747872868</v>
      </c>
      <c r="Z216" s="207">
        <v>203736.81528118346</v>
      </c>
      <c r="AA216" s="207">
        <v>274493.20855014626</v>
      </c>
      <c r="AB216" s="207">
        <v>373176.23508729838</v>
      </c>
      <c r="AC216" s="207">
        <v>458227.97425789386</v>
      </c>
      <c r="AD216" s="207">
        <v>283243.02043600107</v>
      </c>
      <c r="AE216" s="207">
        <v>361969.81753449386</v>
      </c>
      <c r="AF216" s="207">
        <v>237705.75243350148</v>
      </c>
      <c r="AG216" s="207">
        <v>425848.14394116733</v>
      </c>
      <c r="AH216" s="207">
        <v>366182.39117776579</v>
      </c>
      <c r="AI216" s="1491"/>
    </row>
    <row r="217" spans="1:35" customFormat="1" x14ac:dyDescent="0.4">
      <c r="A217" s="1509" t="s">
        <v>1111</v>
      </c>
      <c r="B217" s="1510"/>
      <c r="C217" s="1511"/>
      <c r="D217" s="1511"/>
      <c r="E217" s="1511"/>
      <c r="F217" s="1511"/>
      <c r="G217" s="1511"/>
      <c r="H217" s="1511"/>
      <c r="I217" s="1511"/>
      <c r="J217" s="1511"/>
      <c r="K217" s="1511"/>
      <c r="L217" s="1511"/>
      <c r="M217" s="1511"/>
      <c r="N217" s="1511"/>
      <c r="O217" s="1511"/>
      <c r="P217" s="1511"/>
      <c r="Q217" s="1511"/>
      <c r="R217" s="1511"/>
      <c r="S217" s="1511"/>
      <c r="T217" s="1511"/>
      <c r="U217" s="1511"/>
      <c r="V217" s="1511"/>
      <c r="W217" s="1511"/>
      <c r="X217" s="1511"/>
      <c r="Y217" s="1511"/>
      <c r="Z217" s="1511"/>
      <c r="AA217" s="1511"/>
      <c r="AB217" s="1511"/>
      <c r="AC217" s="1511"/>
      <c r="AD217" s="1511"/>
      <c r="AE217" s="1511"/>
      <c r="AF217" s="1511"/>
      <c r="AG217" s="1511"/>
      <c r="AH217" s="1511"/>
      <c r="AI217" s="1491"/>
    </row>
    <row r="218" spans="1:35" customFormat="1" x14ac:dyDescent="0.4">
      <c r="A218" s="108"/>
      <c r="B218" s="207"/>
      <c r="C218" s="207"/>
      <c r="D218" s="207"/>
      <c r="E218" s="207"/>
      <c r="F218" s="207"/>
      <c r="G218" s="207"/>
      <c r="H218" s="207"/>
      <c r="I218" s="207"/>
      <c r="J218" s="207"/>
      <c r="K218" s="207"/>
      <c r="L218" s="207"/>
      <c r="M218" s="207"/>
      <c r="N218" s="207"/>
      <c r="O218" s="207"/>
      <c r="P218" s="207"/>
      <c r="Q218" s="207"/>
      <c r="R218" s="207"/>
      <c r="S218" s="207"/>
      <c r="T218" s="207"/>
      <c r="U218" s="207"/>
      <c r="V218" s="207"/>
      <c r="W218" s="207"/>
      <c r="X218" s="207"/>
      <c r="Y218" s="207"/>
      <c r="Z218" s="207"/>
      <c r="AA218" s="207"/>
      <c r="AB218" s="207"/>
      <c r="AC218" s="207"/>
      <c r="AD218" s="207"/>
      <c r="AE218" s="207"/>
      <c r="AF218" s="207"/>
      <c r="AG218" s="207"/>
      <c r="AH218" s="207"/>
      <c r="AI218" s="1491"/>
    </row>
    <row r="219" spans="1:35" customFormat="1" ht="17" x14ac:dyDescent="0.45">
      <c r="A219" s="1492" t="s">
        <v>1688</v>
      </c>
      <c r="B219" s="207"/>
      <c r="C219" s="207"/>
      <c r="D219" s="207"/>
      <c r="E219" s="207"/>
      <c r="F219" s="207"/>
      <c r="G219" s="207"/>
      <c r="H219" s="207"/>
      <c r="I219" s="207"/>
      <c r="J219" s="207"/>
      <c r="K219" s="207"/>
      <c r="L219" s="207"/>
      <c r="M219" s="207"/>
      <c r="N219" s="207"/>
      <c r="O219" s="207"/>
      <c r="P219" s="207"/>
      <c r="Q219" s="207"/>
      <c r="R219" s="207"/>
      <c r="S219" s="207"/>
      <c r="T219" s="207"/>
      <c r="U219" s="207"/>
      <c r="V219" s="207"/>
      <c r="W219" s="207"/>
      <c r="X219" s="207"/>
      <c r="Y219" s="207"/>
      <c r="Z219" s="207"/>
      <c r="AA219" s="207"/>
      <c r="AB219" s="207"/>
      <c r="AC219" s="207"/>
      <c r="AD219" s="207"/>
      <c r="AE219" s="207"/>
      <c r="AF219" s="207"/>
      <c r="AG219" s="207"/>
      <c r="AH219" s="207"/>
      <c r="AI219" s="1491"/>
    </row>
    <row r="220" spans="1:35" customFormat="1" x14ac:dyDescent="0.4">
      <c r="A220" s="1501" t="s">
        <v>937</v>
      </c>
      <c r="B220" s="1501" t="s">
        <v>1627</v>
      </c>
      <c r="C220" s="1501" t="s">
        <v>1628</v>
      </c>
      <c r="D220" s="1501" t="s">
        <v>1629</v>
      </c>
      <c r="E220" s="1501" t="s">
        <v>1630</v>
      </c>
      <c r="F220" s="1501" t="s">
        <v>1631</v>
      </c>
      <c r="G220" s="1501" t="s">
        <v>1632</v>
      </c>
      <c r="H220" s="1501" t="s">
        <v>1633</v>
      </c>
      <c r="I220" s="1501" t="s">
        <v>1634</v>
      </c>
      <c r="J220" s="1501" t="s">
        <v>1635</v>
      </c>
      <c r="K220" s="1501" t="s">
        <v>1636</v>
      </c>
      <c r="L220" s="1501" t="s">
        <v>1637</v>
      </c>
      <c r="M220" s="1501" t="s">
        <v>1638</v>
      </c>
      <c r="N220" s="1501" t="s">
        <v>1639</v>
      </c>
      <c r="O220" s="1501" t="s">
        <v>1640</v>
      </c>
      <c r="P220" s="1501" t="s">
        <v>1641</v>
      </c>
      <c r="Q220" s="1501" t="s">
        <v>1642</v>
      </c>
      <c r="R220" s="1501" t="s">
        <v>1643</v>
      </c>
      <c r="S220" s="1501" t="s">
        <v>1644</v>
      </c>
      <c r="T220" s="1501" t="s">
        <v>1645</v>
      </c>
      <c r="U220" s="1501" t="s">
        <v>1646</v>
      </c>
      <c r="V220" s="1501" t="s">
        <v>1647</v>
      </c>
      <c r="W220" s="1501" t="s">
        <v>1648</v>
      </c>
      <c r="X220" s="1501" t="s">
        <v>1649</v>
      </c>
      <c r="Y220" s="1501" t="s">
        <v>1650</v>
      </c>
      <c r="Z220" s="1501" t="s">
        <v>1651</v>
      </c>
      <c r="AA220" s="1501" t="s">
        <v>1652</v>
      </c>
      <c r="AB220" s="1501" t="s">
        <v>1653</v>
      </c>
      <c r="AC220" s="1501" t="s">
        <v>1654</v>
      </c>
      <c r="AD220" s="1501" t="s">
        <v>1655</v>
      </c>
      <c r="AE220" s="1501" t="s">
        <v>1656</v>
      </c>
      <c r="AF220" s="1501" t="s">
        <v>1657</v>
      </c>
      <c r="AG220" s="1501" t="s">
        <v>1658</v>
      </c>
      <c r="AH220" s="1501" t="s">
        <v>1659</v>
      </c>
      <c r="AI220" s="1491"/>
    </row>
    <row r="221" spans="1:35" customFormat="1" x14ac:dyDescent="0.4">
      <c r="A221" s="1504" t="s">
        <v>1664</v>
      </c>
      <c r="B221" s="1495" t="s">
        <v>458</v>
      </c>
      <c r="C221" s="1503" t="s">
        <v>32</v>
      </c>
      <c r="D221" s="1503" t="s">
        <v>32</v>
      </c>
      <c r="E221" s="1503" t="s">
        <v>32</v>
      </c>
      <c r="F221" s="1503" t="s">
        <v>32</v>
      </c>
      <c r="G221" s="1503" t="s">
        <v>32</v>
      </c>
      <c r="H221" s="1503" t="s">
        <v>32</v>
      </c>
      <c r="I221" s="1503" t="s">
        <v>32</v>
      </c>
      <c r="J221" s="1503" t="s">
        <v>32</v>
      </c>
      <c r="K221" s="1503" t="s">
        <v>32</v>
      </c>
      <c r="L221" s="1503" t="s">
        <v>32</v>
      </c>
      <c r="M221" s="1503" t="s">
        <v>32</v>
      </c>
      <c r="N221" s="1503" t="s">
        <v>32</v>
      </c>
      <c r="O221" s="1503" t="s">
        <v>32</v>
      </c>
      <c r="P221" s="1503" t="s">
        <v>32</v>
      </c>
      <c r="Q221" s="1503" t="s">
        <v>32</v>
      </c>
      <c r="R221" s="1503" t="s">
        <v>32</v>
      </c>
      <c r="S221" s="1503" t="s">
        <v>32</v>
      </c>
      <c r="T221" s="1503" t="s">
        <v>32</v>
      </c>
      <c r="U221" s="1503" t="s">
        <v>32</v>
      </c>
      <c r="V221" s="1503" t="s">
        <v>32</v>
      </c>
      <c r="W221" s="1503" t="s">
        <v>32</v>
      </c>
      <c r="X221" s="1503" t="s">
        <v>32</v>
      </c>
      <c r="Y221" s="1503" t="s">
        <v>32</v>
      </c>
      <c r="Z221" s="1503" t="s">
        <v>32</v>
      </c>
      <c r="AA221" s="1503" t="s">
        <v>32</v>
      </c>
      <c r="AB221" s="1503" t="s">
        <v>32</v>
      </c>
      <c r="AC221" s="1503" t="s">
        <v>32</v>
      </c>
      <c r="AD221" s="1503" t="s">
        <v>32</v>
      </c>
      <c r="AE221" s="1503" t="s">
        <v>32</v>
      </c>
      <c r="AF221" s="1503" t="s">
        <v>32</v>
      </c>
      <c r="AG221" s="1503" t="s">
        <v>32</v>
      </c>
      <c r="AH221" s="1503" t="s">
        <v>32</v>
      </c>
      <c r="AI221" s="1491"/>
    </row>
    <row r="222" spans="1:35" customFormat="1" x14ac:dyDescent="0.4">
      <c r="A222" s="1504" t="s">
        <v>1665</v>
      </c>
      <c r="B222" s="1495" t="s">
        <v>458</v>
      </c>
      <c r="C222" s="1505">
        <v>160886.38919047624</v>
      </c>
      <c r="D222" s="1505">
        <v>109923.20236507939</v>
      </c>
      <c r="E222" s="1505">
        <v>80642.349333333346</v>
      </c>
      <c r="F222" s="1505">
        <v>158486.31926984127</v>
      </c>
      <c r="G222" s="1505">
        <v>142799.05374603174</v>
      </c>
      <c r="H222" s="1505">
        <v>123904.88628571428</v>
      </c>
      <c r="I222" s="1505">
        <v>99087.141999999993</v>
      </c>
      <c r="J222" s="1505">
        <v>127418.18012698412</v>
      </c>
      <c r="K222" s="1505">
        <v>116684.2503968254</v>
      </c>
      <c r="L222" s="1505">
        <v>184043.82961904767</v>
      </c>
      <c r="M222" s="1505">
        <v>212494.66996825396</v>
      </c>
      <c r="N222" s="1505">
        <v>122288.55885714285</v>
      </c>
      <c r="O222" s="1505">
        <v>184461.53733333337</v>
      </c>
      <c r="P222" s="1505">
        <v>448855.91230158735</v>
      </c>
      <c r="Q222" s="1505">
        <v>623078.56233333342</v>
      </c>
      <c r="R222" s="1505">
        <v>681004.82039682532</v>
      </c>
      <c r="S222" s="1505">
        <v>633619.44642857159</v>
      </c>
      <c r="T222" s="1505">
        <v>351912.82500000007</v>
      </c>
      <c r="U222" s="1505">
        <v>268839.19944444444</v>
      </c>
      <c r="V222" s="1505">
        <v>332133.6452063492</v>
      </c>
      <c r="W222" s="1505">
        <v>340159.96876190475</v>
      </c>
      <c r="X222" s="1505">
        <v>115202.26247619047</v>
      </c>
      <c r="Y222" s="1505">
        <v>154215.05611111113</v>
      </c>
      <c r="Z222" s="1505">
        <v>207542.42788888889</v>
      </c>
      <c r="AA222" s="1505">
        <v>273028.59402992961</v>
      </c>
      <c r="AB222" s="1505">
        <v>340513.41559114994</v>
      </c>
      <c r="AC222" s="1505">
        <v>126747.92532798729</v>
      </c>
      <c r="AD222" s="1505">
        <v>234519.81854299919</v>
      </c>
      <c r="AE222" s="1505">
        <v>200443.58923322358</v>
      </c>
      <c r="AF222" s="1505">
        <v>516774.51469214814</v>
      </c>
      <c r="AG222" s="1505">
        <v>516774.51469214814</v>
      </c>
      <c r="AH222" s="1505">
        <v>516774.51469214814</v>
      </c>
      <c r="AI222" s="1491"/>
    </row>
    <row r="223" spans="1:35" customFormat="1" x14ac:dyDescent="0.4">
      <c r="A223" s="1506" t="s">
        <v>60</v>
      </c>
      <c r="B223" s="1498" t="s">
        <v>458</v>
      </c>
      <c r="C223" s="1508" t="s">
        <v>32</v>
      </c>
      <c r="D223" s="1508" t="s">
        <v>32</v>
      </c>
      <c r="E223" s="1508" t="s">
        <v>32</v>
      </c>
      <c r="F223" s="1508" t="s">
        <v>32</v>
      </c>
      <c r="G223" s="1508" t="s">
        <v>32</v>
      </c>
      <c r="H223" s="1508" t="s">
        <v>32</v>
      </c>
      <c r="I223" s="1508" t="s">
        <v>32</v>
      </c>
      <c r="J223" s="1508" t="s">
        <v>32</v>
      </c>
      <c r="K223" s="1508" t="s">
        <v>32</v>
      </c>
      <c r="L223" s="1508" t="s">
        <v>32</v>
      </c>
      <c r="M223" s="1508" t="s">
        <v>32</v>
      </c>
      <c r="N223" s="1508" t="s">
        <v>32</v>
      </c>
      <c r="O223" s="1508" t="s">
        <v>32</v>
      </c>
      <c r="P223" s="1508" t="s">
        <v>32</v>
      </c>
      <c r="Q223" s="1508" t="s">
        <v>32</v>
      </c>
      <c r="R223" s="1508" t="s">
        <v>32</v>
      </c>
      <c r="S223" s="1508" t="s">
        <v>32</v>
      </c>
      <c r="T223" s="1508" t="s">
        <v>32</v>
      </c>
      <c r="U223" s="1508" t="s">
        <v>32</v>
      </c>
      <c r="V223" s="1508" t="s">
        <v>32</v>
      </c>
      <c r="W223" s="1508" t="s">
        <v>32</v>
      </c>
      <c r="X223" s="1508" t="s">
        <v>32</v>
      </c>
      <c r="Y223" s="1508" t="s">
        <v>32</v>
      </c>
      <c r="Z223" s="1508" t="s">
        <v>32</v>
      </c>
      <c r="AA223" s="1508" t="s">
        <v>32</v>
      </c>
      <c r="AB223" s="1508" t="s">
        <v>32</v>
      </c>
      <c r="AC223" s="1508" t="s">
        <v>32</v>
      </c>
      <c r="AD223" s="1508" t="s">
        <v>32</v>
      </c>
      <c r="AE223" s="1508" t="s">
        <v>32</v>
      </c>
      <c r="AF223" s="1508" t="s">
        <v>32</v>
      </c>
      <c r="AG223" s="1508" t="s">
        <v>32</v>
      </c>
      <c r="AH223" s="1508" t="s">
        <v>32</v>
      </c>
      <c r="AI223" s="1491"/>
    </row>
    <row r="224" spans="1:35" customFormat="1" x14ac:dyDescent="0.4">
      <c r="A224" s="108" t="s">
        <v>1669</v>
      </c>
      <c r="B224" s="1495" t="s">
        <v>458</v>
      </c>
      <c r="C224" s="207">
        <v>160886.38919047624</v>
      </c>
      <c r="D224" s="207">
        <v>109923.20236507939</v>
      </c>
      <c r="E224" s="207">
        <v>80642.349333333346</v>
      </c>
      <c r="F224" s="207">
        <v>158486.31926984127</v>
      </c>
      <c r="G224" s="207">
        <v>142799.05374603174</v>
      </c>
      <c r="H224" s="207">
        <v>123904.88628571428</v>
      </c>
      <c r="I224" s="207">
        <v>99087.141999999993</v>
      </c>
      <c r="J224" s="207">
        <v>127418.18012698412</v>
      </c>
      <c r="K224" s="207">
        <v>116684.2503968254</v>
      </c>
      <c r="L224" s="207">
        <v>184043.82961904767</v>
      </c>
      <c r="M224" s="207">
        <v>212494.66996825396</v>
      </c>
      <c r="N224" s="207">
        <v>122288.55885714285</v>
      </c>
      <c r="O224" s="207">
        <v>184461.53733333337</v>
      </c>
      <c r="P224" s="207">
        <v>448855.91230158735</v>
      </c>
      <c r="Q224" s="207">
        <v>623078.56233333342</v>
      </c>
      <c r="R224" s="207">
        <v>681004.82039682532</v>
      </c>
      <c r="S224" s="207">
        <v>633619.44642857159</v>
      </c>
      <c r="T224" s="207">
        <v>351912.82500000007</v>
      </c>
      <c r="U224" s="207">
        <v>268839.19944444444</v>
      </c>
      <c r="V224" s="207">
        <v>332133.6452063492</v>
      </c>
      <c r="W224" s="207">
        <v>340159.96876190475</v>
      </c>
      <c r="X224" s="207">
        <v>115202.26247619047</v>
      </c>
      <c r="Y224" s="207">
        <v>154215.05611111113</v>
      </c>
      <c r="Z224" s="207">
        <v>207542.42788888889</v>
      </c>
      <c r="AA224" s="207">
        <v>273028.59402992961</v>
      </c>
      <c r="AB224" s="207">
        <v>340513.41559114994</v>
      </c>
      <c r="AC224" s="207">
        <v>126747.92532798729</v>
      </c>
      <c r="AD224" s="207">
        <v>234519.81854299919</v>
      </c>
      <c r="AE224" s="207">
        <v>200443.58923322358</v>
      </c>
      <c r="AF224" s="207">
        <v>516774.51469214814</v>
      </c>
      <c r="AG224" s="207">
        <v>516774.51469214814</v>
      </c>
      <c r="AH224" s="207">
        <v>516774.51469214814</v>
      </c>
      <c r="AI224" s="1491"/>
    </row>
    <row r="225" spans="1:37" customFormat="1" x14ac:dyDescent="0.4">
      <c r="A225" s="1509" t="s">
        <v>1111</v>
      </c>
      <c r="B225" s="1510"/>
      <c r="C225" s="1511"/>
      <c r="D225" s="1511"/>
      <c r="E225" s="1511"/>
      <c r="F225" s="1511"/>
      <c r="G225" s="1511"/>
      <c r="H225" s="1511"/>
      <c r="I225" s="1511"/>
      <c r="J225" s="1511"/>
      <c r="K225" s="1511"/>
      <c r="L225" s="1511"/>
      <c r="M225" s="1511"/>
      <c r="N225" s="1511"/>
      <c r="O225" s="1511"/>
      <c r="P225" s="1511"/>
      <c r="Q225" s="1511"/>
      <c r="R225" s="1511"/>
      <c r="S225" s="1511"/>
      <c r="T225" s="1511"/>
      <c r="U225" s="1511"/>
      <c r="V225" s="1511"/>
      <c r="W225" s="1511"/>
      <c r="X225" s="1511"/>
      <c r="Y225" s="1511"/>
      <c r="Z225" s="1511"/>
      <c r="AA225" s="1511"/>
      <c r="AB225" s="1511"/>
      <c r="AC225" s="1511"/>
      <c r="AD225" s="1511"/>
      <c r="AE225" s="1511"/>
      <c r="AF225" s="1511"/>
      <c r="AG225" s="1511"/>
      <c r="AH225" s="1511"/>
      <c r="AI225" s="1491"/>
    </row>
    <row r="226" spans="1:37" customFormat="1" x14ac:dyDescent="0.4">
      <c r="A226" s="108"/>
      <c r="B226" s="207"/>
      <c r="C226" s="207"/>
      <c r="D226" s="207"/>
      <c r="E226" s="207"/>
      <c r="F226" s="207"/>
      <c r="G226" s="207"/>
      <c r="H226" s="207"/>
      <c r="I226" s="207"/>
      <c r="J226" s="207"/>
      <c r="K226" s="207"/>
      <c r="L226" s="207"/>
      <c r="M226" s="207"/>
      <c r="N226" s="207"/>
      <c r="O226" s="207"/>
      <c r="P226" s="207"/>
      <c r="Q226" s="207"/>
      <c r="R226" s="207"/>
      <c r="S226" s="207"/>
      <c r="T226" s="207"/>
      <c r="U226" s="207"/>
      <c r="V226" s="207"/>
      <c r="W226" s="207"/>
      <c r="X226" s="207"/>
      <c r="Y226" s="207"/>
      <c r="Z226" s="207"/>
      <c r="AA226" s="207"/>
      <c r="AB226" s="207"/>
      <c r="AC226" s="207"/>
      <c r="AD226" s="207"/>
      <c r="AE226" s="207"/>
      <c r="AF226" s="207"/>
      <c r="AG226" s="207"/>
      <c r="AH226" s="207"/>
      <c r="AI226" s="1491"/>
    </row>
    <row r="227" spans="1:37" customFormat="1" x14ac:dyDescent="0.4">
      <c r="A227" s="1492" t="s">
        <v>1689</v>
      </c>
      <c r="B227" s="1491"/>
      <c r="C227" s="1491"/>
      <c r="D227" s="1491"/>
      <c r="E227" s="1491"/>
      <c r="F227" s="1491"/>
      <c r="G227" s="1491"/>
      <c r="H227" s="1491"/>
      <c r="I227" s="1491"/>
      <c r="J227" s="1491"/>
      <c r="K227" s="1491"/>
      <c r="L227" s="1491"/>
      <c r="M227" s="1491"/>
      <c r="N227" s="1491"/>
      <c r="O227" s="1491"/>
      <c r="P227" s="1491"/>
      <c r="Q227" s="1491"/>
      <c r="R227" s="1491"/>
      <c r="S227" s="1491"/>
      <c r="T227" s="1491"/>
      <c r="U227" s="1491"/>
      <c r="V227" s="1491"/>
      <c r="W227" s="1491"/>
      <c r="X227" s="1491"/>
      <c r="Y227" s="1491"/>
      <c r="Z227" s="1491"/>
      <c r="AA227" s="1491"/>
      <c r="AB227" s="1491"/>
      <c r="AC227" s="1491"/>
      <c r="AD227" s="1491"/>
      <c r="AE227" s="1491"/>
      <c r="AF227" s="1491"/>
      <c r="AG227" s="1491"/>
      <c r="AH227" s="1491"/>
      <c r="AI227" s="1491"/>
    </row>
    <row r="228" spans="1:37" customFormat="1" x14ac:dyDescent="0.4">
      <c r="A228" s="1501" t="s">
        <v>95</v>
      </c>
      <c r="B228" s="1501" t="s">
        <v>1627</v>
      </c>
      <c r="C228" s="1501" t="s">
        <v>1628</v>
      </c>
      <c r="D228" s="1501" t="s">
        <v>1629</v>
      </c>
      <c r="E228" s="1501" t="s">
        <v>1630</v>
      </c>
      <c r="F228" s="1501" t="s">
        <v>1631</v>
      </c>
      <c r="G228" s="1501" t="s">
        <v>1632</v>
      </c>
      <c r="H228" s="1501" t="s">
        <v>1633</v>
      </c>
      <c r="I228" s="1501" t="s">
        <v>1634</v>
      </c>
      <c r="J228" s="1501" t="s">
        <v>1635</v>
      </c>
      <c r="K228" s="1501" t="s">
        <v>1636</v>
      </c>
      <c r="L228" s="1501" t="s">
        <v>1637</v>
      </c>
      <c r="M228" s="1501" t="s">
        <v>1638</v>
      </c>
      <c r="N228" s="1501" t="s">
        <v>1639</v>
      </c>
      <c r="O228" s="1501" t="s">
        <v>1640</v>
      </c>
      <c r="P228" s="1501" t="s">
        <v>1641</v>
      </c>
      <c r="Q228" s="1501" t="s">
        <v>1642</v>
      </c>
      <c r="R228" s="1501" t="s">
        <v>1643</v>
      </c>
      <c r="S228" s="1501" t="s">
        <v>1644</v>
      </c>
      <c r="T228" s="1501" t="s">
        <v>1645</v>
      </c>
      <c r="U228" s="1501" t="s">
        <v>1646</v>
      </c>
      <c r="V228" s="1501" t="s">
        <v>1647</v>
      </c>
      <c r="W228" s="1501" t="s">
        <v>1648</v>
      </c>
      <c r="X228" s="1501" t="s">
        <v>1649</v>
      </c>
      <c r="Y228" s="1501" t="s">
        <v>1650</v>
      </c>
      <c r="Z228" s="1501" t="s">
        <v>1651</v>
      </c>
      <c r="AA228" s="1501" t="s">
        <v>1652</v>
      </c>
      <c r="AB228" s="1501" t="s">
        <v>1653</v>
      </c>
      <c r="AC228" s="1501" t="s">
        <v>1654</v>
      </c>
      <c r="AD228" s="1501" t="s">
        <v>1655</v>
      </c>
      <c r="AE228" s="1501" t="s">
        <v>1656</v>
      </c>
      <c r="AF228" s="1501" t="s">
        <v>1657</v>
      </c>
      <c r="AG228" s="1501" t="s">
        <v>1658</v>
      </c>
      <c r="AH228" s="1501" t="s">
        <v>1659</v>
      </c>
      <c r="AI228" s="1491"/>
    </row>
    <row r="229" spans="1:37" s="1389" customFormat="1" x14ac:dyDescent="0.4">
      <c r="A229" s="1389" t="s">
        <v>1671</v>
      </c>
      <c r="B229" s="1495" t="s">
        <v>458</v>
      </c>
      <c r="C229" s="1512">
        <v>14228.524296900878</v>
      </c>
      <c r="D229" s="1512">
        <v>14803.350715557475</v>
      </c>
      <c r="E229" s="1512">
        <v>23476.847342415713</v>
      </c>
      <c r="F229" s="1512">
        <v>25799.837624036896</v>
      </c>
      <c r="G229" s="1512">
        <v>26775.964018922143</v>
      </c>
      <c r="H229" s="1512">
        <v>27792.335213467904</v>
      </c>
      <c r="I229" s="1512">
        <v>28564.903879089397</v>
      </c>
      <c r="J229" s="1512">
        <v>9018.4432535585274</v>
      </c>
      <c r="K229" s="1512">
        <v>13425.316644849641</v>
      </c>
      <c r="L229" s="1512">
        <v>11029.754999999997</v>
      </c>
      <c r="M229" s="1512">
        <v>18242.455000000002</v>
      </c>
      <c r="N229" s="1512">
        <v>19459.219999999998</v>
      </c>
      <c r="O229" s="1512">
        <v>20887.918333333328</v>
      </c>
      <c r="P229" s="1512">
        <v>27116.993750000001</v>
      </c>
      <c r="Q229" s="1512">
        <v>28663.635000000002</v>
      </c>
      <c r="R229" s="1512">
        <v>37006.791249999995</v>
      </c>
      <c r="S229" s="1512">
        <v>34308.656249999993</v>
      </c>
      <c r="T229" s="1512">
        <v>14544.75</v>
      </c>
      <c r="U229" s="1512">
        <v>15556.86</v>
      </c>
      <c r="V229" s="1512">
        <v>80445.878333333327</v>
      </c>
      <c r="W229" s="1512">
        <v>81985.474999999991</v>
      </c>
      <c r="X229" s="1512">
        <v>89388.13125000002</v>
      </c>
      <c r="Y229" s="1512">
        <v>61653.423333333332</v>
      </c>
      <c r="Z229" s="1512">
        <v>60300.652500000011</v>
      </c>
      <c r="AA229" s="1512">
        <v>2276.6157569542652</v>
      </c>
      <c r="AB229" s="1512">
        <v>2030.5887490320411</v>
      </c>
      <c r="AC229" s="1512">
        <v>2032.4786255414158</v>
      </c>
      <c r="AD229" s="1512">
        <v>1934.8475569122779</v>
      </c>
      <c r="AE229" s="1512">
        <v>1564.1912841735621</v>
      </c>
      <c r="AF229" s="1512">
        <v>1631.1722894765635</v>
      </c>
      <c r="AG229" s="1512">
        <v>1783.7244102560601</v>
      </c>
      <c r="AH229" s="1512">
        <v>2049.0006072768178</v>
      </c>
      <c r="AI229" s="1491"/>
      <c r="AJ229"/>
      <c r="AK229"/>
    </row>
    <row r="230" spans="1:37" s="1389" customFormat="1" x14ac:dyDescent="0.4">
      <c r="A230" s="1389" t="s">
        <v>1672</v>
      </c>
      <c r="B230" s="1495" t="s">
        <v>458</v>
      </c>
      <c r="C230" s="1512">
        <v>45046.599151616057</v>
      </c>
      <c r="D230" s="1512">
        <v>45491.04516814644</v>
      </c>
      <c r="E230" s="1512">
        <v>0</v>
      </c>
      <c r="F230" s="1512">
        <v>59533.990637096489</v>
      </c>
      <c r="G230" s="1512">
        <v>64198.434606004186</v>
      </c>
      <c r="H230" s="1512">
        <v>63045.045120369097</v>
      </c>
      <c r="I230" s="1512">
        <v>66888.004735507493</v>
      </c>
      <c r="J230" s="1512">
        <v>57741.115516139987</v>
      </c>
      <c r="K230" s="1512">
        <v>39833.162446262322</v>
      </c>
      <c r="L230" s="1512">
        <v>40031.94249999999</v>
      </c>
      <c r="M230" s="1512">
        <v>152445.93833333332</v>
      </c>
      <c r="N230" s="1512">
        <v>143375.32</v>
      </c>
      <c r="O230" s="1512">
        <v>140858.62999999998</v>
      </c>
      <c r="P230" s="1512">
        <v>129190.87958333334</v>
      </c>
      <c r="Q230" s="1512">
        <v>116398.97499999999</v>
      </c>
      <c r="R230" s="1512">
        <v>115517.94374999999</v>
      </c>
      <c r="S230" s="1512">
        <v>93176.031666666677</v>
      </c>
      <c r="T230" s="1512">
        <v>85947.056250000009</v>
      </c>
      <c r="U230" s="1512">
        <v>82212.570000000022</v>
      </c>
      <c r="V230" s="1512">
        <v>102930.19916666667</v>
      </c>
      <c r="W230" s="1512">
        <v>99306.349999999991</v>
      </c>
      <c r="X230" s="1512">
        <v>100988.45625000002</v>
      </c>
      <c r="Y230" s="1512">
        <v>178783.44</v>
      </c>
      <c r="Z230" s="1512">
        <v>114068.95500000002</v>
      </c>
      <c r="AA230" s="1512">
        <v>30734.312718882575</v>
      </c>
      <c r="AB230" s="1512">
        <v>31156.294327539446</v>
      </c>
      <c r="AC230" s="1512">
        <v>31215.090764179153</v>
      </c>
      <c r="AD230" s="1512">
        <v>31969.09675021196</v>
      </c>
      <c r="AE230" s="1512">
        <v>32893.800065856318</v>
      </c>
      <c r="AF230" s="1512">
        <v>32533.616543080352</v>
      </c>
      <c r="AG230" s="1512">
        <v>30246.339023150595</v>
      </c>
      <c r="AH230" s="1512">
        <v>15394.000252084023</v>
      </c>
      <c r="AI230" s="1491"/>
      <c r="AJ230"/>
      <c r="AK230"/>
    </row>
    <row r="231" spans="1:37" s="1389" customFormat="1" x14ac:dyDescent="0.4">
      <c r="A231" s="1389" t="s">
        <v>1673</v>
      </c>
      <c r="B231" s="1495" t="s">
        <v>458</v>
      </c>
      <c r="C231" s="1512">
        <v>66785.859818139623</v>
      </c>
      <c r="D231" s="1512">
        <v>68200.832445724664</v>
      </c>
      <c r="E231" s="1512">
        <v>42855.269721829063</v>
      </c>
      <c r="F231" s="1512">
        <v>46221.380923971148</v>
      </c>
      <c r="G231" s="1512">
        <v>48574.68621722953</v>
      </c>
      <c r="H231" s="1512">
        <v>49091.217067134174</v>
      </c>
      <c r="I231" s="1512">
        <v>51718.443979841992</v>
      </c>
      <c r="J231" s="1512">
        <v>52131.217744241374</v>
      </c>
      <c r="K231" s="1512">
        <v>59014.716438837735</v>
      </c>
      <c r="L231" s="1512">
        <v>65000.595000000001</v>
      </c>
      <c r="M231" s="1512">
        <v>172771.4725</v>
      </c>
      <c r="N231" s="1512">
        <v>181929.95333333331</v>
      </c>
      <c r="O231" s="1512">
        <v>197087.03666666662</v>
      </c>
      <c r="P231" s="1512">
        <v>208457.99333333332</v>
      </c>
      <c r="Q231" s="1512">
        <v>191082.04500000001</v>
      </c>
      <c r="R231" s="1512">
        <v>189638.61124999996</v>
      </c>
      <c r="S231" s="1512">
        <v>164690.51958333334</v>
      </c>
      <c r="T231" s="1512">
        <v>165552.95625000002</v>
      </c>
      <c r="U231" s="1512">
        <v>158357.43000000002</v>
      </c>
      <c r="V231" s="1512">
        <v>152920.04291666666</v>
      </c>
      <c r="W231" s="1512">
        <v>174816.48249999998</v>
      </c>
      <c r="X231" s="1512">
        <v>110389.33125</v>
      </c>
      <c r="Y231" s="1512">
        <v>113816.26666666668</v>
      </c>
      <c r="Z231" s="1512">
        <v>114316.12500000003</v>
      </c>
      <c r="AA231" s="1512">
        <v>246562.78093339567</v>
      </c>
      <c r="AB231" s="1512">
        <v>251245.62878240793</v>
      </c>
      <c r="AC231" s="1512">
        <v>255625.1242216237</v>
      </c>
      <c r="AD231" s="1512">
        <v>260608.66747327504</v>
      </c>
      <c r="AE231" s="1512">
        <v>265949.06367502757</v>
      </c>
      <c r="AF231" s="1512">
        <v>269739.99605682143</v>
      </c>
      <c r="AG231" s="1512">
        <v>271068.97863583529</v>
      </c>
      <c r="AH231" s="1512">
        <v>340690.51045561745</v>
      </c>
      <c r="AI231" s="1491"/>
      <c r="AJ231"/>
      <c r="AK231"/>
    </row>
    <row r="232" spans="1:37" s="1389" customFormat="1" x14ac:dyDescent="0.4">
      <c r="A232" s="1389" t="s">
        <v>1674</v>
      </c>
      <c r="B232" s="1495" t="s">
        <v>458</v>
      </c>
      <c r="C232" s="1512">
        <v>505860.3074236784</v>
      </c>
      <c r="D232" s="1512">
        <v>523391.93263446447</v>
      </c>
      <c r="E232" s="1512">
        <v>468042.39812514035</v>
      </c>
      <c r="F232" s="1512">
        <v>491033.7641616136</v>
      </c>
      <c r="G232" s="1512">
        <v>480539.56735230994</v>
      </c>
      <c r="H232" s="1512">
        <v>478673.17156293243</v>
      </c>
      <c r="I232" s="1512">
        <v>491627.04935510311</v>
      </c>
      <c r="J232" s="1512">
        <v>456744.87724549539</v>
      </c>
      <c r="K232" s="1512">
        <v>691795.438835304</v>
      </c>
      <c r="L232" s="1512">
        <v>734337.78326154093</v>
      </c>
      <c r="M232" s="1512">
        <v>684082.21920602093</v>
      </c>
      <c r="N232" s="1512">
        <v>683124.47984874237</v>
      </c>
      <c r="O232" s="1512">
        <v>703996.76624819252</v>
      </c>
      <c r="P232" s="1512">
        <v>708176.89201600931</v>
      </c>
      <c r="Q232" s="1512">
        <v>712198.3602983834</v>
      </c>
      <c r="R232" s="1512">
        <v>726299.62861981918</v>
      </c>
      <c r="S232" s="1512">
        <v>830586.78956373036</v>
      </c>
      <c r="T232" s="1512">
        <v>840987.84563046542</v>
      </c>
      <c r="U232" s="1512">
        <v>843034.51577508415</v>
      </c>
      <c r="V232" s="1512">
        <v>842659.41257939197</v>
      </c>
      <c r="W232" s="1512">
        <v>939194.47920587647</v>
      </c>
      <c r="X232" s="1512">
        <v>811787.28856504336</v>
      </c>
      <c r="Y232" s="1512">
        <v>929112.0126188054</v>
      </c>
      <c r="Z232" s="1512">
        <v>945293.91882828239</v>
      </c>
      <c r="AA232" s="1512">
        <v>526142.68817338266</v>
      </c>
      <c r="AB232" s="1512">
        <v>528313.98954762751</v>
      </c>
      <c r="AC232" s="1512">
        <v>534077.30773991114</v>
      </c>
      <c r="AD232" s="1512">
        <v>535963.84344265598</v>
      </c>
      <c r="AE232" s="1512">
        <v>542622.56327532534</v>
      </c>
      <c r="AF232" s="1512">
        <v>499843.33881271689</v>
      </c>
      <c r="AG232" s="1512">
        <v>545641.0516356508</v>
      </c>
      <c r="AH232" s="1512">
        <v>577840.04635081161</v>
      </c>
      <c r="AI232" s="1491"/>
      <c r="AJ232"/>
      <c r="AK232"/>
    </row>
    <row r="233" spans="1:37" s="1389" customFormat="1" x14ac:dyDescent="0.4">
      <c r="A233" s="1389" t="s">
        <v>1675</v>
      </c>
      <c r="B233" s="1495" t="s">
        <v>458</v>
      </c>
      <c r="C233" s="1512">
        <v>56611.173063561793</v>
      </c>
      <c r="D233" s="1512">
        <v>42525.014729060706</v>
      </c>
      <c r="E233" s="1512">
        <v>33241.790297743086</v>
      </c>
      <c r="F233" s="1512">
        <v>24823.579578407705</v>
      </c>
      <c r="G233" s="1512">
        <v>19882.351016038607</v>
      </c>
      <c r="H233" s="1512">
        <v>36796.23570554256</v>
      </c>
      <c r="I233" s="1512">
        <v>31448.00753148197</v>
      </c>
      <c r="J233" s="1512">
        <v>25865.889410304677</v>
      </c>
      <c r="K233" s="1512">
        <v>50973.69565155312</v>
      </c>
      <c r="L233" s="1512">
        <v>27538.692499999994</v>
      </c>
      <c r="M233" s="1512">
        <v>32070.555000000004</v>
      </c>
      <c r="N233" s="1512">
        <v>48643.613333333327</v>
      </c>
      <c r="O233" s="1512">
        <v>46880.973333333328</v>
      </c>
      <c r="P233" s="1512">
        <v>48392.034166666672</v>
      </c>
      <c r="Q233" s="1512">
        <v>31762.884999999998</v>
      </c>
      <c r="R233" s="1512">
        <v>46171.482499999998</v>
      </c>
      <c r="S233" s="1512">
        <v>31160.3325</v>
      </c>
      <c r="T233" s="1512">
        <v>12629.100000000002</v>
      </c>
      <c r="U233" s="1512">
        <v>14826.240000000002</v>
      </c>
      <c r="V233" s="1512">
        <v>9980.1945833333339</v>
      </c>
      <c r="W233" s="1512">
        <v>13412.574999999997</v>
      </c>
      <c r="X233" s="1512">
        <v>17028</v>
      </c>
      <c r="Y233" s="1512">
        <v>10710.04</v>
      </c>
      <c r="Z233" s="1512">
        <v>11881.815000000001</v>
      </c>
      <c r="AA233" s="1512">
        <v>11656.625639289086</v>
      </c>
      <c r="AB233" s="1512">
        <v>9473.1379465712162</v>
      </c>
      <c r="AC233" s="1512">
        <v>13520.061773884028</v>
      </c>
      <c r="AD233" s="1512">
        <v>15304.525405352701</v>
      </c>
      <c r="AE233" s="1512">
        <v>8591.7052528893964</v>
      </c>
      <c r="AF233" s="1512">
        <v>12399.986433692466</v>
      </c>
      <c r="AG233" s="1512">
        <v>12399.986433692466</v>
      </c>
      <c r="AH233" s="1512">
        <v>12399.986433692466</v>
      </c>
      <c r="AI233" s="1491"/>
      <c r="AJ233"/>
      <c r="AK233"/>
    </row>
    <row r="234" spans="1:37" s="1389" customFormat="1" x14ac:dyDescent="0.4">
      <c r="A234" s="1389" t="s">
        <v>1676</v>
      </c>
      <c r="B234" s="1495" t="s">
        <v>458</v>
      </c>
      <c r="C234" s="1512">
        <v>816091.52461488754</v>
      </c>
      <c r="D234" s="1512">
        <v>853277.57818352012</v>
      </c>
      <c r="E234" s="1512">
        <v>0</v>
      </c>
      <c r="F234" s="1512">
        <v>1192033.6532045496</v>
      </c>
      <c r="G234" s="1512">
        <v>1245110.8571155432</v>
      </c>
      <c r="H234" s="1512">
        <v>1226777.3024762613</v>
      </c>
      <c r="I234" s="1512">
        <v>1250267.3371563803</v>
      </c>
      <c r="J234" s="1512">
        <v>1403692.1593170392</v>
      </c>
      <c r="K234" s="1512">
        <v>1302289.1465253816</v>
      </c>
      <c r="L234" s="1512">
        <v>1253061.9816395261</v>
      </c>
      <c r="M234" s="1512">
        <v>1894437.7860669156</v>
      </c>
      <c r="N234" s="1512">
        <v>1749934.4733712333</v>
      </c>
      <c r="O234" s="1512">
        <v>1700460.2486869232</v>
      </c>
      <c r="P234" s="1512">
        <v>1559268.0455736767</v>
      </c>
      <c r="Q234" s="1512">
        <v>1618630.3194770666</v>
      </c>
      <c r="R234" s="1512">
        <v>1618095.8041979617</v>
      </c>
      <c r="S234" s="1512">
        <v>1579780.7404490232</v>
      </c>
      <c r="T234" s="1512">
        <v>1379167.9868512654</v>
      </c>
      <c r="U234" s="1512">
        <v>1306936.2157115401</v>
      </c>
      <c r="V234" s="1512">
        <v>1325730.44448734</v>
      </c>
      <c r="W234" s="1512">
        <v>1340230.7054051394</v>
      </c>
      <c r="X234" s="1512">
        <v>1283298.7074682473</v>
      </c>
      <c r="Y234" s="1512">
        <v>1182174.281677065</v>
      </c>
      <c r="Z234" s="1512">
        <v>1236631.5147739411</v>
      </c>
      <c r="AA234" s="1512">
        <v>504715.5885824298</v>
      </c>
      <c r="AB234" s="1512">
        <v>527786.30571819667</v>
      </c>
      <c r="AC234" s="1512">
        <v>576289.51483151352</v>
      </c>
      <c r="AD234" s="1512">
        <v>602902.92544498306</v>
      </c>
      <c r="AE234" s="1512">
        <v>637580.33755650441</v>
      </c>
      <c r="AF234" s="1512">
        <v>577731.84164581192</v>
      </c>
      <c r="AG234" s="1512">
        <v>731330.88828428823</v>
      </c>
      <c r="AH234" s="1512">
        <v>393565.06613789545</v>
      </c>
      <c r="AI234" s="1491"/>
      <c r="AJ234"/>
      <c r="AK234"/>
    </row>
    <row r="235" spans="1:37" s="1389" customFormat="1" x14ac:dyDescent="0.4">
      <c r="A235" s="1513" t="s">
        <v>1677</v>
      </c>
      <c r="B235" s="1498" t="s">
        <v>458</v>
      </c>
      <c r="C235" s="1514">
        <v>310686.51046038046</v>
      </c>
      <c r="D235" s="1514">
        <v>316445.24641798995</v>
      </c>
      <c r="E235" s="1514">
        <v>280087.51371366665</v>
      </c>
      <c r="F235" s="1514">
        <v>291214.77190716076</v>
      </c>
      <c r="G235" s="1514">
        <v>281468.14885707601</v>
      </c>
      <c r="H235" s="1514">
        <v>276901.72060424316</v>
      </c>
      <c r="I235" s="1514">
        <v>280816.11557410558</v>
      </c>
      <c r="J235" s="1514">
        <v>257502.95618247514</v>
      </c>
      <c r="K235" s="1514">
        <v>386121.41438609705</v>
      </c>
      <c r="L235" s="1514">
        <v>405187.10735555325</v>
      </c>
      <c r="M235" s="1514">
        <v>376992.87093684223</v>
      </c>
      <c r="N235" s="1514">
        <v>385523.50348776422</v>
      </c>
      <c r="O235" s="1514">
        <v>405777.92829731497</v>
      </c>
      <c r="P235" s="1514">
        <v>426812.77218149794</v>
      </c>
      <c r="Q235" s="1514">
        <v>438784.82134553872</v>
      </c>
      <c r="R235" s="1514">
        <v>451499.85672487295</v>
      </c>
      <c r="S235" s="1514">
        <v>513841.9599261437</v>
      </c>
      <c r="T235" s="1514">
        <v>528560.78110661171</v>
      </c>
      <c r="U235" s="1514">
        <v>516726.16701068764</v>
      </c>
      <c r="V235" s="1514">
        <v>509083.86453916546</v>
      </c>
      <c r="W235" s="1514">
        <v>606324.08329576044</v>
      </c>
      <c r="X235" s="1514">
        <v>541396.84499223286</v>
      </c>
      <c r="Y235" s="1514">
        <v>633377.30793398491</v>
      </c>
      <c r="Z235" s="1514">
        <v>654332.63523041527</v>
      </c>
      <c r="AA235" s="1514">
        <v>499570.21538715606</v>
      </c>
      <c r="AB235" s="1514">
        <v>501627.48300824565</v>
      </c>
      <c r="AC235" s="1514">
        <v>515438.82181801205</v>
      </c>
      <c r="AD235" s="1514">
        <v>533718.63401172578</v>
      </c>
      <c r="AE235" s="1514">
        <v>551627.75592386466</v>
      </c>
      <c r="AF235" s="1514">
        <v>504082.67923059262</v>
      </c>
      <c r="AG235" s="1514">
        <v>551821.75461260125</v>
      </c>
      <c r="AH235" s="1514">
        <v>646341.87185731181</v>
      </c>
      <c r="AI235" s="1491"/>
      <c r="AJ235"/>
      <c r="AK235"/>
    </row>
    <row r="236" spans="1:37" customFormat="1" x14ac:dyDescent="0.4">
      <c r="A236" s="108" t="s">
        <v>1678</v>
      </c>
      <c r="B236" s="1515" t="s">
        <v>458</v>
      </c>
      <c r="C236" s="1515">
        <v>1815310.4988291648</v>
      </c>
      <c r="D236" s="1515">
        <v>1864135.0002944637</v>
      </c>
      <c r="E236" s="1515">
        <v>847703.81920079491</v>
      </c>
      <c r="F236" s="1515">
        <v>2130660.9780368358</v>
      </c>
      <c r="G236" s="1515">
        <v>2166550.0091831237</v>
      </c>
      <c r="H236" s="1515">
        <v>2159077.0277499505</v>
      </c>
      <c r="I236" s="1515">
        <v>2201329.8622115096</v>
      </c>
      <c r="J236" s="1515">
        <v>2262696.6586692543</v>
      </c>
      <c r="K236" s="1515">
        <v>2543452.8909282857</v>
      </c>
      <c r="L236" s="1515">
        <v>2536187.8572566202</v>
      </c>
      <c r="M236" s="1515">
        <v>3331043.2970431126</v>
      </c>
      <c r="N236" s="1515">
        <v>3211990.5633744067</v>
      </c>
      <c r="O236" s="1515">
        <v>3215949.5015657637</v>
      </c>
      <c r="P236" s="1515">
        <v>3107415.6106045172</v>
      </c>
      <c r="Q236" s="1515">
        <v>3137521.0411209888</v>
      </c>
      <c r="R236" s="1515">
        <v>3184230.1182926539</v>
      </c>
      <c r="S236" s="1515">
        <v>3247545.0299388976</v>
      </c>
      <c r="T236" s="1515">
        <v>3027390.4760883427</v>
      </c>
      <c r="U236" s="1515">
        <v>2937649.998497312</v>
      </c>
      <c r="V236" s="1515">
        <v>3023750.0366058978</v>
      </c>
      <c r="W236" s="1515">
        <v>3255270.150406776</v>
      </c>
      <c r="X236" s="1515">
        <v>2954276.7597755236</v>
      </c>
      <c r="Y236" s="1515">
        <v>3109626.7722298549</v>
      </c>
      <c r="Z236" s="1515">
        <v>3136825.616332639</v>
      </c>
      <c r="AA236" s="1515">
        <v>1821658.82719149</v>
      </c>
      <c r="AB236" s="1515">
        <v>1851633.4280796207</v>
      </c>
      <c r="AC236" s="1515">
        <v>1928198.399774665</v>
      </c>
      <c r="AD236" s="1515">
        <v>1982402.5400851169</v>
      </c>
      <c r="AE236" s="1515">
        <v>2040829.4170336414</v>
      </c>
      <c r="AF236" s="1515">
        <v>1897962.6310121925</v>
      </c>
      <c r="AG236" s="1515">
        <v>2144292.7230354748</v>
      </c>
      <c r="AH236" s="1515">
        <v>1988280.4820946895</v>
      </c>
      <c r="AI236" s="1491"/>
    </row>
    <row r="237" spans="1:37" s="1389" customFormat="1" x14ac:dyDescent="0.4">
      <c r="A237" s="1516" t="s">
        <v>1111</v>
      </c>
      <c r="B237" s="1517"/>
      <c r="C237" s="1517"/>
      <c r="D237" s="1517"/>
      <c r="E237" s="1517"/>
      <c r="F237" s="1517"/>
      <c r="G237" s="1517"/>
      <c r="H237" s="1517"/>
      <c r="I237" s="1517"/>
      <c r="J237" s="1517"/>
      <c r="K237" s="1517"/>
      <c r="L237" s="1517"/>
      <c r="M237" s="1517"/>
      <c r="N237" s="1517"/>
      <c r="O237" s="1517"/>
      <c r="P237" s="1517"/>
      <c r="Q237" s="1517"/>
      <c r="R237" s="1517"/>
      <c r="S237" s="1517"/>
      <c r="T237" s="1517"/>
      <c r="U237" s="1517"/>
      <c r="V237" s="1517"/>
      <c r="W237" s="1517"/>
      <c r="X237" s="1517"/>
      <c r="Y237" s="1517"/>
      <c r="Z237" s="1517"/>
      <c r="AA237" s="1517"/>
      <c r="AB237" s="1517"/>
      <c r="AC237" s="1517"/>
      <c r="AD237" s="1517"/>
      <c r="AE237" s="1517"/>
      <c r="AF237" s="1517"/>
      <c r="AG237" s="1517"/>
      <c r="AH237" s="1517"/>
      <c r="AI237" s="1491"/>
      <c r="AJ237"/>
      <c r="AK237"/>
    </row>
    <row r="238" spans="1:37" s="1389" customFormat="1" x14ac:dyDescent="0.4">
      <c r="AI238" s="1491"/>
      <c r="AJ238"/>
      <c r="AK238"/>
    </row>
    <row r="239" spans="1:37" s="1389" customFormat="1" x14ac:dyDescent="0.4">
      <c r="A239" s="1521" t="s">
        <v>1064</v>
      </c>
      <c r="AI239" s="1491"/>
      <c r="AJ239"/>
      <c r="AK239"/>
    </row>
    <row r="240" spans="1:37" x14ac:dyDescent="0.4">
      <c r="AI240" s="1491"/>
      <c r="AJ240"/>
      <c r="AK240"/>
    </row>
  </sheetData>
  <phoneticPr fontId="34" type="noConversion"/>
  <conditionalFormatting sqref="A58:N58 P58:Q58">
    <cfRule type="cellIs" dxfId="30" priority="6" stopIfTrue="1" operator="equal">
      <formula>0</formula>
    </cfRule>
    <cfRule type="cellIs" dxfId="29" priority="7" stopIfTrue="1" operator="notEqual">
      <formula>0</formula>
    </cfRule>
  </conditionalFormatting>
  <hyperlinks>
    <hyperlink ref="A3" location="'Combustion CO2'!A45" display="Go to Data" xr:uid="{DD93D509-E728-4A3B-8CE5-C649EC26419C}"/>
    <hyperlink ref="A2" location="Contents!A1" display="Return to Contents tab" xr:uid="{B0924395-6012-46D4-936E-783AB18074AA}"/>
    <hyperlink ref="A198" r:id="rId1" display="https://www.epa.gov/sites/default/files/2015-07/documents/catalog_of_chp_technologies_section_6._technology_characterization_-_fuel_cells.pdf" xr:uid="{39A3B824-7AD6-4E85-824F-5913AFE4B418}"/>
  </hyperlinks>
  <pageMargins left="0.7" right="0.7" top="0.75" bottom="0.75" header="0.3" footer="0.3"/>
  <pageSetup scale="16" orientation="landscape" r:id="rId2"/>
  <headerFooter>
    <oddFooter>&amp;L&amp;F &amp;A&amp;RPage &amp;P of &amp;N</oddFooter>
  </headerFooter>
  <drawing r:id="rId3"/>
  <tableParts count="11">
    <tablePart r:id="rId4"/>
    <tablePart r:id="rId5"/>
    <tablePart r:id="rId6"/>
    <tablePart r:id="rId7"/>
    <tablePart r:id="rId8"/>
    <tablePart r:id="rId9"/>
    <tablePart r:id="rId10"/>
    <tablePart r:id="rId11"/>
    <tablePart r:id="rId12"/>
    <tablePart r:id="rId13"/>
    <tablePart r:id="rId1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8 G G 2 W N Y x P F m l A A A A 9 w A A A B I A H A B D b 2 5 m a W c v U G F j a 2 F n Z S 5 4 b W w g o h g A K K A U A A A A A A A A A A A A A A A A A A A A A A A A A A A A h Y 8 x D o I w G I W v Q r r T l m q C I a U M r p K Y E I 1 r U y o 0 w o + h x X I 3 B 4 / k F c Q o 6 u b 4 v v c N 7 9 2 v N 5 6 N b R N c d G 9 N B y m K M E W B B t W V B q o U D e 4 Y r l A m + F a q k 6 x 0 M M l g k 9 G W K a q d O y e E e O + x X + C u r w i j N C K H f F O o W r c S f W T z X w 4 N W C d B a S T 4 / j V G M B y x G E c x X W L K y U x 5 b u B r s G n w s / 2 B f D 0 0 b u i 1 0 B D u C k 7 m y M n 7 h H g A U E s D B B Q A A g A I A P B h t 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w Y b Z Y K I p H u A 4 A A A A R A A A A E w A c A E Z v c m 1 1 b G F z L 1 N l Y 3 R p b 2 4 x L m 0 g o h g A K K A U A A A A A A A A A A A A A A A A A A A A A A A A A A A A K 0 5 N L s n M z 1 M I h t C G 1 g B Q S w E C L Q A U A A I A C A D w Y b Z Y 1 j E 8 W a U A A A D 3 A A A A E g A A A A A A A A A A A A A A A A A A A A A A Q 2 9 u Z m l n L 1 B h Y 2 t h Z 2 U u e G 1 s U E s B A i 0 A F A A C A A g A 8 G G 2 W A / K 6 a u k A A A A 6 Q A A A B M A A A A A A A A A A A A A A A A A 8 Q A A A F t D b 2 5 0 Z W 5 0 X 1 R 5 c G V z X S 5 4 b W x Q S w E C L Q A U A A I A C A D w Y b Z 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Z y I e C q 3 m E k e + d q G z I N D Q Z g A A A A A C A A A A A A A D Z g A A w A A A A B A A A A D V D O V W e 9 r D w t u I / n 5 g I / j 9 A A A A A A S A A A C g A A A A E A A A A D 5 1 p H a x h Y P R A J L 7 I W 3 K 8 f V Q A A A A h / 1 h j u M o s 4 c 6 U l G T j O J n i B a v z 8 J L o J z t I Q g i 6 F p n h 5 t I F H t V 9 v k o w h J s f 6 9 z 1 i c c k G U S H t G 2 2 N p W F i 6 Y F C c g X S U W H 2 R 6 N v F R c w L h Y Z O O F r 8 U A A A A k c 5 p P c N 9 p w V I Y w g H u w C S T k n X d Q 0 = < / 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48B8951B32C44A8ABF1C6EE626DEA0" ma:contentTypeVersion="14" ma:contentTypeDescription="Create a new document." ma:contentTypeScope="" ma:versionID="1650441cba533cdd87d71197d4d38a1f">
  <xsd:schema xmlns:xsd="http://www.w3.org/2001/XMLSchema" xmlns:xs="http://www.w3.org/2001/XMLSchema" xmlns:p="http://schemas.microsoft.com/office/2006/metadata/properties" xmlns:ns2="97c241f7-0c18-4008-861b-5a676167a037" xmlns:ns3="7b83dbe2-6fd2-449a-a932-0d75829bf641" targetNamespace="http://schemas.microsoft.com/office/2006/metadata/properties" ma:root="true" ma:fieldsID="bf484b502aa0631730d63a6fcc4c17d9" ns2:_="" ns3:_="">
    <xsd:import namespace="97c241f7-0c18-4008-861b-5a676167a037"/>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c241f7-0c18-4008-861b-5a676167a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7c241f7-0c18-4008-861b-5a676167a037">
      <Terms xmlns="http://schemas.microsoft.com/office/infopath/2007/PartnerControls"/>
    </lcf76f155ced4ddcb4097134ff3c332f>
    <TaxCatchAll xmlns="7b83dbe2-6fd2-449a-a932-0d75829bf641" xsi:nil="true"/>
  </documentManagement>
</p:properties>
</file>

<file path=customXml/itemProps1.xml><?xml version="1.0" encoding="utf-8"?>
<ds:datastoreItem xmlns:ds="http://schemas.openxmlformats.org/officeDocument/2006/customXml" ds:itemID="{2D864EC1-B6E5-4E94-A47F-32868D41E641}">
  <ds:schemaRefs>
    <ds:schemaRef ds:uri="http://schemas.microsoft.com/DataMashup"/>
  </ds:schemaRefs>
</ds:datastoreItem>
</file>

<file path=customXml/itemProps2.xml><?xml version="1.0" encoding="utf-8"?>
<ds:datastoreItem xmlns:ds="http://schemas.openxmlformats.org/officeDocument/2006/customXml" ds:itemID="{2C1569F2-0AAA-4289-AB45-682B11383A82}">
  <ds:schemaRefs>
    <ds:schemaRef ds:uri="http://schemas.microsoft.com/sharepoint/v3/contenttype/forms"/>
  </ds:schemaRefs>
</ds:datastoreItem>
</file>

<file path=customXml/itemProps3.xml><?xml version="1.0" encoding="utf-8"?>
<ds:datastoreItem xmlns:ds="http://schemas.openxmlformats.org/officeDocument/2006/customXml" ds:itemID="{EA3097AC-594A-4F0A-8946-2121D2435C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c241f7-0c18-4008-861b-5a676167a037"/>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D83EFA9-C92D-4AAF-A0F1-CFA7EC8C8D87}">
  <ds:schemaRefs>
    <ds:schemaRef ds:uri="http://schemas.microsoft.com/office/2006/metadata/properties"/>
    <ds:schemaRef ds:uri="http://schemas.microsoft.com/office/infopath/2007/PartnerControls"/>
    <ds:schemaRef ds:uri="97c241f7-0c18-4008-861b-5a676167a037"/>
    <ds:schemaRef ds:uri="7b83dbe2-6fd2-449a-a932-0d75829bf641"/>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Contents</vt:lpstr>
      <vt:lpstr>MA 1990-2023 Total Chart</vt:lpstr>
      <vt:lpstr>1990-2023 Sector Charts</vt:lpstr>
      <vt:lpstr>Summary</vt:lpstr>
      <vt:lpstr>Adjustable GWP Summary</vt:lpstr>
      <vt:lpstr>Summary by Gas</vt:lpstr>
      <vt:lpstr>Sector Sublimits</vt:lpstr>
      <vt:lpstr>Process</vt:lpstr>
      <vt:lpstr>Combustion CO2</vt:lpstr>
      <vt:lpstr>Stationary CH4 and N2O</vt:lpstr>
      <vt:lpstr>Mobile CH4 and N2O</vt:lpstr>
      <vt:lpstr>NG Sum Distribution PostMeter</vt:lpstr>
      <vt:lpstr>NG Transmission Storage</vt:lpstr>
      <vt:lpstr>Industrial Process</vt:lpstr>
      <vt:lpstr>Agriculture</vt:lpstr>
      <vt:lpstr>Wastewater</vt:lpstr>
      <vt:lpstr>Solid Waste</vt:lpstr>
      <vt:lpstr>Electricity Imports</vt:lpstr>
      <vt:lpstr>Biogenic Summary</vt:lpstr>
      <vt:lpstr>Biogenic Combustion</vt:lpstr>
      <vt:lpstr>Natural and Working Lands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2018-12-20T16:06:19Z</dcterms:created>
  <dcterms:modified xsi:type="dcterms:W3CDTF">2026-04-21T15:21:50Z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0x0101003F48B8951B32C44A8ABF1C6EE626DEA0</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