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spring2\Desktop\CRMA\ASR\"/>
    </mc:Choice>
  </mc:AlternateContent>
  <bookViews>
    <workbookView xWindow="0" yWindow="0" windowWidth="15360" windowHeight="8430"/>
  </bookViews>
  <sheets>
    <sheet name="Inpu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F30" i="1" l="1"/>
  <c r="G30" i="1"/>
  <c r="H30" i="1"/>
  <c r="E30" i="1"/>
  <c r="F27" i="1"/>
  <c r="G27" i="1"/>
  <c r="H27" i="1"/>
  <c r="E27" i="1"/>
  <c r="H37" i="1" l="1"/>
  <c r="E31" i="1" l="1"/>
  <c r="F31" i="1"/>
  <c r="G31" i="1"/>
  <c r="H31" i="1"/>
  <c r="G40" i="1" l="1"/>
  <c r="G37" i="1"/>
  <c r="H40" i="1" l="1"/>
  <c r="F40" i="1"/>
  <c r="E40" i="1"/>
  <c r="F35" i="1" l="1"/>
  <c r="G35" i="1"/>
  <c r="E35" i="1"/>
  <c r="F37" i="1" l="1"/>
  <c r="F38" i="1" s="1"/>
  <c r="F41" i="1" l="1"/>
  <c r="E41" i="1"/>
  <c r="E38" i="1"/>
  <c r="G41" i="1" l="1"/>
  <c r="H41" i="1"/>
  <c r="H38" i="1"/>
  <c r="G38" i="1"/>
  <c r="E44" i="1" l="1"/>
  <c r="E45" i="1" s="1"/>
  <c r="E47" i="1"/>
  <c r="E48" i="1" s="1"/>
  <c r="E50" i="1" l="1"/>
  <c r="E19" i="1"/>
  <c r="E51" i="1" s="1"/>
  <c r="E53" i="1" l="1"/>
  <c r="E52" i="1"/>
</calcChain>
</file>

<file path=xl/sharedStrings.xml><?xml version="1.0" encoding="utf-8"?>
<sst xmlns="http://schemas.openxmlformats.org/spreadsheetml/2006/main" count="62" uniqueCount="50">
  <si>
    <t>City:</t>
  </si>
  <si>
    <t>State:</t>
  </si>
  <si>
    <t>Maximum Volumetric Pumping Rate (million gallons per day):</t>
  </si>
  <si>
    <t>Average depth to recoverable water (feet)</t>
  </si>
  <si>
    <t>Annualized Cost</t>
  </si>
  <si>
    <t>Useful Life</t>
  </si>
  <si>
    <t>Discount Rate</t>
  </si>
  <si>
    <t>General Information</t>
  </si>
  <si>
    <t>Project and Cost Information</t>
  </si>
  <si>
    <t>ASR BCA Module Output</t>
  </si>
  <si>
    <t>Standard FEMA value</t>
  </si>
  <si>
    <t>Pre-mitigation Annualized Damages</t>
  </si>
  <si>
    <t>Post-mitigation Annualized Damages</t>
  </si>
  <si>
    <t>Pre-mitigation Annualized Damages Present Value</t>
  </si>
  <si>
    <t>Post-mitigation Annualized Damages Present Value</t>
  </si>
  <si>
    <t>Total Pre-mitigation Annualized Damages</t>
  </si>
  <si>
    <t>Total Post-mitigation Annualized Damages</t>
  </si>
  <si>
    <t>Mitigation Cost</t>
  </si>
  <si>
    <t>Recommend three, minimum of one return periods</t>
  </si>
  <si>
    <t>Benefits Minus Costs</t>
  </si>
  <si>
    <t>Benefit-Cost Ratio</t>
  </si>
  <si>
    <t>Additional Standard Values</t>
  </si>
  <si>
    <t>Last step for spreadsheet prior to input into FEMA BCA Tool v5.2</t>
  </si>
  <si>
    <t>FEMA BCA Tool equation</t>
  </si>
  <si>
    <r>
      <t>Pre-mitigation Duration of Impact (</t>
    </r>
    <r>
      <rPr>
        <i/>
        <sz val="11"/>
        <color rgb="FF00B0F0"/>
        <rFont val="Calibri"/>
        <family val="2"/>
        <scheme val="minor"/>
      </rPr>
      <t>DOI</t>
    </r>
    <r>
      <rPr>
        <i/>
        <vertAlign val="subscript"/>
        <sz val="11"/>
        <color rgb="FF00B0F0"/>
        <rFont val="Calibri"/>
        <family val="2"/>
        <scheme val="minor"/>
      </rPr>
      <t>pre</t>
    </r>
    <r>
      <rPr>
        <i/>
        <sz val="11"/>
        <color theme="1"/>
        <rFont val="Calibri"/>
        <family val="2"/>
        <scheme val="minor"/>
      </rPr>
      <t>, days)</t>
    </r>
  </si>
  <si>
    <r>
      <t>Pre-mitigation Conditions % of Unmet Demand (</t>
    </r>
    <r>
      <rPr>
        <sz val="11"/>
        <color rgb="FF00B0F0"/>
        <rFont val="Calibri"/>
        <family val="2"/>
        <scheme val="minor"/>
      </rPr>
      <t>DLF</t>
    </r>
    <r>
      <rPr>
        <vertAlign val="subscript"/>
        <sz val="11"/>
        <color rgb="FF00B0F0"/>
        <rFont val="Calibri"/>
        <family val="2"/>
        <scheme val="minor"/>
      </rPr>
      <t>pre</t>
    </r>
    <r>
      <rPr>
        <sz val="11"/>
        <color theme="1"/>
        <rFont val="Calibri"/>
        <family val="2"/>
        <scheme val="minor"/>
      </rPr>
      <t>, %)</t>
    </r>
  </si>
  <si>
    <r>
      <t>Post-mitigation Duration of Impact (</t>
    </r>
    <r>
      <rPr>
        <i/>
        <sz val="11"/>
        <color rgb="FF00B0F0"/>
        <rFont val="Calibri"/>
        <family val="2"/>
        <scheme val="minor"/>
      </rPr>
      <t>DOI</t>
    </r>
    <r>
      <rPr>
        <i/>
        <vertAlign val="subscript"/>
        <sz val="11"/>
        <color rgb="FF00B0F0"/>
        <rFont val="Calibri"/>
        <family val="2"/>
        <scheme val="minor"/>
      </rPr>
      <t>post</t>
    </r>
    <r>
      <rPr>
        <i/>
        <sz val="11"/>
        <color theme="1"/>
        <rFont val="Calibri"/>
        <family val="2"/>
        <scheme val="minor"/>
      </rPr>
      <t>, days)</t>
    </r>
  </si>
  <si>
    <r>
      <t>Post-mitigation Conditions % of Unmet Demand (</t>
    </r>
    <r>
      <rPr>
        <sz val="11"/>
        <color rgb="FF00B0F0"/>
        <rFont val="Calibri"/>
        <family val="2"/>
        <scheme val="minor"/>
      </rPr>
      <t>DLF</t>
    </r>
    <r>
      <rPr>
        <vertAlign val="subscript"/>
        <sz val="11"/>
        <color rgb="FF00B0F0"/>
        <rFont val="Calibri"/>
        <family val="2"/>
        <scheme val="minor"/>
      </rPr>
      <t>post</t>
    </r>
    <r>
      <rPr>
        <sz val="11"/>
        <color theme="1"/>
        <rFont val="Calibri"/>
        <family val="2"/>
        <scheme val="minor"/>
      </rPr>
      <t>, %)</t>
    </r>
  </si>
  <si>
    <r>
      <t>Pre-mitigation Damages (</t>
    </r>
    <r>
      <rPr>
        <i/>
        <sz val="11"/>
        <color rgb="FF00B0F0"/>
        <rFont val="Calibri"/>
        <family val="2"/>
        <scheme val="minor"/>
      </rPr>
      <t>PreDmg</t>
    </r>
    <r>
      <rPr>
        <sz val="11"/>
        <color theme="1"/>
        <rFont val="Calibri"/>
        <family val="2"/>
        <scheme val="minor"/>
      </rPr>
      <t>)</t>
    </r>
  </si>
  <si>
    <r>
      <t xml:space="preserve">Post-mitigation Damages </t>
    </r>
    <r>
      <rPr>
        <i/>
        <sz val="11"/>
        <color theme="1"/>
        <rFont val="Calibri"/>
        <family val="2"/>
        <scheme val="minor"/>
      </rPr>
      <t>(</t>
    </r>
    <r>
      <rPr>
        <i/>
        <sz val="11"/>
        <color rgb="FF00B0F0"/>
        <rFont val="Calibri"/>
        <family val="2"/>
        <scheme val="minor"/>
      </rPr>
      <t>PostDmg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</si>
  <si>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 xml:space="preserve">Economic Value of Loss of Water Service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rgb="FF00B0F0"/>
        <rFont val="Calibri"/>
        <family val="2"/>
        <scheme val="minor"/>
      </rPr>
      <t>LWS</t>
    </r>
    <r>
      <rPr>
        <i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>per person per day)</t>
    </r>
  </si>
  <si>
    <r>
      <t>Population Served by Project (</t>
    </r>
    <r>
      <rPr>
        <i/>
        <sz val="11"/>
        <color rgb="FF00B0F0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):</t>
    </r>
  </si>
  <si>
    <t>Mitigation Benefits</t>
  </si>
  <si>
    <t>Step 1</t>
  </si>
  <si>
    <t>Step 2</t>
  </si>
  <si>
    <t>Step 3</t>
  </si>
  <si>
    <t>Drought Recurrence Interval (years)</t>
  </si>
  <si>
    <t>ASR Project Drought and Mitigation Information</t>
  </si>
  <si>
    <t>Dry Spell</t>
  </si>
  <si>
    <t>CA</t>
  </si>
  <si>
    <t>ASR BCA Tool v1.0</t>
  </si>
  <si>
    <t>Step 4</t>
  </si>
  <si>
    <t>Existing</t>
  </si>
  <si>
    <t>Average water use rate  (gallons per capita per day)</t>
  </si>
  <si>
    <t>Annual Operations and Maintenance Cost (Present Value $US)</t>
  </si>
  <si>
    <r>
      <t>Pre-mitigation System Supply Yield (</t>
    </r>
    <r>
      <rPr>
        <i/>
        <sz val="11"/>
        <color rgb="FF00B0F0"/>
        <rFont val="Calibri"/>
        <family val="2"/>
        <scheme val="minor"/>
      </rPr>
      <t>SSY</t>
    </r>
    <r>
      <rPr>
        <i/>
        <vertAlign val="subscript"/>
        <sz val="11"/>
        <color rgb="FF00B0F0"/>
        <rFont val="Calibri"/>
        <family val="2"/>
        <scheme val="minor"/>
      </rPr>
      <t>pre</t>
    </r>
    <r>
      <rPr>
        <i/>
        <vertAlign val="subscript"/>
        <sz val="11"/>
        <color theme="1"/>
        <rFont val="Calibri"/>
        <family val="2"/>
        <scheme val="minor"/>
      </rPr>
      <t>,</t>
    </r>
    <r>
      <rPr>
        <i/>
        <sz val="11"/>
        <color theme="1"/>
        <rFont val="Calibri"/>
        <family val="2"/>
        <scheme val="minor"/>
      </rPr>
      <t>mgd)</t>
    </r>
  </si>
  <si>
    <r>
      <t>Post-mitigation System Supply Yield (</t>
    </r>
    <r>
      <rPr>
        <i/>
        <sz val="11"/>
        <color rgb="FF00B0F0"/>
        <rFont val="Calibri"/>
        <family val="2"/>
        <scheme val="minor"/>
      </rPr>
      <t>SSY</t>
    </r>
    <r>
      <rPr>
        <i/>
        <vertAlign val="subscript"/>
        <sz val="11"/>
        <color rgb="FF00B0F0"/>
        <rFont val="Calibri"/>
        <family val="2"/>
        <scheme val="minor"/>
      </rPr>
      <t>post</t>
    </r>
    <r>
      <rPr>
        <i/>
        <sz val="11"/>
        <color theme="1"/>
        <rFont val="Calibri"/>
        <family val="2"/>
        <scheme val="minor"/>
      </rPr>
      <t>, mgd)</t>
    </r>
  </si>
  <si>
    <t>Average Yield of ASR Project (mgd)</t>
  </si>
  <si>
    <r>
      <rPr>
        <i/>
        <sz val="11"/>
        <rFont val="Calibri"/>
        <family val="2"/>
        <scheme val="minor"/>
      </rPr>
      <t>Unconstrained</t>
    </r>
    <r>
      <rPr>
        <i/>
        <sz val="11"/>
        <color theme="1"/>
        <rFont val="Calibri"/>
        <family val="2"/>
        <scheme val="minor"/>
      </rPr>
      <t xml:space="preserve"> Potable Water Demand (million gallons per day [mgd])</t>
    </r>
  </si>
  <si>
    <t>Estimated Capital Cost of ASR Project (Present Value $US)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</si>
</sst>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_);_(@_)"/>
    <numFmt numFmtId="166" formatCode="0.000"/>
    <numFmt numFmtId="167" formatCode="0.0"/>
    <numFmt numFmtId="168" formatCode="_(* #,##0_);_(* \(#,##0\);_(* &quot;-&quot;??_);_(@_)"/>
    <numFmt numFmtId="169" formatCode="_(&quot;$&quot;* #,##0_);_(&quot;$&quot;* \(#,##0\);_(&quot;$&quot;* &quot;-&quot;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i/>
      <vertAlign val="subscript"/>
      <sz val="11"/>
      <color rgb="FF00B0F0"/>
      <name val="Calibri"/>
      <family val="2"/>
      <scheme val="minor"/>
    </font>
    <font>
      <vertAlign val="subscript"/>
      <sz val="11"/>
      <color rgb="FF00B0F0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right"/>
    </xf>
    <xf numFmtId="0" fontId="0" fillId="3" borderId="3" xfId="0" applyFill="1" applyBorder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168" fontId="0" fillId="3" borderId="1" xfId="1" applyNumberFormat="1" applyFont="1" applyFill="1" applyBorder="1"/>
    <xf numFmtId="165" fontId="0" fillId="2" borderId="0" xfId="0" applyNumberFormat="1" applyFill="1"/>
    <xf numFmtId="0" fontId="11" fillId="2" borderId="0" xfId="0" applyFont="1" applyFill="1" applyAlignment="1">
      <alignment horizontal="right"/>
    </xf>
    <xf numFmtId="164" fontId="0" fillId="4" borderId="1" xfId="2" applyNumberFormat="1" applyFont="1" applyFill="1" applyBorder="1"/>
    <xf numFmtId="0" fontId="3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/>
    </xf>
    <xf numFmtId="164" fontId="0" fillId="5" borderId="1" xfId="2" applyNumberFormat="1" applyFont="1" applyFill="1" applyBorder="1"/>
    <xf numFmtId="0" fontId="9" fillId="6" borderId="1" xfId="0" applyFont="1" applyFill="1" applyBorder="1"/>
    <xf numFmtId="0" fontId="0" fillId="2" borderId="0" xfId="0" applyFill="1" applyBorder="1"/>
    <xf numFmtId="168" fontId="0" fillId="2" borderId="0" xfId="1" applyNumberFormat="1" applyFont="1" applyFill="1" applyBorder="1"/>
    <xf numFmtId="166" fontId="0" fillId="2" borderId="0" xfId="0" applyNumberFormat="1" applyFill="1" applyBorder="1"/>
    <xf numFmtId="164" fontId="0" fillId="2" borderId="0" xfId="2" applyNumberFormat="1" applyFont="1" applyFill="1" applyBorder="1"/>
    <xf numFmtId="165" fontId="0" fillId="2" borderId="0" xfId="0" applyNumberFormat="1" applyFill="1" applyBorder="1"/>
    <xf numFmtId="0" fontId="13" fillId="2" borderId="0" xfId="0" applyFont="1" applyFill="1"/>
    <xf numFmtId="0" fontId="14" fillId="2" borderId="0" xfId="0" applyFont="1" applyFill="1"/>
    <xf numFmtId="169" fontId="0" fillId="3" borderId="1" xfId="0" applyNumberFormat="1" applyFill="1" applyBorder="1"/>
    <xf numFmtId="44" fontId="0" fillId="2" borderId="0" xfId="2" applyFont="1" applyFill="1"/>
    <xf numFmtId="164" fontId="3" fillId="4" borderId="1" xfId="2" applyNumberFormat="1" applyFont="1" applyFill="1" applyBorder="1"/>
    <xf numFmtId="0" fontId="6" fillId="2" borderId="4" xfId="0" applyFont="1" applyFill="1" applyBorder="1"/>
    <xf numFmtId="0" fontId="6" fillId="2" borderId="0" xfId="0" applyFont="1" applyFill="1" applyBorder="1"/>
    <xf numFmtId="0" fontId="6" fillId="2" borderId="5" xfId="0" applyFont="1" applyFill="1" applyBorder="1"/>
    <xf numFmtId="0" fontId="2" fillId="2" borderId="0" xfId="0" applyFont="1" applyFill="1" applyBorder="1"/>
    <xf numFmtId="0" fontId="10" fillId="2" borderId="0" xfId="0" applyFont="1" applyFill="1" applyBorder="1"/>
    <xf numFmtId="0" fontId="15" fillId="2" borderId="0" xfId="0" applyFont="1" applyFill="1"/>
    <xf numFmtId="164" fontId="0" fillId="2" borderId="0" xfId="0" applyNumberFormat="1" applyFill="1"/>
    <xf numFmtId="0" fontId="9" fillId="7" borderId="1" xfId="0" applyFont="1" applyFill="1" applyBorder="1"/>
    <xf numFmtId="0" fontId="16" fillId="2" borderId="0" xfId="0" applyFont="1" applyFill="1"/>
    <xf numFmtId="167" fontId="9" fillId="8" borderId="1" xfId="0" applyNumberFormat="1" applyFont="1" applyFill="1" applyBorder="1"/>
    <xf numFmtId="9" fontId="0" fillId="9" borderId="1" xfId="3" applyFont="1" applyFill="1" applyBorder="1"/>
    <xf numFmtId="6" fontId="0" fillId="9" borderId="1" xfId="0" applyNumberFormat="1" applyFill="1" applyBorder="1"/>
    <xf numFmtId="0" fontId="17" fillId="2" borderId="0" xfId="0" applyFont="1" applyFill="1"/>
    <xf numFmtId="0" fontId="0" fillId="4" borderId="1" xfId="2" applyNumberFormat="1" applyFont="1" applyFill="1" applyBorder="1"/>
    <xf numFmtId="0" fontId="0" fillId="3" borderId="2" xfId="0" applyFill="1" applyBorder="1"/>
    <xf numFmtId="0" fontId="0" fillId="3" borderId="1" xfId="0" applyFill="1" applyBorder="1"/>
    <xf numFmtId="0" fontId="11" fillId="2" borderId="0" xfId="0" applyFont="1" applyFill="1"/>
    <xf numFmtId="2" fontId="0" fillId="4" borderId="1" xfId="0" applyNumberFormat="1" applyFill="1" applyBorder="1"/>
    <xf numFmtId="167" fontId="0" fillId="3" borderId="1" xfId="0" applyNumberFormat="1" applyFill="1" applyBorder="1"/>
    <xf numFmtId="9" fontId="0" fillId="4" borderId="1" xfId="3" applyFont="1" applyFill="1" applyBorder="1"/>
    <xf numFmtId="0" fontId="9" fillId="6" borderId="1" xfId="0" applyFont="1" applyFill="1" applyBorder="1" applyAlignment="1">
      <alignment horizontal="right"/>
    </xf>
    <xf numFmtId="9" fontId="0" fillId="2" borderId="0" xfId="3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Normal="100" workbookViewId="0">
      <selection activeCell="E26" sqref="E26"/>
    </sheetView>
  </sheetViews>
  <sheetFormatPr defaultColWidth="8.85546875" defaultRowHeight="15" x14ac:dyDescent="0.25"/>
  <cols>
    <col min="1" max="1" width="38.7109375" style="2" customWidth="1"/>
    <col min="2" max="3" width="8.85546875" style="2"/>
    <col min="4" max="4" width="9.42578125" style="2" customWidth="1"/>
    <col min="5" max="8" width="17.7109375" style="2" customWidth="1"/>
    <col min="9" max="9" width="8.85546875" style="2"/>
    <col min="10" max="10" width="22.28515625" style="2" customWidth="1"/>
    <col min="11" max="12" width="8.85546875" style="2"/>
    <col min="13" max="13" width="9.7109375" style="2" customWidth="1"/>
    <col min="14" max="16384" width="8.85546875" style="2"/>
  </cols>
  <sheetData>
    <row r="1" spans="1:11" x14ac:dyDescent="0.25">
      <c r="A1" s="1" t="s">
        <v>40</v>
      </c>
    </row>
    <row r="2" spans="1:11" x14ac:dyDescent="0.25">
      <c r="A2" s="41"/>
      <c r="B2" s="45" t="s">
        <v>33</v>
      </c>
    </row>
    <row r="3" spans="1:11" x14ac:dyDescent="0.25">
      <c r="B3" s="25" t="s">
        <v>7</v>
      </c>
    </row>
    <row r="4" spans="1:11" x14ac:dyDescent="0.25">
      <c r="C4" s="5"/>
      <c r="J4" s="9"/>
      <c r="K4" s="7"/>
    </row>
    <row r="5" spans="1:11" x14ac:dyDescent="0.25">
      <c r="D5" s="3" t="s">
        <v>0</v>
      </c>
      <c r="E5" s="44" t="s">
        <v>38</v>
      </c>
      <c r="F5" s="19"/>
      <c r="G5" s="19"/>
      <c r="H5" s="19"/>
      <c r="J5" s="8"/>
      <c r="K5" s="4"/>
    </row>
    <row r="6" spans="1:11" x14ac:dyDescent="0.25">
      <c r="D6" s="3" t="s">
        <v>1</v>
      </c>
      <c r="E6" s="44" t="s">
        <v>39</v>
      </c>
      <c r="F6" s="19"/>
      <c r="G6" s="19"/>
      <c r="H6" s="19"/>
      <c r="J6" s="8"/>
      <c r="K6" s="4"/>
    </row>
    <row r="7" spans="1:11" x14ac:dyDescent="0.25">
      <c r="D7" s="3"/>
      <c r="E7" s="19"/>
      <c r="F7" s="19"/>
      <c r="G7" s="19"/>
      <c r="H7" s="19"/>
      <c r="J7" s="8"/>
      <c r="K7" s="4"/>
    </row>
    <row r="8" spans="1:11" x14ac:dyDescent="0.25">
      <c r="D8" s="3"/>
      <c r="E8" s="49" t="s">
        <v>42</v>
      </c>
      <c r="F8" s="19"/>
      <c r="G8" s="19"/>
      <c r="H8" s="19"/>
      <c r="J8" s="8"/>
      <c r="K8" s="4"/>
    </row>
    <row r="9" spans="1:11" x14ac:dyDescent="0.25">
      <c r="C9" s="3"/>
      <c r="D9" s="3" t="s">
        <v>31</v>
      </c>
      <c r="E9" s="11">
        <v>75000</v>
      </c>
      <c r="F9" s="20"/>
      <c r="G9" s="20"/>
      <c r="H9" s="20"/>
      <c r="J9" s="4"/>
      <c r="K9" s="4"/>
    </row>
    <row r="10" spans="1:11" x14ac:dyDescent="0.25">
      <c r="D10" s="3" t="s">
        <v>43</v>
      </c>
      <c r="E10" s="44">
        <v>170</v>
      </c>
      <c r="F10" s="19"/>
      <c r="G10" s="19"/>
      <c r="H10" s="19"/>
      <c r="I10" s="34"/>
      <c r="J10" s="4"/>
      <c r="K10" s="4"/>
    </row>
    <row r="11" spans="1:11" x14ac:dyDescent="0.25">
      <c r="D11" s="3"/>
      <c r="E11" s="19"/>
      <c r="F11" s="19"/>
      <c r="G11" s="19"/>
      <c r="H11" s="19"/>
      <c r="I11" s="34"/>
      <c r="J11" s="4"/>
      <c r="K11" s="4"/>
    </row>
    <row r="12" spans="1:11" x14ac:dyDescent="0.25">
      <c r="B12" s="45" t="s">
        <v>34</v>
      </c>
      <c r="F12" s="19"/>
      <c r="G12" s="19"/>
      <c r="H12" s="19"/>
      <c r="K12" s="4"/>
    </row>
    <row r="13" spans="1:11" x14ac:dyDescent="0.25">
      <c r="B13" s="25" t="s">
        <v>8</v>
      </c>
      <c r="J13" s="8"/>
      <c r="K13" s="4"/>
    </row>
    <row r="14" spans="1:11" x14ac:dyDescent="0.25">
      <c r="D14" s="3" t="s">
        <v>2</v>
      </c>
      <c r="E14" s="43">
        <v>5</v>
      </c>
      <c r="J14" s="4"/>
      <c r="K14" s="4"/>
    </row>
    <row r="15" spans="1:11" x14ac:dyDescent="0.25">
      <c r="D15" s="3" t="s">
        <v>3</v>
      </c>
      <c r="E15" s="44">
        <v>225</v>
      </c>
      <c r="J15" s="4"/>
      <c r="K15" s="4"/>
    </row>
    <row r="16" spans="1:11" x14ac:dyDescent="0.25">
      <c r="D16" s="3" t="s">
        <v>49</v>
      </c>
      <c r="E16" s="26">
        <v>3000000</v>
      </c>
      <c r="F16" s="22"/>
      <c r="G16" s="22"/>
      <c r="H16" s="22"/>
      <c r="I16" s="10"/>
      <c r="J16" s="4"/>
      <c r="K16" s="4"/>
    </row>
    <row r="17" spans="2:12" x14ac:dyDescent="0.25">
      <c r="D17" s="3" t="s">
        <v>44</v>
      </c>
      <c r="E17" s="26">
        <v>100000</v>
      </c>
      <c r="F17" s="23"/>
      <c r="G17" s="23"/>
      <c r="H17" s="23"/>
      <c r="I17" s="10"/>
      <c r="J17" s="4"/>
      <c r="K17" s="4"/>
    </row>
    <row r="18" spans="2:12" x14ac:dyDescent="0.25">
      <c r="D18" s="15" t="s">
        <v>5</v>
      </c>
      <c r="E18" s="42">
        <v>30</v>
      </c>
      <c r="F18" s="21"/>
      <c r="G18" s="21"/>
      <c r="H18" s="21"/>
      <c r="J18" s="8"/>
      <c r="K18" s="4"/>
    </row>
    <row r="19" spans="2:12" x14ac:dyDescent="0.25">
      <c r="D19" s="15" t="s">
        <v>4</v>
      </c>
      <c r="E19" s="28">
        <f>E16+PV($E$56,E18,-E17)</f>
        <v>4240904.1183505859</v>
      </c>
      <c r="F19" s="27"/>
      <c r="G19" s="27"/>
      <c r="J19" s="8"/>
      <c r="K19" s="4"/>
    </row>
    <row r="20" spans="2:12" x14ac:dyDescent="0.25">
      <c r="J20" s="8"/>
      <c r="K20" s="4"/>
    </row>
    <row r="21" spans="2:12" x14ac:dyDescent="0.25">
      <c r="B21" s="2" t="s">
        <v>35</v>
      </c>
      <c r="J21" s="8"/>
      <c r="K21" s="4"/>
    </row>
    <row r="22" spans="2:12" x14ac:dyDescent="0.25">
      <c r="B22" s="25" t="s">
        <v>37</v>
      </c>
      <c r="D22" s="24"/>
      <c r="J22" s="8"/>
      <c r="K22" s="4"/>
    </row>
    <row r="23" spans="2:12" x14ac:dyDescent="0.25">
      <c r="B23" s="1"/>
      <c r="D23" s="16" t="s">
        <v>36</v>
      </c>
      <c r="E23" s="36">
        <v>25</v>
      </c>
      <c r="F23" s="36">
        <v>50</v>
      </c>
      <c r="G23" s="36">
        <v>100</v>
      </c>
      <c r="H23" s="36"/>
      <c r="J23" s="37" t="s">
        <v>18</v>
      </c>
      <c r="K23" s="4"/>
    </row>
    <row r="24" spans="2:12" x14ac:dyDescent="0.25">
      <c r="B24" s="1"/>
      <c r="D24" s="13" t="s">
        <v>48</v>
      </c>
      <c r="E24" s="47">
        <v>13.1</v>
      </c>
      <c r="F24" s="47">
        <v>13.8</v>
      </c>
      <c r="G24" s="47">
        <v>14.4</v>
      </c>
      <c r="H24" s="44"/>
      <c r="J24" s="37"/>
      <c r="K24" s="4"/>
    </row>
    <row r="25" spans="2:12" ht="18" x14ac:dyDescent="0.35">
      <c r="B25" s="1"/>
      <c r="D25" s="13" t="s">
        <v>45</v>
      </c>
      <c r="E25" s="47">
        <v>12.46875</v>
      </c>
      <c r="F25" s="47">
        <v>11.7</v>
      </c>
      <c r="G25" s="47">
        <v>10.8</v>
      </c>
      <c r="H25" s="44"/>
      <c r="J25" s="37"/>
      <c r="K25" s="4"/>
    </row>
    <row r="26" spans="2:12" ht="18" x14ac:dyDescent="0.35">
      <c r="B26" s="1"/>
      <c r="D26" s="13" t="s">
        <v>24</v>
      </c>
      <c r="E26" s="6">
        <v>30</v>
      </c>
      <c r="F26" s="6">
        <v>45</v>
      </c>
      <c r="G26" s="6">
        <v>60</v>
      </c>
      <c r="H26" s="6"/>
      <c r="J26" s="4"/>
      <c r="K26" s="4"/>
    </row>
    <row r="27" spans="2:12" ht="18" x14ac:dyDescent="0.35">
      <c r="C27" s="3"/>
      <c r="D27" s="3" t="s">
        <v>25</v>
      </c>
      <c r="E27" s="48">
        <f>IF(ISNUMBER(E23),(E24-E25)/E24,)</f>
        <v>4.8187022900763335E-2</v>
      </c>
      <c r="F27" s="48">
        <f t="shared" ref="F27:H27" si="0">IF(ISNUMBER(F23),(F24-F25)/F24,)</f>
        <v>0.15217391304347835</v>
      </c>
      <c r="G27" s="48">
        <f t="shared" si="0"/>
        <v>0.24999999999999997</v>
      </c>
      <c r="H27" s="48">
        <f t="shared" si="0"/>
        <v>0</v>
      </c>
      <c r="J27" s="4"/>
      <c r="K27" s="4"/>
    </row>
    <row r="28" spans="2:12" ht="18" x14ac:dyDescent="0.35">
      <c r="C28" s="3"/>
      <c r="D28" s="13" t="s">
        <v>46</v>
      </c>
      <c r="E28" s="47">
        <v>13.125</v>
      </c>
      <c r="F28" s="47">
        <v>12.8</v>
      </c>
      <c r="G28" s="47">
        <v>12.3</v>
      </c>
      <c r="H28" s="44"/>
      <c r="J28" s="4"/>
      <c r="K28" s="4"/>
    </row>
    <row r="29" spans="2:12" ht="18" x14ac:dyDescent="0.35">
      <c r="C29" s="3"/>
      <c r="D29" s="13" t="s">
        <v>26</v>
      </c>
      <c r="E29" s="6">
        <v>0</v>
      </c>
      <c r="F29" s="6">
        <v>35</v>
      </c>
      <c r="G29" s="6">
        <v>45</v>
      </c>
      <c r="H29" s="6"/>
      <c r="J29" s="4"/>
      <c r="K29" s="4"/>
    </row>
    <row r="30" spans="2:12" ht="18" x14ac:dyDescent="0.35">
      <c r="D30" s="3" t="s">
        <v>27</v>
      </c>
      <c r="E30" s="48">
        <f>IF(ISNUMBER(E23),(E24-E28)/E24,)</f>
        <v>-1.9083969465649127E-3</v>
      </c>
      <c r="F30" s="48">
        <f t="shared" ref="F30:H30" si="1">IF(ISNUMBER(F23),(F24-F28)/F24,)</f>
        <v>7.2463768115942032E-2</v>
      </c>
      <c r="G30" s="48">
        <f t="shared" si="1"/>
        <v>0.14583333333333331</v>
      </c>
      <c r="H30" s="48">
        <f t="shared" si="1"/>
        <v>0</v>
      </c>
      <c r="J30" s="4"/>
      <c r="K30" s="4"/>
    </row>
    <row r="31" spans="2:12" x14ac:dyDescent="0.25">
      <c r="D31" s="3" t="s">
        <v>47</v>
      </c>
      <c r="E31" s="46">
        <f t="shared" ref="E31:G31" si="2">IF(ISNUMBER(E23),(E28-E25),"-")</f>
        <v>0.65625</v>
      </c>
      <c r="F31" s="46">
        <f t="shared" si="2"/>
        <v>1.1000000000000014</v>
      </c>
      <c r="G31" s="46">
        <f t="shared" si="2"/>
        <v>1.5</v>
      </c>
      <c r="H31" s="46" t="str">
        <f>IF(ISNUMBER(H23),(H28-H25),"-")</f>
        <v>-</v>
      </c>
      <c r="J31" s="4"/>
      <c r="K31" s="4"/>
    </row>
    <row r="32" spans="2:12" x14ac:dyDescent="0.25">
      <c r="E32" s="12"/>
      <c r="F32" s="12"/>
      <c r="G32" s="12"/>
      <c r="H32" s="12"/>
      <c r="J32" s="33"/>
      <c r="K32" s="33"/>
      <c r="L32" s="19"/>
    </row>
    <row r="33" spans="2:12" x14ac:dyDescent="0.25">
      <c r="B33" s="45" t="s">
        <v>41</v>
      </c>
      <c r="E33" s="50"/>
      <c r="F33" s="50"/>
      <c r="G33" s="50"/>
      <c r="H33" s="12"/>
      <c r="J33" s="33"/>
      <c r="K33" s="33"/>
      <c r="L33" s="19"/>
    </row>
    <row r="34" spans="2:12" x14ac:dyDescent="0.25">
      <c r="B34" s="25" t="s">
        <v>9</v>
      </c>
      <c r="E34" s="12"/>
      <c r="F34" s="12"/>
      <c r="G34" s="12"/>
      <c r="H34" s="12"/>
      <c r="J34" s="33"/>
      <c r="K34" s="33"/>
      <c r="L34" s="19"/>
    </row>
    <row r="35" spans="2:12" x14ac:dyDescent="0.25">
      <c r="D35" s="16" t="s">
        <v>36</v>
      </c>
      <c r="E35" s="18">
        <f>E23</f>
        <v>25</v>
      </c>
      <c r="F35" s="18">
        <f>F23</f>
        <v>50</v>
      </c>
      <c r="G35" s="18">
        <f>G23</f>
        <v>100</v>
      </c>
      <c r="H35" s="18"/>
      <c r="J35" s="37"/>
      <c r="K35" s="33"/>
      <c r="L35" s="19"/>
    </row>
    <row r="36" spans="2:12" ht="4.9000000000000004" customHeight="1" x14ac:dyDescent="0.25">
      <c r="D36" s="16"/>
      <c r="E36" s="29"/>
      <c r="F36" s="30"/>
      <c r="G36" s="30"/>
      <c r="H36" s="31"/>
      <c r="J36" s="33"/>
      <c r="K36" s="33"/>
      <c r="L36" s="19"/>
    </row>
    <row r="37" spans="2:12" x14ac:dyDescent="0.25">
      <c r="D37" s="3" t="s">
        <v>28</v>
      </c>
      <c r="E37" s="14">
        <f>$E$9*$E$57*(E27)*$E$26</f>
        <v>11167342.557251904</v>
      </c>
      <c r="F37" s="14">
        <f>$E$9*$E$57*(F27)*$F$26</f>
        <v>52899456.521739163</v>
      </c>
      <c r="G37" s="14">
        <f>$E$9*$E$57*(G27)*$G$26</f>
        <v>115874999.99999999</v>
      </c>
      <c r="H37" s="14">
        <f>$E$9*$E$57*(H27)*$H$26</f>
        <v>0</v>
      </c>
      <c r="J37" s="32" t="s">
        <v>22</v>
      </c>
      <c r="K37" s="32"/>
      <c r="L37" s="19"/>
    </row>
    <row r="38" spans="2:12" x14ac:dyDescent="0.25">
      <c r="D38" s="3" t="s">
        <v>11</v>
      </c>
      <c r="E38" s="17">
        <f>IF(AND(ISNUMBER(E37),ISNUMBER(F37),E37&gt;0,F37&gt;0),ROUND(EXP(0.5*(LN(E37)+LN(F37)))*(1/E35-1/F35),0), IF(ISNUMBER(ROUND(EXP(0.5*(LN(E37)+LN(E37)))*(1/E35-1/9999999),0)),(ROUND(EXP(0.5*(LN(E37)+LN(E37)))*(1/E35-1/9999999),0)),0))</f>
        <v>486105</v>
      </c>
      <c r="F38" s="17">
        <f>IF(AND(ISNUMBER(F37),ISNUMBER(G37),F37&gt;0,G37&gt;0),ROUND(EXP(0.5*(LN(F37)+LN(G37)))*(1/F35-1/G35),0), IF(ISNUMBER(ROUND(EXP(0.5*(LN(F37)+LN(F37)))*(1/F35-1/9999999),0)),(ROUND(EXP(0.5*(LN(F37)+LN(F37)))*(1/F35-1/9999999),0)),0))</f>
        <v>782926</v>
      </c>
      <c r="G38" s="17">
        <f>IF(AND(ISNUMBER(G37),ISNUMBER(H37),G37&gt;0,H37&gt;0),ROUND(EXP(0.5*(LN(G37)+LN(H37)))*(1/G35-1/H35),0), IF(ISNUMBER(ROUND(EXP(0.5*(LN(G37)+LN(G37)))*(1/G35-1/9999999),0)),(ROUND(EXP(0.5*(LN(G37)+LN(G37)))*(1/G35-1/9999999),0)),0))</f>
        <v>1158738</v>
      </c>
      <c r="H38" s="17">
        <f>IF(AND(ISNUMBER(H37),ISNUMBER(I37),H37&gt;0,I37&gt;0),ROUND(EXP(0.5*(LN(H37)+LN(I37)))*(1/H35-1/I35),0), IF(ISNUMBER(ROUND(EXP(0.5*(LN(H37)+LN(H37)))*(1/H35-1/9999999),0)),(ROUND(EXP(0.5*(LN(H37)+LN(H37)))*(1/H35-1/9999999),0)),0))</f>
        <v>0</v>
      </c>
      <c r="J38" s="37" t="s">
        <v>23</v>
      </c>
      <c r="K38" s="32"/>
      <c r="L38" s="19"/>
    </row>
    <row r="39" spans="2:12" ht="4.9000000000000004" customHeight="1" x14ac:dyDescent="0.25">
      <c r="D39" s="3"/>
      <c r="E39" s="29"/>
      <c r="F39" s="30"/>
      <c r="G39" s="30"/>
      <c r="H39" s="31"/>
      <c r="J39" s="30"/>
      <c r="K39" s="32"/>
      <c r="L39" s="19"/>
    </row>
    <row r="40" spans="2:12" x14ac:dyDescent="0.25">
      <c r="D40" s="3" t="s">
        <v>29</v>
      </c>
      <c r="E40" s="14">
        <f>$E$9*$E$57*(E30)*$E$29</f>
        <v>0</v>
      </c>
      <c r="F40" s="14">
        <f>$E$9*$E$57*(F30)*$F$29</f>
        <v>19592391.304347828</v>
      </c>
      <c r="G40" s="14">
        <f>$E$9*$E$57*(G30)*$G$29</f>
        <v>50695312.499999993</v>
      </c>
      <c r="H40" s="14">
        <f>$E$9*$E$57*(H30)*$H$29</f>
        <v>0</v>
      </c>
      <c r="J40" s="32" t="s">
        <v>22</v>
      </c>
      <c r="K40" s="32"/>
      <c r="L40" s="19"/>
    </row>
    <row r="41" spans="2:12" x14ac:dyDescent="0.25">
      <c r="D41" s="3" t="s">
        <v>12</v>
      </c>
      <c r="E41" s="17">
        <f>IF(AND(ISNUMBER(E40),ISNUMBER(F40),E40&gt;0,F40&gt;0),ROUND(EXP(0.5*(LN(E40)+LN(F40)))*(1/E35-1/F35),0), IF(ISNUMBER(ROUND(EXP(0.5*(LN(E40)+LN(E40)))*(1/E35-1/9999999),0)),(ROUND(EXP(0.5*(LN(E40)+LN(E40)))*(1/E35-1/9999999),0)),0))</f>
        <v>0</v>
      </c>
      <c r="F41" s="17">
        <f t="shared" ref="F41:H41" si="3">IF(AND(ISNUMBER(F40),ISNUMBER(G40),F40&gt;0,G40&gt;0),ROUND(EXP(0.5*(LN(F40)+LN(G40)))*(1/F35-1/G35),0), IF(ISNUMBER(ROUND(EXP(0.5*(LN(F40)+LN(F40)))*(1/F35-1/9999999),0)),(ROUND(EXP(0.5*(LN(F40)+LN(F40)))*(1/F35-1/9999999),0)),0))</f>
        <v>315157</v>
      </c>
      <c r="G41" s="17">
        <f t="shared" si="3"/>
        <v>506948</v>
      </c>
      <c r="H41" s="17">
        <f t="shared" si="3"/>
        <v>0</v>
      </c>
      <c r="J41" s="37" t="s">
        <v>23</v>
      </c>
      <c r="K41" s="32"/>
      <c r="L41" s="19"/>
    </row>
    <row r="42" spans="2:12" ht="4.1500000000000004" customHeight="1" x14ac:dyDescent="0.25">
      <c r="D42" s="3"/>
      <c r="E42" s="30"/>
      <c r="F42" s="30"/>
      <c r="G42" s="30"/>
      <c r="H42" s="30"/>
      <c r="J42" s="30"/>
      <c r="K42" s="32"/>
      <c r="L42" s="19"/>
    </row>
    <row r="44" spans="2:12" x14ac:dyDescent="0.25">
      <c r="D44" s="3" t="s">
        <v>15</v>
      </c>
      <c r="E44" s="14">
        <f>SUM(E38:H38)</f>
        <v>2427769</v>
      </c>
      <c r="J44" s="37" t="s">
        <v>23</v>
      </c>
    </row>
    <row r="45" spans="2:12" x14ac:dyDescent="0.25">
      <c r="D45" s="3" t="s">
        <v>13</v>
      </c>
      <c r="E45" s="17">
        <f>PV($E$56,$E$18,-E44)</f>
        <v>30126285.505038835</v>
      </c>
      <c r="J45" s="37" t="s">
        <v>23</v>
      </c>
    </row>
    <row r="46" spans="2:12" x14ac:dyDescent="0.25">
      <c r="D46" s="3"/>
      <c r="E46" s="35"/>
      <c r="J46" s="37"/>
    </row>
    <row r="47" spans="2:12" x14ac:dyDescent="0.25">
      <c r="D47" s="3" t="s">
        <v>16</v>
      </c>
      <c r="E47" s="14">
        <f>SUM(E41:H41)</f>
        <v>822105</v>
      </c>
      <c r="J47" s="37" t="s">
        <v>23</v>
      </c>
    </row>
    <row r="48" spans="2:12" x14ac:dyDescent="0.25">
      <c r="D48" s="3" t="s">
        <v>14</v>
      </c>
      <c r="E48" s="17">
        <f>PV($E$56,$E$18,-E47)</f>
        <v>10201534.802166082</v>
      </c>
      <c r="J48" s="37" t="s">
        <v>23</v>
      </c>
    </row>
    <row r="50" spans="4:10" x14ac:dyDescent="0.25">
      <c r="D50" s="3" t="s">
        <v>32</v>
      </c>
      <c r="E50" s="14">
        <f>E45-E48</f>
        <v>19924750.702872753</v>
      </c>
      <c r="J50" s="37" t="s">
        <v>23</v>
      </c>
    </row>
    <row r="51" spans="4:10" x14ac:dyDescent="0.25">
      <c r="D51" s="3" t="s">
        <v>17</v>
      </c>
      <c r="E51" s="17">
        <f>E19</f>
        <v>4240904.1183505859</v>
      </c>
      <c r="J51" s="37" t="s">
        <v>23</v>
      </c>
    </row>
    <row r="52" spans="4:10" x14ac:dyDescent="0.25">
      <c r="D52" s="3" t="s">
        <v>19</v>
      </c>
      <c r="E52" s="17">
        <f>E50-E51</f>
        <v>15683846.584522167</v>
      </c>
      <c r="J52" s="37" t="s">
        <v>23</v>
      </c>
    </row>
    <row r="53" spans="4:10" x14ac:dyDescent="0.25">
      <c r="D53" s="15" t="s">
        <v>20</v>
      </c>
      <c r="E53" s="38">
        <f>E50/E51</f>
        <v>4.6982318267129513</v>
      </c>
      <c r="J53" s="37" t="s">
        <v>23</v>
      </c>
    </row>
    <row r="55" spans="4:10" x14ac:dyDescent="0.25">
      <c r="D55" s="15" t="s">
        <v>21</v>
      </c>
    </row>
    <row r="56" spans="4:10" x14ac:dyDescent="0.25">
      <c r="D56" s="3" t="s">
        <v>6</v>
      </c>
      <c r="E56" s="39">
        <v>7.0000000000000007E-2</v>
      </c>
      <c r="J56" s="37" t="s">
        <v>10</v>
      </c>
    </row>
    <row r="57" spans="4:10" x14ac:dyDescent="0.25">
      <c r="D57" s="3" t="s">
        <v>30</v>
      </c>
      <c r="E57" s="40">
        <v>103</v>
      </c>
      <c r="J57" s="37" t="s">
        <v>10</v>
      </c>
    </row>
  </sheetData>
  <conditionalFormatting sqref="E53">
    <cfRule type="cellIs" dxfId="3" priority="1" operator="equal">
      <formula>1</formula>
    </cfRule>
    <cfRule type="cellIs" dxfId="2" priority="2" operator="lessThan">
      <formula>1</formula>
    </cfRule>
    <cfRule type="cellIs" dxfId="1" priority="3" operator="greaterThan">
      <formula>1</formula>
    </cfRule>
    <cfRule type="expression" dxfId="0" priority="4">
      <formula>"&gt;1"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2016-02-02T17:06:06Z</dcterms:created>
  <dc:creator>Kurtz, Christopher</dc:creator>
  <lastModifiedBy>Jody Springer</lastModifiedBy>
  <dcterms:modified xsi:type="dcterms:W3CDTF">2016-03-21T16:50:00Z</dcterms:modified>
</coreProperties>
</file>