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08" yWindow="432" windowWidth="15480" windowHeight="11640" activeTab="3"/>
  </bookViews>
  <sheets>
    <sheet name="2014" sheetId="9" r:id="rId1"/>
    <sheet name="2015" sheetId="5" r:id="rId2"/>
    <sheet name="2016" sheetId="10" r:id="rId3"/>
    <sheet name="2017" sheetId="11" r:id="rId4"/>
  </sheets>
  <calcPr calcId="152511"/>
</workbook>
</file>

<file path=xl/calcChain.xml><?xml version="1.0" encoding="utf-8"?>
<calcChain xmlns="http://schemas.openxmlformats.org/spreadsheetml/2006/main">
  <c r="K13" i="11" l="1"/>
  <c r="K16" i="11"/>
  <c r="K10" i="11"/>
  <c r="F9" i="11" l="1"/>
  <c r="F28" i="11"/>
  <c r="F23" i="11"/>
  <c r="F17" i="11" l="1"/>
  <c r="F15" i="11"/>
  <c r="F14" i="11"/>
  <c r="F11" i="11"/>
  <c r="H9" i="11"/>
  <c r="K29" i="11" l="1"/>
  <c r="H29" i="11"/>
  <c r="F29" i="11"/>
  <c r="J24" i="11"/>
  <c r="H24" i="11"/>
  <c r="F24" i="11"/>
  <c r="K21" i="11"/>
  <c r="K33" i="11" s="1"/>
  <c r="J21" i="11"/>
  <c r="J33" i="11" s="1"/>
  <c r="H21" i="11"/>
  <c r="H33" i="11" s="1"/>
  <c r="E21" i="11"/>
  <c r="E33" i="11" s="1"/>
  <c r="D21" i="11"/>
  <c r="D33" i="11" s="1"/>
  <c r="B21" i="11"/>
  <c r="B33" i="11" s="1"/>
  <c r="F21" i="11"/>
  <c r="F33" i="11" l="1"/>
  <c r="M35" i="11"/>
  <c r="J21" i="10"/>
  <c r="F23" i="10"/>
  <c r="K20" i="10"/>
  <c r="F17" i="10"/>
  <c r="E21" i="10" l="1"/>
  <c r="E33" i="10" s="1"/>
  <c r="H24" i="10" l="1"/>
  <c r="D21" i="10"/>
  <c r="D33" i="10" s="1"/>
  <c r="J24" i="10" l="1"/>
  <c r="J33" i="10" s="1"/>
  <c r="K29" i="10"/>
  <c r="K21" i="10"/>
  <c r="H29" i="10"/>
  <c r="F29" i="10"/>
  <c r="F24" i="10"/>
  <c r="H21" i="10"/>
  <c r="H33" i="10" s="1"/>
  <c r="F21" i="10"/>
  <c r="B21" i="10"/>
  <c r="B33" i="10" s="1"/>
  <c r="K33" i="10" l="1"/>
  <c r="F33" i="10"/>
  <c r="M35" i="10" s="1"/>
  <c r="K20" i="5"/>
  <c r="J33" i="5"/>
  <c r="H21" i="5" l="1"/>
  <c r="F28" i="5"/>
  <c r="F14" i="5"/>
  <c r="F11" i="5"/>
  <c r="F9" i="5"/>
  <c r="C33" i="9"/>
  <c r="K31" i="9"/>
  <c r="K26" i="9"/>
  <c r="L24" i="9"/>
  <c r="L33" i="9" s="1"/>
  <c r="H24" i="9"/>
  <c r="F24" i="9"/>
  <c r="K23" i="9"/>
  <c r="K24" i="9" s="1"/>
  <c r="J23" i="9"/>
  <c r="J24" i="9" s="1"/>
  <c r="J21" i="9"/>
  <c r="J33" i="9" s="1"/>
  <c r="H21" i="9"/>
  <c r="H33" i="9" s="1"/>
  <c r="E21" i="9"/>
  <c r="E33" i="9" s="1"/>
  <c r="D21" i="9"/>
  <c r="D33" i="9" s="1"/>
  <c r="B21" i="9"/>
  <c r="B33" i="9" s="1"/>
  <c r="K20" i="9"/>
  <c r="B19" i="9"/>
  <c r="B18" i="9"/>
  <c r="K17" i="9"/>
  <c r="K16" i="9"/>
  <c r="F15" i="9"/>
  <c r="F21" i="9" s="1"/>
  <c r="K13" i="9"/>
  <c r="K21" i="9" l="1"/>
  <c r="K33" i="9" s="1"/>
  <c r="F33" i="9"/>
  <c r="M34" i="9" s="1"/>
  <c r="L24" i="5"/>
  <c r="L33" i="5" s="1"/>
  <c r="D21" i="5" l="1"/>
  <c r="D33" i="5"/>
  <c r="H24" i="5"/>
  <c r="H33" i="5" s="1"/>
  <c r="F24" i="5"/>
  <c r="K21" i="5"/>
  <c r="K33" i="5" s="1"/>
  <c r="E21" i="5"/>
  <c r="E33" i="5" s="1"/>
  <c r="B21" i="5"/>
  <c r="B33" i="5" s="1"/>
  <c r="F21" i="5"/>
  <c r="F33" i="5" s="1"/>
  <c r="M35" i="5" l="1"/>
</calcChain>
</file>

<file path=xl/sharedStrings.xml><?xml version="1.0" encoding="utf-8"?>
<sst xmlns="http://schemas.openxmlformats.org/spreadsheetml/2006/main" count="214" uniqueCount="39">
  <si>
    <t>Quality</t>
  </si>
  <si>
    <t>HMO</t>
  </si>
  <si>
    <t>PPO</t>
  </si>
  <si>
    <t>Both</t>
  </si>
  <si>
    <t>Fallon</t>
  </si>
  <si>
    <t>Aetna</t>
  </si>
  <si>
    <t>Total Commercial</t>
  </si>
  <si>
    <t>Total Managed Medicaid</t>
  </si>
  <si>
    <t>Tufts Medicare Preferred</t>
  </si>
  <si>
    <t>Commercial Medicare  Subtotal</t>
  </si>
  <si>
    <t>GRAND TOTAL</t>
  </si>
  <si>
    <t>P4P Contracts</t>
  </si>
  <si>
    <t>Risk Contracts</t>
  </si>
  <si>
    <t>FFS Arrangements</t>
  </si>
  <si>
    <t>Incentive-Based Revenue</t>
  </si>
  <si>
    <t>Incentive</t>
  </si>
  <si>
    <t>Revenue</t>
  </si>
  <si>
    <t xml:space="preserve">Other Revenue Arrangements </t>
  </si>
  <si>
    <t>Net Cap Revenue</t>
  </si>
  <si>
    <t>BCBSMA FI &amp; SI</t>
  </si>
  <si>
    <t>BCBSMA PPO</t>
  </si>
  <si>
    <t>Tufts FI</t>
  </si>
  <si>
    <t xml:space="preserve"> </t>
  </si>
  <si>
    <t>Tufts SI</t>
  </si>
  <si>
    <t>Tufts PPO (incl. CareLink)</t>
  </si>
  <si>
    <t>HPHC FI</t>
  </si>
  <si>
    <t>HPHC SI</t>
  </si>
  <si>
    <t>HPHC PPO (incl. Passport &amp; Independence)</t>
  </si>
  <si>
    <t>NHP Comm</t>
  </si>
  <si>
    <t>Medicaid FFS</t>
  </si>
  <si>
    <t>Medicare FFS</t>
  </si>
  <si>
    <t>Other Commercial (Any remaining payors not listed above - lump together)</t>
  </si>
  <si>
    <t>NHP Medicaid</t>
  </si>
  <si>
    <t>(2) Represents estimates since final calculations/settlement do not occur until October/November</t>
  </si>
  <si>
    <t xml:space="preserve">(1) Represents Net Capitation Revenue which is the total revenue earned for each of our Risk Contracts. This is consistent with last year’s filing.  </t>
  </si>
  <si>
    <t>*Does not include non-Atrius Reliant Medical Group risk contracts (consistent with 2013). Includes RMG Atrius risk contracts with BCBS FI &amp; SI and HPHC SI.</t>
  </si>
  <si>
    <t>Includes HVMA, DMA, GMG, SSMC, SMG and RMG.</t>
  </si>
  <si>
    <t>             Effective 1/1/14, all Groups were at risk for HPHC SI.</t>
  </si>
  <si>
    <t>(3) As of January 1, 2015, Atrius Health, Inc. includes only HVMA, DMA and GMG.  These entities merged to a single entity of Atrius Health, Inc. as of July 1,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</si>
</sst>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8" fontId="4" fillId="0" borderId="12" xfId="0" applyNumberFormat="1" applyFont="1" applyBorder="1" applyAlignment="1">
      <alignment horizontal="center" vertical="center" wrapText="1"/>
    </xf>
    <xf numFmtId="6" fontId="4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4" fillId="0" borderId="12" xfId="1" applyNumberFormat="1" applyFont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0" fillId="3" borderId="0" xfId="1" applyNumberFormat="1" applyFont="1" applyFill="1"/>
    <xf numFmtId="164" fontId="10" fillId="0" borderId="12" xfId="1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vertical="center" wrapText="1"/>
    </xf>
    <xf numFmtId="0" fontId="0" fillId="0" borderId="12" xfId="0" applyBorder="1"/>
    <xf numFmtId="164" fontId="1" fillId="0" borderId="0" xfId="0" applyNumberFormat="1" applyFont="1"/>
    <xf numFmtId="164" fontId="0" fillId="0" borderId="0" xfId="0" applyNumberFormat="1"/>
    <xf numFmtId="164" fontId="4" fillId="0" borderId="12" xfId="1" applyNumberFormat="1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4" fontId="0" fillId="0" borderId="19" xfId="1" applyNumberFormat="1" applyFont="1" applyBorder="1"/>
    <xf numFmtId="0" fontId="0" fillId="0" borderId="0" xfId="0" applyAlignment="1">
      <alignment vertical="center"/>
    </xf>
    <xf numFmtId="0" fontId="0" fillId="0" borderId="16" xfId="0" applyBorder="1" applyAlignment="1">
      <alignment horizontal="left"/>
    </xf>
    <xf numFmtId="164" fontId="8" fillId="0" borderId="0" xfId="1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11" xfId="1" applyNumberFormat="1" applyFont="1" applyBorder="1" applyAlignment="1">
      <alignment vertical="top" wrapText="1"/>
    </xf>
    <xf numFmtId="164" fontId="5" fillId="0" borderId="8" xfId="1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6" workbookViewId="0">
      <selection activeCell="A37" sqref="A37"/>
    </sheetView>
  </sheetViews>
  <sheetFormatPr defaultRowHeight="14.4" x14ac:dyDescent="0.3"/>
  <cols>
    <col min="2" max="2" width="13.6640625" customWidth="1"/>
    <col min="6" max="6" width="14.109375" customWidth="1"/>
    <col min="8" max="8" width="12.44140625" customWidth="1"/>
    <col min="10" max="10" width="12.33203125" customWidth="1"/>
    <col min="11" max="11" width="13.6640625" customWidth="1"/>
    <col min="13" max="13" width="17.6640625" customWidth="1"/>
  </cols>
  <sheetData>
    <row r="1" spans="1:14" ht="15.75" thickBot="1" x14ac:dyDescent="0.3">
      <c r="A1" s="2">
        <v>2014</v>
      </c>
      <c r="J1" s="16"/>
      <c r="K1" s="16"/>
    </row>
    <row r="2" spans="1:14" x14ac:dyDescent="0.3">
      <c r="A2" s="42"/>
      <c r="B2" s="45" t="s">
        <v>11</v>
      </c>
      <c r="C2" s="46"/>
      <c r="D2" s="46"/>
      <c r="E2" s="47"/>
      <c r="F2" s="45" t="s">
        <v>12</v>
      </c>
      <c r="G2" s="46"/>
      <c r="H2" s="46"/>
      <c r="I2" s="47"/>
      <c r="J2" s="54" t="s">
        <v>13</v>
      </c>
      <c r="K2" s="55"/>
      <c r="L2" s="45" t="s">
        <v>17</v>
      </c>
      <c r="M2" s="46"/>
      <c r="N2" s="47"/>
    </row>
    <row r="3" spans="1:14" x14ac:dyDescent="0.3">
      <c r="A3" s="43"/>
      <c r="B3" s="48"/>
      <c r="C3" s="49"/>
      <c r="D3" s="49"/>
      <c r="E3" s="50"/>
      <c r="F3" s="48"/>
      <c r="G3" s="49"/>
      <c r="H3" s="49"/>
      <c r="I3" s="50"/>
      <c r="J3" s="56"/>
      <c r="K3" s="57"/>
      <c r="L3" s="48"/>
      <c r="M3" s="49"/>
      <c r="N3" s="50"/>
    </row>
    <row r="4" spans="1:14" ht="15" thickBot="1" x14ac:dyDescent="0.35">
      <c r="A4" s="44"/>
      <c r="B4" s="51"/>
      <c r="C4" s="52"/>
      <c r="D4" s="52"/>
      <c r="E4" s="53"/>
      <c r="F4" s="51"/>
      <c r="G4" s="52"/>
      <c r="H4" s="52"/>
      <c r="I4" s="53"/>
      <c r="J4" s="56"/>
      <c r="K4" s="57"/>
      <c r="L4" s="48"/>
      <c r="M4" s="49"/>
      <c r="N4" s="50"/>
    </row>
    <row r="5" spans="1:14" x14ac:dyDescent="0.3">
      <c r="A5" s="43"/>
      <c r="B5" s="61" t="s">
        <v>18</v>
      </c>
      <c r="C5" s="62"/>
      <c r="D5" s="61" t="s">
        <v>14</v>
      </c>
      <c r="E5" s="62"/>
      <c r="F5" s="61" t="s">
        <v>18</v>
      </c>
      <c r="G5" s="62"/>
      <c r="H5" s="61" t="s">
        <v>0</v>
      </c>
      <c r="I5" s="62"/>
      <c r="J5" s="56"/>
      <c r="K5" s="57"/>
      <c r="L5" s="58"/>
      <c r="M5" s="59"/>
      <c r="N5" s="60"/>
    </row>
    <row r="6" spans="1:14" x14ac:dyDescent="0.3">
      <c r="A6" s="43"/>
      <c r="B6" s="61"/>
      <c r="C6" s="62"/>
      <c r="D6" s="61"/>
      <c r="E6" s="62"/>
      <c r="F6" s="61"/>
      <c r="G6" s="62"/>
      <c r="H6" s="61" t="s">
        <v>15</v>
      </c>
      <c r="I6" s="62"/>
      <c r="J6" s="65"/>
      <c r="K6" s="66"/>
      <c r="L6" s="58"/>
      <c r="M6" s="67"/>
      <c r="N6" s="60"/>
    </row>
    <row r="7" spans="1:14" ht="15" thickBot="1" x14ac:dyDescent="0.35">
      <c r="A7" s="44"/>
      <c r="B7" s="63"/>
      <c r="C7" s="64"/>
      <c r="D7" s="63"/>
      <c r="E7" s="64"/>
      <c r="F7" s="63"/>
      <c r="G7" s="64"/>
      <c r="H7" s="63" t="s">
        <v>16</v>
      </c>
      <c r="I7" s="64"/>
      <c r="J7" s="68"/>
      <c r="K7" s="69"/>
      <c r="L7" s="70"/>
      <c r="M7" s="71"/>
      <c r="N7" s="72"/>
    </row>
    <row r="8" spans="1:14" ht="16.5" thickBot="1" x14ac:dyDescent="0.3">
      <c r="A8" s="14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17" t="s">
        <v>1</v>
      </c>
      <c r="K8" s="17" t="s">
        <v>2</v>
      </c>
      <c r="L8" s="4" t="s">
        <v>1</v>
      </c>
      <c r="M8" s="4" t="s">
        <v>2</v>
      </c>
      <c r="N8" s="4" t="s">
        <v>3</v>
      </c>
    </row>
    <row r="9" spans="1:14" ht="26.25" thickBot="1" x14ac:dyDescent="0.3">
      <c r="A9" s="5" t="s">
        <v>19</v>
      </c>
      <c r="B9" s="4" t="s">
        <v>22</v>
      </c>
      <c r="C9" s="4" t="s">
        <v>22</v>
      </c>
      <c r="D9" s="4" t="s">
        <v>22</v>
      </c>
      <c r="E9" s="4" t="s">
        <v>22</v>
      </c>
      <c r="F9" s="17">
        <v>216943828</v>
      </c>
      <c r="G9" s="4" t="s">
        <v>22</v>
      </c>
      <c r="H9" s="17">
        <v>16786000</v>
      </c>
      <c r="I9" s="4" t="s">
        <v>22</v>
      </c>
      <c r="J9" s="17">
        <v>2880687</v>
      </c>
      <c r="K9" s="17" t="s">
        <v>22</v>
      </c>
      <c r="L9" s="4" t="s">
        <v>22</v>
      </c>
      <c r="M9" s="4" t="s">
        <v>22</v>
      </c>
      <c r="N9" s="4" t="s">
        <v>22</v>
      </c>
    </row>
    <row r="10" spans="1:14" ht="26.25" thickBot="1" x14ac:dyDescent="0.3">
      <c r="A10" s="5" t="s">
        <v>20</v>
      </c>
      <c r="B10" s="4"/>
      <c r="C10" s="4"/>
      <c r="D10" s="4"/>
      <c r="E10" s="4"/>
      <c r="F10" s="4"/>
      <c r="G10" s="4"/>
      <c r="H10" s="6"/>
      <c r="I10" s="4"/>
      <c r="J10" s="17"/>
      <c r="K10" s="20">
        <v>156412134</v>
      </c>
      <c r="L10" s="4"/>
      <c r="M10" s="4"/>
      <c r="N10" s="4"/>
    </row>
    <row r="11" spans="1:14" ht="15.75" thickBot="1" x14ac:dyDescent="0.3">
      <c r="A11" s="5" t="s">
        <v>21</v>
      </c>
      <c r="B11" s="4" t="s">
        <v>22</v>
      </c>
      <c r="C11" s="4" t="s">
        <v>22</v>
      </c>
      <c r="D11" s="4" t="s">
        <v>22</v>
      </c>
      <c r="E11" s="7" t="s">
        <v>22</v>
      </c>
      <c r="F11" s="17">
        <v>41976283</v>
      </c>
      <c r="G11" s="4" t="s">
        <v>22</v>
      </c>
      <c r="H11" s="17">
        <v>1500000</v>
      </c>
      <c r="I11" s="4" t="s">
        <v>22</v>
      </c>
      <c r="J11" s="17" t="s">
        <v>22</v>
      </c>
      <c r="K11" s="20" t="s">
        <v>22</v>
      </c>
      <c r="L11" s="4" t="s">
        <v>22</v>
      </c>
      <c r="M11" s="4" t="s">
        <v>22</v>
      </c>
      <c r="N11" s="4" t="s">
        <v>22</v>
      </c>
    </row>
    <row r="12" spans="1:14" ht="15.75" thickBot="1" x14ac:dyDescent="0.3">
      <c r="A12" s="5" t="s">
        <v>23</v>
      </c>
      <c r="B12" s="20">
        <v>10686733</v>
      </c>
      <c r="C12" s="4"/>
      <c r="D12" s="17">
        <v>670000</v>
      </c>
      <c r="E12" s="7"/>
      <c r="F12" s="4"/>
      <c r="G12" s="4"/>
      <c r="H12" s="4"/>
      <c r="I12" s="4"/>
      <c r="J12" s="17"/>
      <c r="K12" s="16"/>
      <c r="L12" s="4"/>
      <c r="M12" s="4"/>
      <c r="N12" s="4"/>
    </row>
    <row r="13" spans="1:14" ht="39" thickBot="1" x14ac:dyDescent="0.3">
      <c r="A13" s="5" t="s">
        <v>24</v>
      </c>
      <c r="B13" s="4"/>
      <c r="C13" s="4"/>
      <c r="D13" s="4"/>
      <c r="E13" s="7"/>
      <c r="F13" s="4"/>
      <c r="G13" s="4"/>
      <c r="H13" s="4"/>
      <c r="I13" s="4"/>
      <c r="J13" s="17"/>
      <c r="K13" s="20">
        <f>37465433+4237064</f>
        <v>41702497</v>
      </c>
      <c r="L13" s="4"/>
      <c r="M13" s="4"/>
      <c r="N13" s="4"/>
    </row>
    <row r="14" spans="1:14" ht="15.75" thickBot="1" x14ac:dyDescent="0.3">
      <c r="A14" s="5" t="s">
        <v>25</v>
      </c>
      <c r="B14" s="4"/>
      <c r="C14" s="4"/>
      <c r="D14" s="17"/>
      <c r="E14" s="4"/>
      <c r="F14" s="17">
        <v>71204840</v>
      </c>
      <c r="G14" s="4"/>
      <c r="H14" s="17">
        <v>700000</v>
      </c>
      <c r="I14" s="4"/>
      <c r="J14" s="17"/>
      <c r="K14" s="20"/>
      <c r="L14" s="4"/>
      <c r="M14" s="4"/>
      <c r="N14" s="4"/>
    </row>
    <row r="15" spans="1:14" ht="15.75" thickBot="1" x14ac:dyDescent="0.3">
      <c r="A15" s="5" t="s">
        <v>26</v>
      </c>
      <c r="B15" s="4"/>
      <c r="C15" s="4"/>
      <c r="D15" s="4"/>
      <c r="E15" s="4"/>
      <c r="F15" s="17">
        <f>75070859+3180160</f>
        <v>78251019</v>
      </c>
      <c r="G15" s="4"/>
      <c r="H15" s="17">
        <v>800000</v>
      </c>
      <c r="I15" s="4"/>
      <c r="J15" s="23"/>
      <c r="K15" s="20"/>
      <c r="L15" s="4"/>
      <c r="M15" s="4"/>
      <c r="N15" s="4"/>
    </row>
    <row r="16" spans="1:14" ht="77.25" thickBot="1" x14ac:dyDescent="0.3">
      <c r="A16" s="5" t="s">
        <v>27</v>
      </c>
      <c r="B16" s="4"/>
      <c r="C16" s="4"/>
      <c r="D16" s="4"/>
      <c r="E16" s="4"/>
      <c r="F16" s="4"/>
      <c r="G16" s="4"/>
      <c r="H16" s="4"/>
      <c r="I16" s="4"/>
      <c r="J16" s="17"/>
      <c r="K16" s="20">
        <f>66528568+3013701</f>
        <v>69542269</v>
      </c>
      <c r="L16" s="4"/>
      <c r="M16" s="4"/>
      <c r="N16" s="4"/>
    </row>
    <row r="17" spans="1:14" ht="26.25" thickBot="1" x14ac:dyDescent="0.3">
      <c r="A17" s="5" t="s">
        <v>28</v>
      </c>
      <c r="B17" s="4"/>
      <c r="C17" s="4"/>
      <c r="D17" s="17">
        <v>298000</v>
      </c>
      <c r="F17" s="17">
        <v>12926766</v>
      </c>
      <c r="G17" s="4"/>
      <c r="H17" s="4"/>
      <c r="I17" s="4"/>
      <c r="J17" s="17">
        <v>1817825</v>
      </c>
      <c r="K17" s="20">
        <f>6626640+1394455</f>
        <v>8021095</v>
      </c>
      <c r="L17" s="4"/>
      <c r="M17" s="4"/>
      <c r="N17" s="4"/>
    </row>
    <row r="18" spans="1:14" ht="15.75" thickBot="1" x14ac:dyDescent="0.3">
      <c r="A18" s="5" t="s">
        <v>4</v>
      </c>
      <c r="B18" s="20">
        <f>6013922+613127</f>
        <v>6627049</v>
      </c>
      <c r="C18" s="17"/>
      <c r="D18" s="17"/>
      <c r="E18" s="17">
        <v>300000</v>
      </c>
      <c r="F18" s="17"/>
      <c r="G18" s="4"/>
      <c r="H18" s="17"/>
      <c r="I18" s="4"/>
      <c r="J18" s="17"/>
      <c r="K18" s="16">
        <v>76842</v>
      </c>
      <c r="L18" s="4"/>
      <c r="M18" s="4"/>
      <c r="N18" s="4"/>
    </row>
    <row r="19" spans="1:14" ht="15.75" thickBot="1" x14ac:dyDescent="0.3">
      <c r="A19" s="5" t="s">
        <v>5</v>
      </c>
      <c r="B19" s="17">
        <f>22398564+1659506</f>
        <v>24058070</v>
      </c>
      <c r="C19" s="17"/>
      <c r="D19" s="17"/>
      <c r="E19" s="17">
        <v>150000</v>
      </c>
      <c r="F19" s="4"/>
      <c r="G19" s="4"/>
      <c r="H19" s="4"/>
      <c r="I19" s="4"/>
      <c r="J19" s="17"/>
      <c r="K19" s="20">
        <v>1491983</v>
      </c>
      <c r="L19" s="4"/>
      <c r="M19" s="4"/>
      <c r="N19" s="4"/>
    </row>
    <row r="20" spans="1:14" ht="115.5" thickBot="1" x14ac:dyDescent="0.3">
      <c r="A20" s="5" t="s">
        <v>31</v>
      </c>
      <c r="B20" s="4"/>
      <c r="C20" s="4"/>
      <c r="D20" s="4"/>
      <c r="E20" s="4"/>
      <c r="F20" s="4"/>
      <c r="G20" s="4"/>
      <c r="H20" s="4"/>
      <c r="I20" s="4"/>
      <c r="J20" s="17"/>
      <c r="K20" s="17">
        <f>50886286+5242206</f>
        <v>56128492</v>
      </c>
      <c r="L20" s="4"/>
      <c r="M20" s="4"/>
      <c r="N20" s="4"/>
    </row>
    <row r="21" spans="1:14" ht="39" thickBot="1" x14ac:dyDescent="0.3">
      <c r="A21" s="8" t="s">
        <v>6</v>
      </c>
      <c r="B21" s="21">
        <f>SUM(B12:B20)</f>
        <v>41371852</v>
      </c>
      <c r="C21" s="21"/>
      <c r="D21" s="21">
        <f>SUM(D12:D20)</f>
        <v>968000</v>
      </c>
      <c r="E21" s="21">
        <f>SUM(E17:E20)</f>
        <v>450000</v>
      </c>
      <c r="F21" s="21">
        <f>SUM(F9:F20)</f>
        <v>421302736</v>
      </c>
      <c r="G21" s="4"/>
      <c r="H21" s="21">
        <f>SUM(H9:H20)</f>
        <v>19786000</v>
      </c>
      <c r="I21" s="4"/>
      <c r="J21" s="17">
        <f>SUM(J9:J20)</f>
        <v>4698512</v>
      </c>
      <c r="K21" s="17">
        <f>SUM(K10:K20)</f>
        <v>333375312</v>
      </c>
      <c r="L21" s="4"/>
      <c r="M21" s="4"/>
      <c r="N21" s="4"/>
    </row>
    <row r="22" spans="1:14" ht="15.75" thickBo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8"/>
      <c r="K22" s="18"/>
      <c r="L22" s="10"/>
      <c r="M22" s="10"/>
      <c r="N22" s="10"/>
    </row>
    <row r="23" spans="1:14" ht="26.25" thickBot="1" x14ac:dyDescent="0.3">
      <c r="A23" s="5" t="s">
        <v>32</v>
      </c>
      <c r="B23" s="4"/>
      <c r="C23" s="4"/>
      <c r="D23" s="17"/>
      <c r="E23" s="25"/>
      <c r="F23" s="17">
        <v>23117341</v>
      </c>
      <c r="G23" s="4"/>
      <c r="H23" s="17">
        <v>1000000</v>
      </c>
      <c r="I23" s="4"/>
      <c r="J23" s="17">
        <f>897722</f>
        <v>897722</v>
      </c>
      <c r="K23" s="20">
        <f>168219+438150+1888257</f>
        <v>2494626</v>
      </c>
      <c r="L23" s="17">
        <v>864348</v>
      </c>
      <c r="M23" s="4"/>
      <c r="N23" s="4"/>
    </row>
    <row r="24" spans="1:14" ht="39" thickBot="1" x14ac:dyDescent="0.3">
      <c r="A24" s="8" t="s">
        <v>7</v>
      </c>
      <c r="B24" s="4"/>
      <c r="C24" s="4"/>
      <c r="D24" s="21"/>
      <c r="F24" s="21">
        <f>F23</f>
        <v>23117341</v>
      </c>
      <c r="G24" s="4"/>
      <c r="H24" s="21">
        <f>H23</f>
        <v>1000000</v>
      </c>
      <c r="I24" s="4"/>
      <c r="J24" s="17">
        <f>J23</f>
        <v>897722</v>
      </c>
      <c r="K24" s="20">
        <f>K23</f>
        <v>2494626</v>
      </c>
      <c r="L24" s="21">
        <f>L23</f>
        <v>864348</v>
      </c>
      <c r="M24" s="4"/>
      <c r="N24" s="4"/>
    </row>
    <row r="25" spans="1:14" ht="15.75" thickBot="1" x14ac:dyDescent="0.3">
      <c r="A25" s="9"/>
      <c r="B25" s="10"/>
      <c r="C25" s="10"/>
      <c r="D25" s="10"/>
      <c r="E25" s="10"/>
      <c r="F25" s="10"/>
      <c r="G25" s="10"/>
      <c r="H25" s="10"/>
      <c r="I25" s="10"/>
      <c r="J25" s="18"/>
      <c r="K25" s="18"/>
      <c r="L25" s="10"/>
      <c r="M25" s="10"/>
      <c r="N25" s="10"/>
    </row>
    <row r="26" spans="1:14" ht="26.25" thickBot="1" x14ac:dyDescent="0.3">
      <c r="A26" s="8" t="s">
        <v>29</v>
      </c>
      <c r="B26" s="4"/>
      <c r="C26" s="4"/>
      <c r="D26" s="4"/>
      <c r="E26" s="4"/>
      <c r="F26" s="4"/>
      <c r="G26" s="4"/>
      <c r="H26" s="4"/>
      <c r="I26" s="4"/>
      <c r="J26" s="17"/>
      <c r="K26" s="20">
        <f>13158047+501529</f>
        <v>13659576</v>
      </c>
      <c r="L26" s="4"/>
      <c r="M26" s="4"/>
      <c r="N26" s="4"/>
    </row>
    <row r="27" spans="1:14" ht="15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8"/>
      <c r="K27" s="18"/>
      <c r="L27" s="10"/>
      <c r="M27" s="10"/>
      <c r="N27" s="10"/>
    </row>
    <row r="28" spans="1:14" ht="39" thickBot="1" x14ac:dyDescent="0.3">
      <c r="A28" s="5" t="s">
        <v>8</v>
      </c>
      <c r="B28" s="4"/>
      <c r="C28" s="4"/>
      <c r="D28" s="4"/>
      <c r="E28" s="4"/>
      <c r="F28" s="17">
        <v>83985625</v>
      </c>
      <c r="G28" s="4"/>
      <c r="H28" s="17">
        <v>490000</v>
      </c>
      <c r="I28" s="4"/>
      <c r="J28" s="17"/>
      <c r="K28" s="20"/>
      <c r="L28" s="4"/>
      <c r="M28" s="4"/>
      <c r="N28" s="4"/>
    </row>
    <row r="29" spans="1:14" ht="51.75" thickBot="1" x14ac:dyDescent="0.3">
      <c r="A29" s="8" t="s">
        <v>9</v>
      </c>
      <c r="B29" s="3"/>
      <c r="C29" s="3"/>
      <c r="D29" s="3"/>
      <c r="E29" s="3"/>
      <c r="F29" s="3"/>
      <c r="G29" s="3"/>
      <c r="H29" s="3"/>
      <c r="I29" s="3"/>
      <c r="J29" s="17"/>
      <c r="K29" s="20"/>
      <c r="L29" s="3"/>
      <c r="M29" s="3"/>
      <c r="N29" s="3"/>
    </row>
    <row r="30" spans="1:14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8"/>
      <c r="K30" s="18"/>
      <c r="L30" s="12"/>
      <c r="M30" s="12"/>
      <c r="N30" s="12"/>
    </row>
    <row r="31" spans="1:14" ht="26.25" thickBot="1" x14ac:dyDescent="0.3">
      <c r="A31" s="8" t="s">
        <v>30</v>
      </c>
      <c r="B31" s="3"/>
      <c r="C31" s="3"/>
      <c r="D31" s="3"/>
      <c r="E31" s="3"/>
      <c r="F31" s="3"/>
      <c r="G31" s="3"/>
      <c r="H31" s="3"/>
      <c r="I31" s="3"/>
      <c r="J31" s="17"/>
      <c r="K31" s="20">
        <f>69950599+4631876</f>
        <v>74582475</v>
      </c>
      <c r="L31" s="3"/>
      <c r="M31" s="3"/>
      <c r="N31" s="3"/>
    </row>
    <row r="32" spans="1:14" ht="15.75" thickBot="1" x14ac:dyDescent="0.3">
      <c r="A32" s="9"/>
      <c r="B32" s="12"/>
      <c r="C32" s="12"/>
      <c r="D32" s="12"/>
      <c r="E32" s="12"/>
      <c r="F32" s="12"/>
      <c r="G32" s="12"/>
      <c r="H32" s="12"/>
      <c r="I32" s="12"/>
      <c r="J32" s="18"/>
      <c r="K32" s="22"/>
      <c r="L32" s="12"/>
      <c r="M32" s="12"/>
      <c r="N32" s="12"/>
    </row>
    <row r="33" spans="1:14" ht="26.25" thickBot="1" x14ac:dyDescent="0.3">
      <c r="A33" s="13" t="s">
        <v>10</v>
      </c>
      <c r="B33" s="24">
        <f>B21</f>
        <v>41371852</v>
      </c>
      <c r="C33" s="24">
        <f>C21</f>
        <v>0</v>
      </c>
      <c r="D33" s="24">
        <f>D21+D24</f>
        <v>968000</v>
      </c>
      <c r="E33" s="24">
        <f>E21</f>
        <v>450000</v>
      </c>
      <c r="F33" s="24">
        <f>F21+F24+F28</f>
        <v>528405702</v>
      </c>
      <c r="G33" s="3"/>
      <c r="H33" s="24">
        <f>H21+H28</f>
        <v>20276000</v>
      </c>
      <c r="I33" s="3"/>
      <c r="J33" s="17">
        <f>J21+J24</f>
        <v>5596234</v>
      </c>
      <c r="K33" s="20">
        <f>K21+K24+K26+K28+K31</f>
        <v>424111989</v>
      </c>
      <c r="L33" s="21">
        <f>L24</f>
        <v>864348</v>
      </c>
      <c r="M33" s="3"/>
      <c r="N33" s="3"/>
    </row>
    <row r="34" spans="1:14" ht="15" x14ac:dyDescent="0.25">
      <c r="A34" s="1"/>
      <c r="J34" s="16"/>
      <c r="K34" s="16"/>
      <c r="M34" s="26">
        <f>SUM(B33:P33)</f>
        <v>1022044125</v>
      </c>
    </row>
    <row r="35" spans="1:14" ht="15" x14ac:dyDescent="0.25">
      <c r="A35" s="19" t="s">
        <v>35</v>
      </c>
      <c r="J35" s="16"/>
      <c r="K35" s="16"/>
    </row>
    <row r="36" spans="1:14" ht="15" x14ac:dyDescent="0.25">
      <c r="A36" s="39" t="s">
        <v>36</v>
      </c>
      <c r="B36" s="29"/>
      <c r="C36" s="29"/>
      <c r="D36" s="29"/>
      <c r="E36" s="29"/>
      <c r="F36" s="29"/>
      <c r="G36" s="29"/>
      <c r="H36" s="29"/>
      <c r="I36" s="29"/>
      <c r="J36" s="37"/>
      <c r="K36" s="37"/>
      <c r="L36" s="29"/>
      <c r="M36" s="29"/>
      <c r="N36" s="30"/>
    </row>
    <row r="37" spans="1:14" x14ac:dyDescent="0.3">
      <c r="A37" s="39" t="s">
        <v>37</v>
      </c>
      <c r="B37" s="34"/>
      <c r="C37" s="34"/>
      <c r="D37" s="34"/>
      <c r="E37" s="34"/>
      <c r="F37" s="34"/>
      <c r="G37" s="34"/>
      <c r="H37" s="34"/>
      <c r="I37" s="34"/>
      <c r="J37" s="38"/>
      <c r="K37" s="38"/>
      <c r="L37" s="34"/>
      <c r="M37" s="34"/>
      <c r="N37" s="35"/>
    </row>
  </sheetData>
  <mergeCells count="18">
    <mergeCell ref="J5:K5"/>
    <mergeCell ref="L5:N5"/>
    <mergeCell ref="H6:I6"/>
    <mergeCell ref="A5:A7"/>
    <mergeCell ref="B5:C7"/>
    <mergeCell ref="D5:E7"/>
    <mergeCell ref="F5:G7"/>
    <mergeCell ref="H5:I5"/>
    <mergeCell ref="J6:K6"/>
    <mergeCell ref="L6:N6"/>
    <mergeCell ref="H7:I7"/>
    <mergeCell ref="J7:K7"/>
    <mergeCell ref="L7:N7"/>
    <mergeCell ref="A2:A4"/>
    <mergeCell ref="B2:E4"/>
    <mergeCell ref="F2:I4"/>
    <mergeCell ref="J2:K4"/>
    <mergeCell ref="L2:N4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8" workbookViewId="0">
      <selection activeCell="A38" sqref="A38"/>
    </sheetView>
  </sheetViews>
  <sheetFormatPr defaultRowHeight="14.4" x14ac:dyDescent="0.3"/>
  <cols>
    <col min="1" max="1" width="14.33203125" style="1" customWidth="1"/>
    <col min="2" max="2" width="13.33203125" customWidth="1"/>
    <col min="3" max="3" width="13.33203125" bestFit="1" customWidth="1"/>
    <col min="4" max="4" width="11.6640625" bestFit="1" customWidth="1"/>
    <col min="5" max="5" width="13.33203125" bestFit="1" customWidth="1"/>
    <col min="6" max="6" width="15.33203125" customWidth="1"/>
    <col min="8" max="8" width="14.33203125" bestFit="1" customWidth="1"/>
    <col min="10" max="10" width="11.6640625" style="16" bestFit="1" customWidth="1"/>
    <col min="11" max="11" width="13.33203125" style="16" bestFit="1" customWidth="1"/>
    <col min="12" max="12" width="14.33203125" bestFit="1" customWidth="1"/>
    <col min="13" max="13" width="15.6640625" customWidth="1"/>
    <col min="16" max="16" width="13.6640625" bestFit="1" customWidth="1"/>
    <col min="17" max="17" width="20.44140625" customWidth="1"/>
  </cols>
  <sheetData>
    <row r="1" spans="1:14" ht="15.75" thickBot="1" x14ac:dyDescent="0.3">
      <c r="A1" s="2">
        <v>2015</v>
      </c>
    </row>
    <row r="2" spans="1:14" x14ac:dyDescent="0.3">
      <c r="A2" s="42"/>
      <c r="B2" s="45" t="s">
        <v>11</v>
      </c>
      <c r="C2" s="46"/>
      <c r="D2" s="46"/>
      <c r="E2" s="47"/>
      <c r="F2" s="45" t="s">
        <v>12</v>
      </c>
      <c r="G2" s="46"/>
      <c r="H2" s="46"/>
      <c r="I2" s="47"/>
      <c r="J2" s="54" t="s">
        <v>13</v>
      </c>
      <c r="K2" s="55"/>
      <c r="L2" s="45" t="s">
        <v>17</v>
      </c>
      <c r="M2" s="46"/>
      <c r="N2" s="47"/>
    </row>
    <row r="3" spans="1:14" x14ac:dyDescent="0.3">
      <c r="A3" s="43"/>
      <c r="B3" s="48"/>
      <c r="C3" s="49"/>
      <c r="D3" s="49"/>
      <c r="E3" s="50"/>
      <c r="F3" s="48"/>
      <c r="G3" s="49"/>
      <c r="H3" s="49"/>
      <c r="I3" s="50"/>
      <c r="J3" s="56"/>
      <c r="K3" s="57"/>
      <c r="L3" s="48"/>
      <c r="M3" s="49"/>
      <c r="N3" s="50"/>
    </row>
    <row r="4" spans="1:14" ht="14.25" customHeight="1" thickBot="1" x14ac:dyDescent="0.35">
      <c r="A4" s="44"/>
      <c r="B4" s="51"/>
      <c r="C4" s="52"/>
      <c r="D4" s="52"/>
      <c r="E4" s="53"/>
      <c r="F4" s="51"/>
      <c r="G4" s="52"/>
      <c r="H4" s="52"/>
      <c r="I4" s="53"/>
      <c r="J4" s="56"/>
      <c r="K4" s="57"/>
      <c r="L4" s="48"/>
      <c r="M4" s="49"/>
      <c r="N4" s="50"/>
    </row>
    <row r="5" spans="1:14" ht="15" customHeight="1" x14ac:dyDescent="0.3">
      <c r="A5" s="43"/>
      <c r="B5" s="61" t="s">
        <v>18</v>
      </c>
      <c r="C5" s="62"/>
      <c r="D5" s="61" t="s">
        <v>14</v>
      </c>
      <c r="E5" s="62"/>
      <c r="F5" s="61" t="s">
        <v>18</v>
      </c>
      <c r="G5" s="62"/>
      <c r="H5" s="61" t="s">
        <v>0</v>
      </c>
      <c r="I5" s="62"/>
      <c r="J5" s="56"/>
      <c r="K5" s="57"/>
      <c r="L5" s="58"/>
      <c r="M5" s="59"/>
      <c r="N5" s="60"/>
    </row>
    <row r="6" spans="1:14" ht="15" customHeight="1" x14ac:dyDescent="0.3">
      <c r="A6" s="43"/>
      <c r="B6" s="61"/>
      <c r="C6" s="62"/>
      <c r="D6" s="61"/>
      <c r="E6" s="62"/>
      <c r="F6" s="61"/>
      <c r="G6" s="62"/>
      <c r="H6" s="61" t="s">
        <v>15</v>
      </c>
      <c r="I6" s="62"/>
      <c r="J6" s="65"/>
      <c r="K6" s="66"/>
      <c r="L6" s="58"/>
      <c r="M6" s="67"/>
      <c r="N6" s="60"/>
    </row>
    <row r="7" spans="1:14" ht="15" thickBot="1" x14ac:dyDescent="0.35">
      <c r="A7" s="44"/>
      <c r="B7" s="63"/>
      <c r="C7" s="64"/>
      <c r="D7" s="63"/>
      <c r="E7" s="64"/>
      <c r="F7" s="63"/>
      <c r="G7" s="64"/>
      <c r="H7" s="63" t="s">
        <v>16</v>
      </c>
      <c r="I7" s="64"/>
      <c r="J7" s="68"/>
      <c r="K7" s="69"/>
      <c r="L7" s="70"/>
      <c r="M7" s="71"/>
      <c r="N7" s="72"/>
    </row>
    <row r="8" spans="1:14" s="15" customFormat="1" ht="16.5" thickBot="1" x14ac:dyDescent="0.3">
      <c r="A8" s="14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17" t="s">
        <v>1</v>
      </c>
      <c r="K8" s="17" t="s">
        <v>2</v>
      </c>
      <c r="L8" s="4" t="s">
        <v>1</v>
      </c>
      <c r="M8" s="4" t="s">
        <v>2</v>
      </c>
      <c r="N8" s="4" t="s">
        <v>3</v>
      </c>
    </row>
    <row r="9" spans="1:14" ht="15.75" thickBot="1" x14ac:dyDescent="0.3">
      <c r="A9" s="5" t="s">
        <v>19</v>
      </c>
      <c r="B9" s="4" t="s">
        <v>22</v>
      </c>
      <c r="C9" s="4" t="s">
        <v>22</v>
      </c>
      <c r="D9" s="4" t="s">
        <v>22</v>
      </c>
      <c r="E9" s="4" t="s">
        <v>22</v>
      </c>
      <c r="F9" s="17">
        <f>(198337431-141569600)+(130640721-91599914)</f>
        <v>95808638</v>
      </c>
      <c r="G9" s="4"/>
      <c r="H9" s="17">
        <v>9594587</v>
      </c>
      <c r="I9" s="4"/>
      <c r="J9" s="17"/>
      <c r="K9" s="17"/>
      <c r="L9" s="4" t="s">
        <v>22</v>
      </c>
      <c r="M9" s="4" t="s">
        <v>22</v>
      </c>
      <c r="N9" s="4" t="s">
        <v>22</v>
      </c>
    </row>
    <row r="10" spans="1:14" ht="15.75" thickBot="1" x14ac:dyDescent="0.3">
      <c r="A10" s="5" t="s">
        <v>20</v>
      </c>
      <c r="B10" s="4"/>
      <c r="C10" s="4"/>
      <c r="D10" s="4"/>
      <c r="E10" s="4"/>
      <c r="F10" s="4"/>
      <c r="G10" s="4"/>
      <c r="H10" s="6"/>
      <c r="I10" s="4"/>
      <c r="J10" s="17"/>
      <c r="K10" s="20">
        <v>123387515</v>
      </c>
      <c r="L10" s="4"/>
      <c r="M10" s="4"/>
      <c r="N10" s="4"/>
    </row>
    <row r="11" spans="1:14" ht="15.75" thickBot="1" x14ac:dyDescent="0.3">
      <c r="A11" s="5" t="s">
        <v>21</v>
      </c>
      <c r="B11" s="4" t="s">
        <v>22</v>
      </c>
      <c r="C11" s="4"/>
      <c r="D11" s="4"/>
      <c r="E11" s="7"/>
      <c r="F11" s="17">
        <f>69993849-46772911</f>
        <v>23220938</v>
      </c>
      <c r="G11" s="4"/>
      <c r="H11" s="17">
        <v>1372391</v>
      </c>
      <c r="I11" s="4"/>
      <c r="J11" s="17"/>
      <c r="K11" s="20"/>
      <c r="L11" s="4"/>
      <c r="M11" s="4"/>
      <c r="N11" s="4" t="s">
        <v>22</v>
      </c>
    </row>
    <row r="12" spans="1:14" ht="15.75" thickBot="1" x14ac:dyDescent="0.3">
      <c r="A12" s="5" t="s">
        <v>23</v>
      </c>
      <c r="B12" s="20">
        <v>11580139</v>
      </c>
      <c r="C12" s="4"/>
      <c r="D12" s="17">
        <v>719502</v>
      </c>
      <c r="E12" s="7"/>
      <c r="F12" s="4"/>
      <c r="G12" s="4"/>
      <c r="H12" s="4"/>
      <c r="I12" s="4"/>
      <c r="J12" s="17"/>
      <c r="L12" s="4"/>
      <c r="M12" s="4"/>
      <c r="N12" s="4"/>
    </row>
    <row r="13" spans="1:14" ht="26.25" thickBot="1" x14ac:dyDescent="0.3">
      <c r="A13" s="5" t="s">
        <v>24</v>
      </c>
      <c r="B13" s="4"/>
      <c r="C13" s="4"/>
      <c r="D13" s="4"/>
      <c r="E13" s="7"/>
      <c r="F13" s="4"/>
      <c r="G13" s="4"/>
      <c r="H13" s="4"/>
      <c r="I13" s="4"/>
      <c r="J13" s="17"/>
      <c r="K13" s="20">
        <v>30713016</v>
      </c>
      <c r="L13" s="4"/>
      <c r="M13" s="4"/>
      <c r="N13" s="4"/>
    </row>
    <row r="14" spans="1:14" ht="15.75" thickBot="1" x14ac:dyDescent="0.3">
      <c r="A14" s="5" t="s">
        <v>25</v>
      </c>
      <c r="B14" s="4"/>
      <c r="C14" s="4"/>
      <c r="D14" s="17"/>
      <c r="E14" s="4"/>
      <c r="F14" s="17">
        <f>115668038-75703708</f>
        <v>39964330</v>
      </c>
      <c r="G14" s="4"/>
      <c r="H14" s="17">
        <v>471232</v>
      </c>
      <c r="I14" s="4"/>
      <c r="J14" s="17"/>
      <c r="K14" s="20"/>
      <c r="L14" s="4"/>
      <c r="M14" s="4"/>
      <c r="N14" s="4"/>
    </row>
    <row r="15" spans="1:14" ht="15.75" thickBot="1" x14ac:dyDescent="0.3">
      <c r="A15" s="5" t="s">
        <v>26</v>
      </c>
      <c r="B15" s="4"/>
      <c r="C15" s="4"/>
      <c r="D15" s="4"/>
      <c r="E15" s="4"/>
      <c r="F15" s="17">
        <v>71595067</v>
      </c>
      <c r="G15" s="4"/>
      <c r="H15" s="17">
        <v>2071886</v>
      </c>
      <c r="I15" s="4"/>
      <c r="J15" s="23"/>
      <c r="K15" s="20"/>
      <c r="L15" s="4"/>
      <c r="M15" s="4"/>
      <c r="N15" s="4"/>
    </row>
    <row r="16" spans="1:14" ht="39" thickBot="1" x14ac:dyDescent="0.3">
      <c r="A16" s="5" t="s">
        <v>27</v>
      </c>
      <c r="B16" s="4"/>
      <c r="C16" s="4"/>
      <c r="D16" s="4"/>
      <c r="E16" s="4"/>
      <c r="F16" s="4"/>
      <c r="G16" s="4"/>
      <c r="H16" s="4"/>
      <c r="I16" s="4"/>
      <c r="J16" s="17"/>
      <c r="K16" s="20">
        <v>53462881</v>
      </c>
      <c r="L16" s="4"/>
      <c r="M16" s="4"/>
      <c r="N16" s="4"/>
    </row>
    <row r="17" spans="1:16" ht="15.75" thickBot="1" x14ac:dyDescent="0.3">
      <c r="A17" s="5" t="s">
        <v>28</v>
      </c>
      <c r="B17" s="4"/>
      <c r="C17" s="4"/>
      <c r="D17" s="17">
        <v>517000</v>
      </c>
      <c r="F17" s="17">
        <v>12001990</v>
      </c>
      <c r="G17" s="4"/>
      <c r="H17" s="4"/>
      <c r="I17" s="4"/>
      <c r="J17" s="17">
        <v>3112348</v>
      </c>
      <c r="K17" s="20"/>
      <c r="L17" s="4"/>
      <c r="M17" s="4"/>
      <c r="N17" s="4"/>
      <c r="P17" s="27"/>
    </row>
    <row r="18" spans="1:16" ht="15.75" thickBot="1" x14ac:dyDescent="0.3">
      <c r="A18" s="5" t="s">
        <v>4</v>
      </c>
      <c r="B18" s="20">
        <v>3319424</v>
      </c>
      <c r="C18" s="17"/>
      <c r="D18" s="17"/>
      <c r="E18" s="17">
        <v>135975</v>
      </c>
      <c r="F18" s="17"/>
      <c r="G18" s="4"/>
      <c r="H18" s="17"/>
      <c r="I18" s="4"/>
      <c r="J18" s="17"/>
      <c r="L18" s="4"/>
      <c r="M18" s="4"/>
      <c r="N18" s="4"/>
    </row>
    <row r="19" spans="1:16" ht="15.75" thickBot="1" x14ac:dyDescent="0.3">
      <c r="A19" s="5" t="s">
        <v>5</v>
      </c>
      <c r="B19" s="17">
        <v>18922602</v>
      </c>
      <c r="C19" s="17"/>
      <c r="D19" s="17"/>
      <c r="E19" s="17">
        <v>150000</v>
      </c>
      <c r="F19" s="4"/>
      <c r="G19" s="4"/>
      <c r="H19" s="4"/>
      <c r="I19" s="4"/>
      <c r="J19" s="17"/>
      <c r="K19" s="20"/>
      <c r="L19" s="4"/>
      <c r="M19" s="4"/>
      <c r="N19" s="4"/>
    </row>
    <row r="20" spans="1:16" ht="77.25" thickBot="1" x14ac:dyDescent="0.3">
      <c r="A20" s="5" t="s">
        <v>31</v>
      </c>
      <c r="B20" s="4"/>
      <c r="C20" s="4"/>
      <c r="D20" s="4"/>
      <c r="E20" s="4"/>
      <c r="F20" s="4"/>
      <c r="G20" s="4"/>
      <c r="H20" s="4"/>
      <c r="I20" s="4"/>
      <c r="J20" s="17"/>
      <c r="K20" s="17">
        <f>35361355-5919288</f>
        <v>29442067</v>
      </c>
      <c r="L20" s="4"/>
      <c r="M20" s="4"/>
      <c r="N20" s="4"/>
    </row>
    <row r="21" spans="1:16" ht="28.5" customHeight="1" thickBot="1" x14ac:dyDescent="0.3">
      <c r="A21" s="8" t="s">
        <v>6</v>
      </c>
      <c r="B21" s="21">
        <f>SUM(B9:B20)</f>
        <v>33822165</v>
      </c>
      <c r="C21" s="21"/>
      <c r="D21" s="21">
        <f>SUM(D9:D20)</f>
        <v>1236502</v>
      </c>
      <c r="E21" s="21">
        <f>SUM(E9:E20)</f>
        <v>285975</v>
      </c>
      <c r="F21" s="21">
        <f>SUM(F9:F20)</f>
        <v>242590963</v>
      </c>
      <c r="G21" s="4"/>
      <c r="H21" s="21">
        <f>SUM(H9:H20)</f>
        <v>13510096</v>
      </c>
      <c r="I21" s="4"/>
      <c r="J21" s="17"/>
      <c r="K21" s="17">
        <f>SUM(K9:K20)</f>
        <v>237005479</v>
      </c>
      <c r="L21" s="4"/>
      <c r="M21" s="4"/>
      <c r="N21" s="4"/>
    </row>
    <row r="22" spans="1:16" ht="15.75" thickBo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8"/>
      <c r="K22" s="18"/>
      <c r="L22" s="10"/>
      <c r="M22" s="10"/>
      <c r="N22" s="10"/>
    </row>
    <row r="23" spans="1:16" ht="15.75" thickBot="1" x14ac:dyDescent="0.3">
      <c r="A23" s="5" t="s">
        <v>32</v>
      </c>
      <c r="B23" s="4"/>
      <c r="C23" s="4"/>
      <c r="D23" s="17"/>
      <c r="E23" s="25"/>
      <c r="F23" s="17">
        <v>24916824</v>
      </c>
      <c r="G23" s="4"/>
      <c r="H23" s="17">
        <v>1000000</v>
      </c>
      <c r="I23" s="4"/>
      <c r="J23" s="17">
        <v>5919288</v>
      </c>
      <c r="K23" s="20"/>
      <c r="L23" s="17">
        <v>298432</v>
      </c>
      <c r="M23" s="4"/>
      <c r="N23" s="4"/>
    </row>
    <row r="24" spans="1:16" ht="26.25" thickBot="1" x14ac:dyDescent="0.3">
      <c r="A24" s="8" t="s">
        <v>7</v>
      </c>
      <c r="B24" s="4"/>
      <c r="C24" s="4"/>
      <c r="D24" s="21"/>
      <c r="F24" s="21">
        <f>F23</f>
        <v>24916824</v>
      </c>
      <c r="G24" s="4"/>
      <c r="H24" s="21">
        <f>H23</f>
        <v>1000000</v>
      </c>
      <c r="I24" s="4"/>
      <c r="J24" s="17"/>
      <c r="K24" s="20"/>
      <c r="L24" s="21">
        <f>L23</f>
        <v>298432</v>
      </c>
      <c r="M24" s="4"/>
      <c r="N24" s="4"/>
    </row>
    <row r="25" spans="1:16" ht="15.75" thickBot="1" x14ac:dyDescent="0.3">
      <c r="A25" s="9"/>
      <c r="B25" s="10"/>
      <c r="C25" s="10"/>
      <c r="D25" s="10"/>
      <c r="E25" s="10"/>
      <c r="F25" s="10"/>
      <c r="G25" s="10"/>
      <c r="H25" s="10"/>
      <c r="I25" s="10"/>
      <c r="J25" s="18"/>
      <c r="K25" s="18"/>
      <c r="L25" s="10"/>
      <c r="M25" s="10"/>
      <c r="N25" s="10"/>
    </row>
    <row r="26" spans="1:16" ht="15.75" thickBot="1" x14ac:dyDescent="0.3">
      <c r="A26" s="8" t="s">
        <v>29</v>
      </c>
      <c r="B26" s="4"/>
      <c r="C26" s="4"/>
      <c r="D26" s="4"/>
      <c r="E26" s="4"/>
      <c r="F26" s="4"/>
      <c r="G26" s="4"/>
      <c r="H26" s="4"/>
      <c r="I26" s="4"/>
      <c r="J26" s="17"/>
      <c r="K26" s="20">
        <v>2392156</v>
      </c>
      <c r="L26" s="4"/>
      <c r="M26" s="4"/>
      <c r="N26" s="4"/>
    </row>
    <row r="27" spans="1:16" ht="15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8"/>
      <c r="K27" s="18"/>
      <c r="L27" s="10"/>
      <c r="M27" s="10"/>
      <c r="N27" s="10"/>
    </row>
    <row r="28" spans="1:16" ht="26.25" thickBot="1" x14ac:dyDescent="0.3">
      <c r="A28" s="5" t="s">
        <v>8</v>
      </c>
      <c r="B28" s="4"/>
      <c r="C28" s="4"/>
      <c r="D28" s="4"/>
      <c r="E28" s="4"/>
      <c r="F28" s="17">
        <f>217166813-165277671</f>
        <v>51889142</v>
      </c>
      <c r="G28" s="4"/>
      <c r="H28" s="17">
        <v>505314</v>
      </c>
      <c r="I28" s="4"/>
      <c r="J28" s="17"/>
      <c r="K28" s="20">
        <v>1447360</v>
      </c>
      <c r="L28" s="4"/>
      <c r="M28" s="4"/>
      <c r="N28" s="4"/>
    </row>
    <row r="29" spans="1:16" ht="39" thickBot="1" x14ac:dyDescent="0.3">
      <c r="A29" s="8" t="s">
        <v>9</v>
      </c>
      <c r="B29" s="3"/>
      <c r="C29" s="3"/>
      <c r="D29" s="3"/>
      <c r="E29" s="3"/>
      <c r="F29" s="24"/>
      <c r="G29" s="3"/>
      <c r="H29" s="3"/>
      <c r="I29" s="3"/>
      <c r="J29" s="17"/>
      <c r="K29" s="20"/>
      <c r="L29" s="3"/>
      <c r="M29" s="3"/>
      <c r="N29" s="3"/>
    </row>
    <row r="30" spans="1:16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8"/>
      <c r="K30" s="18"/>
      <c r="L30" s="12"/>
      <c r="M30" s="12"/>
      <c r="N30" s="12"/>
    </row>
    <row r="31" spans="1:16" ht="15.75" thickBot="1" x14ac:dyDescent="0.3">
      <c r="A31" s="8" t="s">
        <v>30</v>
      </c>
      <c r="B31" s="3"/>
      <c r="C31" s="3"/>
      <c r="D31" s="3"/>
      <c r="E31" s="3"/>
      <c r="F31" s="3"/>
      <c r="G31" s="3"/>
      <c r="H31" s="3"/>
      <c r="I31" s="3"/>
      <c r="J31" s="17"/>
      <c r="K31" s="20">
        <v>60825350</v>
      </c>
      <c r="L31" s="28"/>
      <c r="M31" s="3"/>
      <c r="N31" s="3"/>
    </row>
    <row r="32" spans="1:16" ht="15.75" thickBot="1" x14ac:dyDescent="0.3">
      <c r="A32" s="9"/>
      <c r="B32" s="12"/>
      <c r="C32" s="12"/>
      <c r="D32" s="12"/>
      <c r="E32" s="12"/>
      <c r="F32" s="12"/>
      <c r="G32" s="12"/>
      <c r="H32" s="12"/>
      <c r="I32" s="12"/>
      <c r="J32" s="18"/>
      <c r="K32" s="22"/>
      <c r="L32" s="12"/>
      <c r="M32" s="12"/>
      <c r="N32" s="12"/>
    </row>
    <row r="33" spans="1:14" ht="15.75" thickBot="1" x14ac:dyDescent="0.3">
      <c r="A33" s="13" t="s">
        <v>10</v>
      </c>
      <c r="B33" s="24">
        <f>B21+B23+B26+B28+B31</f>
        <v>33822165</v>
      </c>
      <c r="C33" s="24"/>
      <c r="D33" s="24">
        <f>D21+D23+D26+D28+D31</f>
        <v>1236502</v>
      </c>
      <c r="E33" s="24">
        <f>E21+E24+E26+E28+E31</f>
        <v>285975</v>
      </c>
      <c r="F33" s="24">
        <f>F21+F24+F26+F28+F31</f>
        <v>319396929</v>
      </c>
      <c r="G33" s="3"/>
      <c r="H33" s="24">
        <f>H21+H24+H26+H28+H31</f>
        <v>15015410</v>
      </c>
      <c r="I33" s="3"/>
      <c r="J33" s="24">
        <f>J17+J23</f>
        <v>9031636</v>
      </c>
      <c r="K33" s="24">
        <f>K21+K24+K26+K28+K31</f>
        <v>301670345</v>
      </c>
      <c r="L33" s="21">
        <f>L24+L31</f>
        <v>298432</v>
      </c>
      <c r="M33" s="3"/>
      <c r="N33" s="3"/>
    </row>
    <row r="34" spans="1:14" ht="15" x14ac:dyDescent="0.25">
      <c r="M34" s="26"/>
    </row>
    <row r="35" spans="1:14" ht="15" x14ac:dyDescent="0.25">
      <c r="A35" s="19"/>
      <c r="M35" s="27">
        <f>B33+C33+D33+E33+F33+H33+J33+K33+L33+M33</f>
        <v>680757394</v>
      </c>
    </row>
    <row r="36" spans="1:14" x14ac:dyDescent="0.3">
      <c r="A36" s="36" t="s">
        <v>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5" x14ac:dyDescent="0.25">
      <c r="A37" s="40" t="s">
        <v>33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</row>
    <row r="38" spans="1:14" ht="15" x14ac:dyDescent="0.25">
      <c r="A38" s="33" t="s">
        <v>38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</row>
  </sheetData>
  <mergeCells count="18">
    <mergeCell ref="A2:A4"/>
    <mergeCell ref="B2:E4"/>
    <mergeCell ref="F2:I4"/>
    <mergeCell ref="J2:K4"/>
    <mergeCell ref="L2:N4"/>
    <mergeCell ref="J5:K5"/>
    <mergeCell ref="L5:N5"/>
    <mergeCell ref="H6:I6"/>
    <mergeCell ref="A5:A7"/>
    <mergeCell ref="B5:C7"/>
    <mergeCell ref="D5:E7"/>
    <mergeCell ref="F5:G7"/>
    <mergeCell ref="H5:I5"/>
    <mergeCell ref="J6:K6"/>
    <mergeCell ref="L6:N6"/>
    <mergeCell ref="H7:I7"/>
    <mergeCell ref="J7:K7"/>
    <mergeCell ref="L7:N7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9" workbookViewId="0">
      <selection activeCell="A38" sqref="A38"/>
    </sheetView>
  </sheetViews>
  <sheetFormatPr defaultRowHeight="14.4" x14ac:dyDescent="0.3"/>
  <cols>
    <col min="1" max="1" width="14" customWidth="1"/>
    <col min="2" max="2" width="12.88671875" customWidth="1"/>
    <col min="3" max="3" width="14.5546875" customWidth="1"/>
    <col min="4" max="4" width="12.6640625" customWidth="1"/>
    <col min="6" max="6" width="18.33203125" customWidth="1"/>
    <col min="8" max="8" width="15.6640625" customWidth="1"/>
    <col min="10" max="10" width="13" customWidth="1"/>
    <col min="11" max="11" width="16.109375" customWidth="1"/>
    <col min="13" max="13" width="17.88671875" customWidth="1"/>
  </cols>
  <sheetData>
    <row r="1" spans="1:14" ht="15.75" thickBot="1" x14ac:dyDescent="0.3">
      <c r="A1" s="2">
        <v>2016</v>
      </c>
      <c r="J1" s="16"/>
      <c r="K1" s="16"/>
    </row>
    <row r="2" spans="1:14" x14ac:dyDescent="0.3">
      <c r="A2" s="42"/>
      <c r="B2" s="45" t="s">
        <v>11</v>
      </c>
      <c r="C2" s="46"/>
      <c r="D2" s="46"/>
      <c r="E2" s="47"/>
      <c r="F2" s="45" t="s">
        <v>12</v>
      </c>
      <c r="G2" s="46"/>
      <c r="H2" s="46"/>
      <c r="I2" s="47"/>
      <c r="J2" s="54" t="s">
        <v>13</v>
      </c>
      <c r="K2" s="55"/>
      <c r="L2" s="45" t="s">
        <v>17</v>
      </c>
      <c r="M2" s="46"/>
      <c r="N2" s="47"/>
    </row>
    <row r="3" spans="1:14" x14ac:dyDescent="0.3">
      <c r="A3" s="43"/>
      <c r="B3" s="48"/>
      <c r="C3" s="49"/>
      <c r="D3" s="49"/>
      <c r="E3" s="50"/>
      <c r="F3" s="48"/>
      <c r="G3" s="49"/>
      <c r="H3" s="49"/>
      <c r="I3" s="50"/>
      <c r="J3" s="56"/>
      <c r="K3" s="57"/>
      <c r="L3" s="48"/>
      <c r="M3" s="49"/>
      <c r="N3" s="50"/>
    </row>
    <row r="4" spans="1:14" ht="15" thickBot="1" x14ac:dyDescent="0.35">
      <c r="A4" s="44"/>
      <c r="B4" s="51"/>
      <c r="C4" s="52"/>
      <c r="D4" s="52"/>
      <c r="E4" s="53"/>
      <c r="F4" s="51"/>
      <c r="G4" s="52"/>
      <c r="H4" s="52"/>
      <c r="I4" s="53"/>
      <c r="J4" s="56"/>
      <c r="K4" s="57"/>
      <c r="L4" s="48"/>
      <c r="M4" s="49"/>
      <c r="N4" s="50"/>
    </row>
    <row r="5" spans="1:14" x14ac:dyDescent="0.3">
      <c r="A5" s="43"/>
      <c r="B5" s="61" t="s">
        <v>18</v>
      </c>
      <c r="C5" s="62"/>
      <c r="D5" s="61" t="s">
        <v>14</v>
      </c>
      <c r="E5" s="62"/>
      <c r="F5" s="61" t="s">
        <v>18</v>
      </c>
      <c r="G5" s="62"/>
      <c r="H5" s="61" t="s">
        <v>0</v>
      </c>
      <c r="I5" s="62"/>
      <c r="J5" s="56"/>
      <c r="K5" s="57"/>
      <c r="L5" s="58"/>
      <c r="M5" s="59"/>
      <c r="N5" s="60"/>
    </row>
    <row r="6" spans="1:14" x14ac:dyDescent="0.3">
      <c r="A6" s="43"/>
      <c r="B6" s="61"/>
      <c r="C6" s="62"/>
      <c r="D6" s="61"/>
      <c r="E6" s="62"/>
      <c r="F6" s="61"/>
      <c r="G6" s="62"/>
      <c r="H6" s="61" t="s">
        <v>15</v>
      </c>
      <c r="I6" s="62"/>
      <c r="J6" s="65"/>
      <c r="K6" s="66"/>
      <c r="L6" s="58"/>
      <c r="M6" s="67"/>
      <c r="N6" s="60"/>
    </row>
    <row r="7" spans="1:14" ht="15" thickBot="1" x14ac:dyDescent="0.35">
      <c r="A7" s="44"/>
      <c r="B7" s="63"/>
      <c r="C7" s="64"/>
      <c r="D7" s="63"/>
      <c r="E7" s="64"/>
      <c r="F7" s="63"/>
      <c r="G7" s="64"/>
      <c r="H7" s="63" t="s">
        <v>16</v>
      </c>
      <c r="I7" s="64"/>
      <c r="J7" s="68"/>
      <c r="K7" s="69"/>
      <c r="L7" s="70"/>
      <c r="M7" s="71"/>
      <c r="N7" s="72"/>
    </row>
    <row r="8" spans="1:14" ht="16.5" thickBot="1" x14ac:dyDescent="0.3">
      <c r="A8" s="14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17" t="s">
        <v>1</v>
      </c>
      <c r="K8" s="17" t="s">
        <v>2</v>
      </c>
      <c r="L8" s="4" t="s">
        <v>1</v>
      </c>
      <c r="M8" s="4" t="s">
        <v>2</v>
      </c>
      <c r="N8" s="4" t="s">
        <v>3</v>
      </c>
    </row>
    <row r="9" spans="1:14" ht="15.75" thickBot="1" x14ac:dyDescent="0.3">
      <c r="A9" s="5" t="s">
        <v>19</v>
      </c>
      <c r="B9" s="4"/>
      <c r="C9" s="4"/>
      <c r="D9" s="4"/>
      <c r="E9" s="4"/>
      <c r="F9" s="16">
        <v>88020886</v>
      </c>
      <c r="G9" s="4"/>
      <c r="H9" s="17">
        <v>9061866</v>
      </c>
      <c r="I9" s="4"/>
      <c r="J9" s="17"/>
      <c r="K9" s="17"/>
      <c r="L9" s="4"/>
      <c r="M9" s="4"/>
      <c r="N9" s="4"/>
    </row>
    <row r="10" spans="1:14" ht="15.75" thickBot="1" x14ac:dyDescent="0.3">
      <c r="A10" s="5" t="s">
        <v>20</v>
      </c>
      <c r="B10" s="4"/>
      <c r="C10" s="4"/>
      <c r="D10" s="4"/>
      <c r="E10" s="4"/>
      <c r="F10" s="4"/>
      <c r="G10" s="4"/>
      <c r="H10" s="6"/>
      <c r="I10" s="4"/>
      <c r="J10" s="17"/>
      <c r="K10" s="20">
        <v>126523361</v>
      </c>
      <c r="L10" s="4"/>
      <c r="M10" s="4"/>
      <c r="N10" s="4"/>
    </row>
    <row r="11" spans="1:14" ht="15.75" thickBot="1" x14ac:dyDescent="0.3">
      <c r="A11" s="5" t="s">
        <v>21</v>
      </c>
      <c r="B11" s="4"/>
      <c r="C11" s="4"/>
      <c r="D11" s="4"/>
      <c r="E11" s="7"/>
      <c r="F11" s="17">
        <v>29583901</v>
      </c>
      <c r="G11" s="4"/>
      <c r="H11" s="17">
        <v>1260852</v>
      </c>
      <c r="I11" s="4"/>
      <c r="J11" s="17"/>
      <c r="K11" s="20"/>
      <c r="L11" s="4"/>
      <c r="M11" s="4"/>
      <c r="N11" s="4"/>
    </row>
    <row r="12" spans="1:14" ht="15.75" thickBot="1" x14ac:dyDescent="0.3">
      <c r="A12" s="5" t="s">
        <v>23</v>
      </c>
      <c r="B12" s="20">
        <v>19952282</v>
      </c>
      <c r="C12" s="4"/>
      <c r="D12" s="17">
        <v>1281387</v>
      </c>
      <c r="E12" s="7"/>
      <c r="F12" s="4"/>
      <c r="G12" s="4"/>
      <c r="H12" s="4"/>
      <c r="I12" s="4"/>
      <c r="J12" s="17"/>
      <c r="K12" s="16"/>
      <c r="L12" s="4"/>
      <c r="M12" s="4"/>
      <c r="N12" s="4"/>
    </row>
    <row r="13" spans="1:14" ht="26.25" thickBot="1" x14ac:dyDescent="0.3">
      <c r="A13" s="5" t="s">
        <v>24</v>
      </c>
      <c r="B13" s="4"/>
      <c r="C13" s="4"/>
      <c r="D13" s="4"/>
      <c r="E13" s="7"/>
      <c r="F13" s="4"/>
      <c r="G13" s="4"/>
      <c r="H13" s="4"/>
      <c r="I13" s="4"/>
      <c r="J13" s="17"/>
      <c r="K13" s="20">
        <v>27445907</v>
      </c>
      <c r="L13" s="4"/>
      <c r="M13" s="4"/>
      <c r="N13" s="4"/>
    </row>
    <row r="14" spans="1:14" ht="15.75" thickBot="1" x14ac:dyDescent="0.3">
      <c r="A14" s="5" t="s">
        <v>25</v>
      </c>
      <c r="B14" s="4"/>
      <c r="C14" s="4"/>
      <c r="D14" s="17"/>
      <c r="E14" s="4"/>
      <c r="F14" s="17">
        <v>37100381</v>
      </c>
      <c r="G14" s="4"/>
      <c r="H14" s="17">
        <v>697758</v>
      </c>
      <c r="I14" s="4"/>
      <c r="J14" s="17"/>
      <c r="K14" s="20"/>
      <c r="L14" s="4"/>
      <c r="M14" s="4"/>
      <c r="N14" s="4"/>
    </row>
    <row r="15" spans="1:14" ht="15.75" thickBot="1" x14ac:dyDescent="0.3">
      <c r="A15" s="5" t="s">
        <v>26</v>
      </c>
      <c r="B15" s="4"/>
      <c r="C15" s="4"/>
      <c r="D15" s="4"/>
      <c r="E15" s="4"/>
      <c r="F15" s="17">
        <v>95261280</v>
      </c>
      <c r="G15" s="4"/>
      <c r="H15" s="17">
        <v>3173390</v>
      </c>
      <c r="I15" s="4"/>
      <c r="J15" s="23"/>
      <c r="K15" s="20"/>
      <c r="L15" s="4"/>
      <c r="M15" s="4"/>
      <c r="N15" s="4"/>
    </row>
    <row r="16" spans="1:14" ht="39" thickBot="1" x14ac:dyDescent="0.3">
      <c r="A16" s="5" t="s">
        <v>27</v>
      </c>
      <c r="B16" s="4"/>
      <c r="C16" s="4"/>
      <c r="D16" s="4"/>
      <c r="E16" s="4"/>
      <c r="F16" s="4"/>
      <c r="G16" s="4"/>
      <c r="H16" s="4"/>
      <c r="I16" s="4"/>
      <c r="J16" s="17"/>
      <c r="K16" s="41">
        <v>41281672</v>
      </c>
      <c r="L16" s="4"/>
      <c r="M16" s="4"/>
      <c r="N16" s="4"/>
    </row>
    <row r="17" spans="1:14" ht="15.75" thickBot="1" x14ac:dyDescent="0.3">
      <c r="A17" s="5" t="s">
        <v>28</v>
      </c>
      <c r="B17" s="4"/>
      <c r="C17" s="4"/>
      <c r="D17" s="17"/>
      <c r="F17" s="17">
        <f>24760187-800000</f>
        <v>23960187</v>
      </c>
      <c r="G17" s="4"/>
      <c r="H17" s="17">
        <v>800000</v>
      </c>
      <c r="I17" s="4"/>
      <c r="J17" s="17">
        <v>1812932</v>
      </c>
      <c r="K17" s="20"/>
      <c r="L17" s="4"/>
      <c r="M17" s="4"/>
      <c r="N17" s="4"/>
    </row>
    <row r="18" spans="1:14" ht="15.75" thickBot="1" x14ac:dyDescent="0.3">
      <c r="A18" s="5" t="s">
        <v>4</v>
      </c>
      <c r="B18" s="16">
        <v>3308596</v>
      </c>
      <c r="C18" s="17"/>
      <c r="D18" s="17"/>
      <c r="E18" s="17">
        <v>129640</v>
      </c>
      <c r="F18" s="17"/>
      <c r="G18" s="4"/>
      <c r="H18" s="17"/>
      <c r="I18" s="4"/>
      <c r="J18" s="17"/>
      <c r="L18" s="4"/>
      <c r="M18" s="4"/>
      <c r="N18" s="4"/>
    </row>
    <row r="19" spans="1:14" ht="15.75" thickBot="1" x14ac:dyDescent="0.3">
      <c r="A19" s="5" t="s">
        <v>5</v>
      </c>
      <c r="B19" s="17">
        <v>19406362</v>
      </c>
      <c r="C19" s="17"/>
      <c r="D19" s="17"/>
      <c r="E19" s="17">
        <v>149779</v>
      </c>
      <c r="F19" s="4"/>
      <c r="G19" s="4"/>
      <c r="H19" s="4"/>
      <c r="I19" s="4"/>
      <c r="J19" s="17"/>
      <c r="K19" s="20"/>
      <c r="L19" s="4"/>
      <c r="M19" s="4"/>
      <c r="N19" s="4"/>
    </row>
    <row r="20" spans="1:14" ht="77.25" thickBot="1" x14ac:dyDescent="0.3">
      <c r="A20" s="5" t="s">
        <v>31</v>
      </c>
      <c r="B20" s="4"/>
      <c r="C20" s="4"/>
      <c r="D20" s="4"/>
      <c r="E20" s="4"/>
      <c r="F20" s="4"/>
      <c r="G20" s="4"/>
      <c r="H20" s="4"/>
      <c r="I20" s="4"/>
      <c r="J20" s="17"/>
      <c r="K20" s="17">
        <f>27918079-3477744</f>
        <v>24440335</v>
      </c>
      <c r="L20" s="4"/>
      <c r="M20" s="4"/>
      <c r="N20" s="4"/>
    </row>
    <row r="21" spans="1:14" ht="26.25" thickBot="1" x14ac:dyDescent="0.3">
      <c r="A21" s="8" t="s">
        <v>6</v>
      </c>
      <c r="B21" s="21">
        <f>SUM(B9:B20)</f>
        <v>42667240</v>
      </c>
      <c r="C21" s="21"/>
      <c r="D21" s="21">
        <f>SUM(D9:D20)</f>
        <v>1281387</v>
      </c>
      <c r="E21" s="21">
        <f>SUM(E9:E20)</f>
        <v>279419</v>
      </c>
      <c r="F21" s="21">
        <f>SUM(F9:F20)</f>
        <v>273926635</v>
      </c>
      <c r="G21" s="4"/>
      <c r="H21" s="21">
        <f>SUM(H9:H20)</f>
        <v>14993866</v>
      </c>
      <c r="I21" s="4"/>
      <c r="J21" s="17">
        <f>SUM(J9:J20)</f>
        <v>1812932</v>
      </c>
      <c r="K21" s="17">
        <f>SUM(K9:K20)</f>
        <v>219691275</v>
      </c>
      <c r="L21" s="4"/>
      <c r="M21" s="4"/>
      <c r="N21" s="4"/>
    </row>
    <row r="22" spans="1:14" ht="15.75" thickBo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8"/>
      <c r="K22" s="18"/>
      <c r="L22" s="10"/>
      <c r="M22" s="10"/>
      <c r="N22" s="10"/>
    </row>
    <row r="23" spans="1:14" ht="15.75" thickBot="1" x14ac:dyDescent="0.3">
      <c r="A23" s="5" t="s">
        <v>32</v>
      </c>
      <c r="B23" s="4"/>
      <c r="C23" s="4"/>
      <c r="D23" s="17"/>
      <c r="E23" s="25"/>
      <c r="F23" s="17">
        <f>29656572-1300000</f>
        <v>28356572</v>
      </c>
      <c r="G23" s="4"/>
      <c r="H23" s="17">
        <v>1300000</v>
      </c>
      <c r="I23" s="4"/>
      <c r="J23" s="16">
        <v>246147</v>
      </c>
      <c r="K23" s="20"/>
      <c r="L23" s="17"/>
      <c r="M23" s="4"/>
      <c r="N23" s="4"/>
    </row>
    <row r="24" spans="1:14" ht="26.25" thickBot="1" x14ac:dyDescent="0.3">
      <c r="A24" s="8" t="s">
        <v>7</v>
      </c>
      <c r="B24" s="4"/>
      <c r="C24" s="4"/>
      <c r="D24" s="21"/>
      <c r="F24" s="21">
        <f>F23</f>
        <v>28356572</v>
      </c>
      <c r="G24" s="4"/>
      <c r="H24" s="21">
        <f>H23</f>
        <v>1300000</v>
      </c>
      <c r="I24" s="4"/>
      <c r="J24" s="17">
        <f>J23</f>
        <v>246147</v>
      </c>
      <c r="K24" s="20"/>
      <c r="L24" s="21"/>
      <c r="M24" s="4"/>
      <c r="N24" s="4"/>
    </row>
    <row r="25" spans="1:14" ht="15.75" thickBot="1" x14ac:dyDescent="0.3">
      <c r="A25" s="9"/>
      <c r="B25" s="10"/>
      <c r="C25" s="10"/>
      <c r="D25" s="10"/>
      <c r="E25" s="10"/>
      <c r="F25" s="10"/>
      <c r="G25" s="10"/>
      <c r="H25" s="10"/>
      <c r="I25" s="10"/>
      <c r="J25" s="18"/>
      <c r="K25" s="18"/>
      <c r="L25" s="10"/>
      <c r="M25" s="10"/>
      <c r="N25" s="10"/>
    </row>
    <row r="26" spans="1:14" ht="15.75" thickBot="1" x14ac:dyDescent="0.3">
      <c r="A26" s="8" t="s">
        <v>29</v>
      </c>
      <c r="B26" s="4"/>
      <c r="C26" s="4"/>
      <c r="D26" s="4"/>
      <c r="E26" s="4"/>
      <c r="F26" s="4"/>
      <c r="G26" s="4"/>
      <c r="H26" s="4"/>
      <c r="I26" s="4"/>
      <c r="J26" s="17"/>
      <c r="K26" s="20">
        <v>1582154</v>
      </c>
      <c r="L26" s="4"/>
      <c r="M26" s="4"/>
      <c r="N26" s="4"/>
    </row>
    <row r="27" spans="1:14" ht="15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8"/>
      <c r="K27" s="18"/>
      <c r="L27" s="10"/>
      <c r="M27" s="10"/>
      <c r="N27" s="10"/>
    </row>
    <row r="28" spans="1:14" ht="26.25" thickBot="1" x14ac:dyDescent="0.3">
      <c r="A28" s="5" t="s">
        <v>8</v>
      </c>
      <c r="B28" s="4"/>
      <c r="C28" s="4"/>
      <c r="D28" s="4"/>
      <c r="E28" s="4"/>
      <c r="F28" s="17">
        <v>73965404</v>
      </c>
      <c r="G28" s="4"/>
      <c r="H28" s="17">
        <v>503662</v>
      </c>
      <c r="I28" s="4"/>
      <c r="J28" s="17"/>
      <c r="K28" s="20">
        <v>651709</v>
      </c>
      <c r="L28" s="4"/>
      <c r="M28" s="4"/>
      <c r="N28" s="4"/>
    </row>
    <row r="29" spans="1:14" ht="39" thickBot="1" x14ac:dyDescent="0.3">
      <c r="A29" s="8" t="s">
        <v>9</v>
      </c>
      <c r="B29" s="3"/>
      <c r="C29" s="3"/>
      <c r="D29" s="3"/>
      <c r="E29" s="3"/>
      <c r="F29" s="24">
        <f>F28</f>
        <v>73965404</v>
      </c>
      <c r="G29" s="3"/>
      <c r="H29" s="24">
        <f>H28</f>
        <v>503662</v>
      </c>
      <c r="I29" s="3"/>
      <c r="J29" s="17"/>
      <c r="K29" s="20">
        <f>K28</f>
        <v>651709</v>
      </c>
      <c r="L29" s="3"/>
      <c r="M29" s="3"/>
      <c r="N29" s="3"/>
    </row>
    <row r="30" spans="1:14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8"/>
      <c r="K30" s="18"/>
      <c r="L30" s="12"/>
      <c r="M30" s="12"/>
      <c r="N30" s="12"/>
    </row>
    <row r="31" spans="1:14" ht="15.75" thickBot="1" x14ac:dyDescent="0.3">
      <c r="A31" s="8" t="s">
        <v>30</v>
      </c>
      <c r="B31" s="3"/>
      <c r="C31" s="3"/>
      <c r="D31" s="3"/>
      <c r="E31" s="3"/>
      <c r="F31" s="3"/>
      <c r="G31" s="3"/>
      <c r="H31" s="3"/>
      <c r="I31" s="3"/>
      <c r="J31" s="17"/>
      <c r="K31" s="20">
        <v>62262719</v>
      </c>
      <c r="L31" s="28"/>
      <c r="M31" s="3"/>
      <c r="N31" s="3"/>
    </row>
    <row r="32" spans="1:14" ht="15.75" thickBot="1" x14ac:dyDescent="0.3">
      <c r="A32" s="9"/>
      <c r="B32" s="12"/>
      <c r="C32" s="12"/>
      <c r="D32" s="12"/>
      <c r="E32" s="12"/>
      <c r="F32" s="12"/>
      <c r="G32" s="12"/>
      <c r="H32" s="12"/>
      <c r="I32" s="12"/>
      <c r="J32" s="18"/>
      <c r="K32" s="22"/>
      <c r="L32" s="12"/>
      <c r="M32" s="12"/>
      <c r="N32" s="12"/>
    </row>
    <row r="33" spans="1:14" ht="15.75" thickBot="1" x14ac:dyDescent="0.3">
      <c r="A33" s="13" t="s">
        <v>10</v>
      </c>
      <c r="B33" s="21">
        <f>B21</f>
        <v>42667240</v>
      </c>
      <c r="C33" s="24"/>
      <c r="D33" s="24">
        <f>D21</f>
        <v>1281387</v>
      </c>
      <c r="E33" s="24">
        <f>E21</f>
        <v>279419</v>
      </c>
      <c r="F33" s="24">
        <f>F21+F24+F29</f>
        <v>376248611</v>
      </c>
      <c r="G33" s="3"/>
      <c r="H33" s="24">
        <f>H21+H24+H29</f>
        <v>16797528</v>
      </c>
      <c r="I33" s="3"/>
      <c r="J33" s="24">
        <f>J21+J24</f>
        <v>2059079</v>
      </c>
      <c r="K33" s="24">
        <f>K21+K26+K29+K31</f>
        <v>284187857</v>
      </c>
      <c r="L33" s="21"/>
      <c r="M33" s="3"/>
      <c r="N33" s="3"/>
    </row>
    <row r="34" spans="1:14" ht="15" x14ac:dyDescent="0.25">
      <c r="A34" s="1"/>
      <c r="J34" s="16"/>
      <c r="K34" s="16"/>
      <c r="M34" s="26"/>
    </row>
    <row r="35" spans="1:14" ht="15" x14ac:dyDescent="0.25">
      <c r="A35" s="19"/>
      <c r="J35" s="16"/>
      <c r="K35" s="16"/>
      <c r="M35" s="27">
        <f>B33+C33+D33+E33+F33+G33+H33+I33+J33+K33+L33+M33+N33</f>
        <v>723521121</v>
      </c>
    </row>
    <row r="36" spans="1:14" x14ac:dyDescent="0.3">
      <c r="A36" s="36" t="s">
        <v>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5" x14ac:dyDescent="0.25">
      <c r="A37" s="40" t="s">
        <v>33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</row>
    <row r="38" spans="1:14" ht="15" x14ac:dyDescent="0.25">
      <c r="A38" s="33" t="s">
        <v>38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5" x14ac:dyDescent="0.25">
      <c r="A39" s="1"/>
      <c r="J39" s="16"/>
      <c r="K39" s="16"/>
    </row>
  </sheetData>
  <mergeCells count="18">
    <mergeCell ref="A2:A4"/>
    <mergeCell ref="B2:E4"/>
    <mergeCell ref="F2:I4"/>
    <mergeCell ref="J2:K4"/>
    <mergeCell ref="L2:N4"/>
    <mergeCell ref="J5:K5"/>
    <mergeCell ref="L5:N5"/>
    <mergeCell ref="H6:I6"/>
    <mergeCell ref="A5:A7"/>
    <mergeCell ref="B5:C7"/>
    <mergeCell ref="D5:E7"/>
    <mergeCell ref="F5:G7"/>
    <mergeCell ref="H5:I5"/>
    <mergeCell ref="J6:K6"/>
    <mergeCell ref="L6:N6"/>
    <mergeCell ref="H7:I7"/>
    <mergeCell ref="J7:K7"/>
    <mergeCell ref="L7:N7"/>
  </mergeCells>
  <pageMargins left="0.7" right="0.7" top="0.75" bottom="0.7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9" workbookViewId="0">
      <selection activeCell="A38" sqref="A38"/>
    </sheetView>
  </sheetViews>
  <sheetFormatPr defaultRowHeight="14.4" x14ac:dyDescent="0.3"/>
  <cols>
    <col min="1" max="1" width="14" customWidth="1"/>
    <col min="2" max="2" width="12.88671875" customWidth="1"/>
    <col min="3" max="3" width="14.5546875" customWidth="1"/>
    <col min="4" max="4" width="12.6640625" customWidth="1"/>
    <col min="6" max="6" width="18.33203125" customWidth="1"/>
    <col min="8" max="8" width="15.6640625" customWidth="1"/>
    <col min="10" max="10" width="13" customWidth="1"/>
    <col min="11" max="11" width="16.109375" customWidth="1"/>
    <col min="13" max="13" width="17.88671875" customWidth="1"/>
    <col min="17" max="17" width="17.5546875" customWidth="1"/>
  </cols>
  <sheetData>
    <row r="1" spans="1:14" ht="15.75" thickBot="1" x14ac:dyDescent="0.3">
      <c r="A1" s="2">
        <v>2016</v>
      </c>
      <c r="J1" s="16"/>
      <c r="K1" s="16"/>
    </row>
    <row r="2" spans="1:14" x14ac:dyDescent="0.3">
      <c r="A2" s="42"/>
      <c r="B2" s="45" t="s">
        <v>11</v>
      </c>
      <c r="C2" s="46"/>
      <c r="D2" s="46"/>
      <c r="E2" s="47"/>
      <c r="F2" s="45" t="s">
        <v>12</v>
      </c>
      <c r="G2" s="46"/>
      <c r="H2" s="46"/>
      <c r="I2" s="47"/>
      <c r="J2" s="54" t="s">
        <v>13</v>
      </c>
      <c r="K2" s="55"/>
      <c r="L2" s="45" t="s">
        <v>17</v>
      </c>
      <c r="M2" s="46"/>
      <c r="N2" s="47"/>
    </row>
    <row r="3" spans="1:14" x14ac:dyDescent="0.3">
      <c r="A3" s="43"/>
      <c r="B3" s="48"/>
      <c r="C3" s="49"/>
      <c r="D3" s="49"/>
      <c r="E3" s="50"/>
      <c r="F3" s="48"/>
      <c r="G3" s="49"/>
      <c r="H3" s="49"/>
      <c r="I3" s="50"/>
      <c r="J3" s="56"/>
      <c r="K3" s="57"/>
      <c r="L3" s="48"/>
      <c r="M3" s="49"/>
      <c r="N3" s="50"/>
    </row>
    <row r="4" spans="1:14" ht="15" thickBot="1" x14ac:dyDescent="0.35">
      <c r="A4" s="44"/>
      <c r="B4" s="51"/>
      <c r="C4" s="52"/>
      <c r="D4" s="52"/>
      <c r="E4" s="53"/>
      <c r="F4" s="51"/>
      <c r="G4" s="52"/>
      <c r="H4" s="52"/>
      <c r="I4" s="53"/>
      <c r="J4" s="56"/>
      <c r="K4" s="57"/>
      <c r="L4" s="48"/>
      <c r="M4" s="49"/>
      <c r="N4" s="50"/>
    </row>
    <row r="5" spans="1:14" x14ac:dyDescent="0.3">
      <c r="A5" s="43"/>
      <c r="B5" s="61" t="s">
        <v>18</v>
      </c>
      <c r="C5" s="62"/>
      <c r="D5" s="61" t="s">
        <v>14</v>
      </c>
      <c r="E5" s="62"/>
      <c r="F5" s="61" t="s">
        <v>18</v>
      </c>
      <c r="G5" s="62"/>
      <c r="H5" s="61" t="s">
        <v>0</v>
      </c>
      <c r="I5" s="62"/>
      <c r="J5" s="56"/>
      <c r="K5" s="57"/>
      <c r="L5" s="58"/>
      <c r="M5" s="59"/>
      <c r="N5" s="60"/>
    </row>
    <row r="6" spans="1:14" x14ac:dyDescent="0.3">
      <c r="A6" s="43"/>
      <c r="B6" s="61"/>
      <c r="C6" s="62"/>
      <c r="D6" s="61"/>
      <c r="E6" s="62"/>
      <c r="F6" s="61"/>
      <c r="G6" s="62"/>
      <c r="H6" s="61" t="s">
        <v>15</v>
      </c>
      <c r="I6" s="62"/>
      <c r="J6" s="65"/>
      <c r="K6" s="66"/>
      <c r="L6" s="58"/>
      <c r="M6" s="67"/>
      <c r="N6" s="60"/>
    </row>
    <row r="7" spans="1:14" ht="15" thickBot="1" x14ac:dyDescent="0.35">
      <c r="A7" s="44"/>
      <c r="B7" s="63"/>
      <c r="C7" s="64"/>
      <c r="D7" s="63"/>
      <c r="E7" s="64"/>
      <c r="F7" s="63"/>
      <c r="G7" s="64"/>
      <c r="H7" s="63" t="s">
        <v>16</v>
      </c>
      <c r="I7" s="64"/>
      <c r="J7" s="68"/>
      <c r="K7" s="69"/>
      <c r="L7" s="70"/>
      <c r="M7" s="71"/>
      <c r="N7" s="72"/>
    </row>
    <row r="8" spans="1:14" ht="16.5" thickBot="1" x14ac:dyDescent="0.3">
      <c r="A8" s="14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17" t="s">
        <v>1</v>
      </c>
      <c r="K8" s="17" t="s">
        <v>2</v>
      </c>
      <c r="L8" s="4" t="s">
        <v>1</v>
      </c>
      <c r="M8" s="4" t="s">
        <v>2</v>
      </c>
      <c r="N8" s="4" t="s">
        <v>3</v>
      </c>
    </row>
    <row r="9" spans="1:14" ht="15.75" thickBot="1" x14ac:dyDescent="0.3">
      <c r="A9" s="5" t="s">
        <v>19</v>
      </c>
      <c r="B9" s="4"/>
      <c r="C9" s="4"/>
      <c r="D9" s="4"/>
      <c r="E9" s="4"/>
      <c r="F9" s="16">
        <f>85039579+38375751-H9</f>
        <v>115716188</v>
      </c>
      <c r="G9" s="4"/>
      <c r="H9" s="17">
        <f>5025501+2673641</f>
        <v>7699142</v>
      </c>
      <c r="I9" s="4"/>
      <c r="J9" s="17"/>
      <c r="K9" s="17"/>
      <c r="L9" s="4"/>
      <c r="M9" s="4"/>
      <c r="N9" s="4"/>
    </row>
    <row r="10" spans="1:14" ht="15.75" thickBot="1" x14ac:dyDescent="0.3">
      <c r="A10" s="5" t="s">
        <v>20</v>
      </c>
      <c r="B10" s="4"/>
      <c r="C10" s="4"/>
      <c r="D10" s="4"/>
      <c r="E10" s="4"/>
      <c r="F10" s="4"/>
      <c r="G10" s="4"/>
      <c r="H10" s="6"/>
      <c r="I10" s="4"/>
      <c r="J10" s="17"/>
      <c r="K10" s="20">
        <f>129542694+7288729</f>
        <v>136831423</v>
      </c>
      <c r="L10" s="4"/>
      <c r="M10" s="4"/>
      <c r="N10" s="4"/>
    </row>
    <row r="11" spans="1:14" ht="15.75" thickBot="1" x14ac:dyDescent="0.3">
      <c r="A11" s="5" t="s">
        <v>21</v>
      </c>
      <c r="B11" s="4"/>
      <c r="C11" s="4"/>
      <c r="D11" s="4"/>
      <c r="E11" s="7"/>
      <c r="F11" s="17">
        <f>32007238-H11</f>
        <v>30670666</v>
      </c>
      <c r="G11" s="4"/>
      <c r="H11" s="17">
        <v>1336572</v>
      </c>
      <c r="I11" s="4"/>
      <c r="J11" s="17"/>
      <c r="K11" s="20"/>
      <c r="L11" s="4"/>
      <c r="M11" s="4"/>
      <c r="N11" s="4"/>
    </row>
    <row r="12" spans="1:14" ht="15.75" thickBot="1" x14ac:dyDescent="0.3">
      <c r="A12" s="5" t="s">
        <v>23</v>
      </c>
      <c r="B12" s="20">
        <v>20860936</v>
      </c>
      <c r="C12" s="4"/>
      <c r="D12" s="17">
        <v>804703</v>
      </c>
      <c r="E12" s="7"/>
      <c r="F12" s="4"/>
      <c r="G12" s="4"/>
      <c r="H12" s="4"/>
      <c r="I12" s="4"/>
      <c r="J12" s="17"/>
      <c r="K12" s="16"/>
      <c r="L12" s="4"/>
      <c r="M12" s="4"/>
      <c r="N12" s="4"/>
    </row>
    <row r="13" spans="1:14" ht="26.25" thickBot="1" x14ac:dyDescent="0.3">
      <c r="A13" s="5" t="s">
        <v>24</v>
      </c>
      <c r="B13" s="4"/>
      <c r="C13" s="4"/>
      <c r="D13" s="4"/>
      <c r="E13" s="7"/>
      <c r="F13" s="4"/>
      <c r="G13" s="4"/>
      <c r="H13" s="4"/>
      <c r="I13" s="4"/>
      <c r="J13" s="17"/>
      <c r="K13" s="20">
        <f>4722129+19327679+2736340</f>
        <v>26786148</v>
      </c>
      <c r="L13" s="4"/>
      <c r="M13" s="4"/>
      <c r="N13" s="4"/>
    </row>
    <row r="14" spans="1:14" ht="15.75" thickBot="1" x14ac:dyDescent="0.3">
      <c r="A14" s="5" t="s">
        <v>25</v>
      </c>
      <c r="B14" s="4"/>
      <c r="C14" s="4"/>
      <c r="D14" s="17"/>
      <c r="E14" s="4"/>
      <c r="F14" s="17">
        <f>44486534-H14</f>
        <v>43865991</v>
      </c>
      <c r="G14" s="4"/>
      <c r="H14" s="17">
        <v>620543</v>
      </c>
      <c r="I14" s="4"/>
      <c r="J14" s="17"/>
      <c r="K14" s="20"/>
      <c r="L14" s="4"/>
      <c r="M14" s="4"/>
      <c r="N14" s="4"/>
    </row>
    <row r="15" spans="1:14" ht="15.75" thickBot="1" x14ac:dyDescent="0.3">
      <c r="A15" s="5" t="s">
        <v>26</v>
      </c>
      <c r="B15" s="4"/>
      <c r="C15" s="4"/>
      <c r="D15" s="4"/>
      <c r="E15" s="4"/>
      <c r="F15" s="17">
        <f>117225103-H15</f>
        <v>113796869</v>
      </c>
      <c r="G15" s="4"/>
      <c r="H15" s="17">
        <v>3428234</v>
      </c>
      <c r="I15" s="4"/>
      <c r="J15" s="23"/>
      <c r="K15" s="20"/>
      <c r="L15" s="4"/>
      <c r="M15" s="4"/>
      <c r="N15" s="4"/>
    </row>
    <row r="16" spans="1:14" ht="39" thickBot="1" x14ac:dyDescent="0.3">
      <c r="A16" s="5" t="s">
        <v>27</v>
      </c>
      <c r="B16" s="4"/>
      <c r="C16" s="4"/>
      <c r="D16" s="4"/>
      <c r="E16" s="4"/>
      <c r="F16" s="4"/>
      <c r="G16" s="4"/>
      <c r="H16" s="4"/>
      <c r="I16" s="4"/>
      <c r="J16" s="17"/>
      <c r="K16" s="41">
        <f>20669915+11997215+4289374+4271439</f>
        <v>41227943</v>
      </c>
      <c r="L16" s="4"/>
      <c r="M16" s="4"/>
      <c r="N16" s="4"/>
    </row>
    <row r="17" spans="1:14" ht="15.75" thickBot="1" x14ac:dyDescent="0.3">
      <c r="A17" s="5" t="s">
        <v>28</v>
      </c>
      <c r="B17" s="4"/>
      <c r="C17" s="4"/>
      <c r="D17" s="17"/>
      <c r="F17" s="17">
        <f>25577242-H17</f>
        <v>24745653</v>
      </c>
      <c r="G17" s="4"/>
      <c r="H17" s="17">
        <v>831589</v>
      </c>
      <c r="I17" s="4"/>
      <c r="J17" s="17">
        <v>1338376</v>
      </c>
      <c r="K17" s="20"/>
      <c r="L17" s="4"/>
      <c r="M17" s="4"/>
      <c r="N17" s="4"/>
    </row>
    <row r="18" spans="1:14" ht="15.75" thickBot="1" x14ac:dyDescent="0.3">
      <c r="A18" s="5" t="s">
        <v>4</v>
      </c>
      <c r="B18" s="16">
        <v>3573875</v>
      </c>
      <c r="C18" s="17"/>
      <c r="D18" s="17"/>
      <c r="E18" s="17">
        <v>149570</v>
      </c>
      <c r="F18" s="17"/>
      <c r="G18" s="4"/>
      <c r="H18" s="17"/>
      <c r="I18" s="4"/>
      <c r="J18" s="17"/>
      <c r="L18" s="4"/>
      <c r="M18" s="4"/>
      <c r="N18" s="4"/>
    </row>
    <row r="19" spans="1:14" ht="15.75" thickBot="1" x14ac:dyDescent="0.3">
      <c r="A19" s="5" t="s">
        <v>5</v>
      </c>
      <c r="B19" s="17">
        <v>20889677</v>
      </c>
      <c r="C19" s="17"/>
      <c r="D19" s="17"/>
      <c r="E19" s="17">
        <v>149779</v>
      </c>
      <c r="F19" s="4"/>
      <c r="G19" s="4"/>
      <c r="H19" s="4"/>
      <c r="I19" s="4"/>
      <c r="J19" s="17"/>
      <c r="K19" s="20"/>
      <c r="L19" s="4"/>
      <c r="M19" s="4"/>
      <c r="N19" s="4"/>
    </row>
    <row r="20" spans="1:14" ht="77.25" thickBot="1" x14ac:dyDescent="0.3">
      <c r="A20" s="5" t="s">
        <v>31</v>
      </c>
      <c r="B20" s="4"/>
      <c r="C20" s="4"/>
      <c r="D20" s="4"/>
      <c r="E20" s="4"/>
      <c r="F20" s="4"/>
      <c r="G20" s="4"/>
      <c r="H20" s="4"/>
      <c r="I20" s="4"/>
      <c r="J20" s="17"/>
      <c r="K20" s="17">
        <v>14498130</v>
      </c>
      <c r="L20" s="4"/>
      <c r="M20" s="4"/>
      <c r="N20" s="4"/>
    </row>
    <row r="21" spans="1:14" ht="26.25" thickBot="1" x14ac:dyDescent="0.3">
      <c r="A21" s="8" t="s">
        <v>6</v>
      </c>
      <c r="B21" s="21">
        <f>SUM(B9:B20)</f>
        <v>45324488</v>
      </c>
      <c r="C21" s="21"/>
      <c r="D21" s="21">
        <f>SUM(D9:D20)</f>
        <v>804703</v>
      </c>
      <c r="E21" s="21">
        <f>SUM(E9:E20)</f>
        <v>299349</v>
      </c>
      <c r="F21" s="21">
        <f>SUM(F9:F20)</f>
        <v>328795367</v>
      </c>
      <c r="G21" s="4"/>
      <c r="H21" s="21">
        <f>SUM(H9:H20)</f>
        <v>13916080</v>
      </c>
      <c r="I21" s="4"/>
      <c r="J21" s="17">
        <f>SUM(J9:J20)</f>
        <v>1338376</v>
      </c>
      <c r="K21" s="17">
        <f>SUM(K9:K20)</f>
        <v>219343644</v>
      </c>
      <c r="L21" s="4"/>
      <c r="M21" s="4"/>
      <c r="N21" s="4"/>
    </row>
    <row r="22" spans="1:14" ht="15.75" thickBo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8"/>
      <c r="K22" s="18"/>
      <c r="L22" s="10"/>
      <c r="M22" s="10"/>
      <c r="N22" s="10"/>
    </row>
    <row r="23" spans="1:14" ht="15.75" thickBot="1" x14ac:dyDescent="0.3">
      <c r="A23" s="5" t="s">
        <v>32</v>
      </c>
      <c r="B23" s="4"/>
      <c r="C23" s="4"/>
      <c r="D23" s="17"/>
      <c r="E23" s="25"/>
      <c r="F23" s="17">
        <f>28395995-H23</f>
        <v>27237696</v>
      </c>
      <c r="G23" s="4"/>
      <c r="H23" s="17">
        <v>1158299</v>
      </c>
      <c r="I23" s="4"/>
      <c r="J23" s="16"/>
      <c r="K23" s="20"/>
      <c r="L23" s="17"/>
      <c r="M23" s="4"/>
      <c r="N23" s="4"/>
    </row>
    <row r="24" spans="1:14" ht="26.25" thickBot="1" x14ac:dyDescent="0.3">
      <c r="A24" s="8" t="s">
        <v>7</v>
      </c>
      <c r="B24" s="4"/>
      <c r="C24" s="4"/>
      <c r="D24" s="21"/>
      <c r="F24" s="21">
        <f>F23</f>
        <v>27237696</v>
      </c>
      <c r="G24" s="4"/>
      <c r="H24" s="21">
        <f>H23</f>
        <v>1158299</v>
      </c>
      <c r="I24" s="4"/>
      <c r="J24" s="17">
        <f>J23</f>
        <v>0</v>
      </c>
      <c r="K24" s="20"/>
      <c r="L24" s="21"/>
      <c r="M24" s="4"/>
      <c r="N24" s="4"/>
    </row>
    <row r="25" spans="1:14" ht="15.75" thickBot="1" x14ac:dyDescent="0.3">
      <c r="A25" s="9"/>
      <c r="B25" s="10"/>
      <c r="C25" s="10"/>
      <c r="D25" s="10"/>
      <c r="E25" s="10"/>
      <c r="F25" s="10"/>
      <c r="G25" s="10"/>
      <c r="H25" s="10"/>
      <c r="I25" s="10"/>
      <c r="J25" s="18"/>
      <c r="K25" s="18"/>
      <c r="L25" s="10"/>
      <c r="M25" s="10"/>
      <c r="N25" s="10"/>
    </row>
    <row r="26" spans="1:14" ht="15.75" thickBot="1" x14ac:dyDescent="0.3">
      <c r="A26" s="8" t="s">
        <v>29</v>
      </c>
      <c r="B26" s="4"/>
      <c r="C26" s="4"/>
      <c r="D26" s="4"/>
      <c r="E26" s="4"/>
      <c r="F26" s="4"/>
      <c r="G26" s="4"/>
      <c r="H26" s="4"/>
      <c r="I26" s="4"/>
      <c r="J26" s="17"/>
      <c r="K26" s="20">
        <v>2114360</v>
      </c>
      <c r="L26" s="4"/>
      <c r="M26" s="4"/>
      <c r="N26" s="4"/>
    </row>
    <row r="27" spans="1:14" ht="15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8"/>
      <c r="K27" s="18"/>
      <c r="L27" s="10"/>
      <c r="M27" s="10"/>
      <c r="N27" s="10"/>
    </row>
    <row r="28" spans="1:14" ht="26.25" thickBot="1" x14ac:dyDescent="0.3">
      <c r="A28" s="5" t="s">
        <v>8</v>
      </c>
      <c r="B28" s="4"/>
      <c r="C28" s="4"/>
      <c r="D28" s="4"/>
      <c r="E28" s="4"/>
      <c r="F28" s="17">
        <f>72879667-H28</f>
        <v>72362629</v>
      </c>
      <c r="G28" s="4"/>
      <c r="H28" s="17">
        <v>517038</v>
      </c>
      <c r="I28" s="4"/>
      <c r="J28" s="17"/>
      <c r="K28" s="20">
        <v>1275568</v>
      </c>
      <c r="L28" s="4"/>
      <c r="M28" s="4"/>
      <c r="N28" s="4"/>
    </row>
    <row r="29" spans="1:14" ht="39" thickBot="1" x14ac:dyDescent="0.3">
      <c r="A29" s="8" t="s">
        <v>9</v>
      </c>
      <c r="B29" s="3"/>
      <c r="C29" s="3"/>
      <c r="D29" s="3"/>
      <c r="E29" s="3"/>
      <c r="F29" s="24">
        <f>F28</f>
        <v>72362629</v>
      </c>
      <c r="G29" s="3"/>
      <c r="H29" s="24">
        <f>H28</f>
        <v>517038</v>
      </c>
      <c r="I29" s="3"/>
      <c r="J29" s="17"/>
      <c r="K29" s="20">
        <f>K28</f>
        <v>1275568</v>
      </c>
      <c r="L29" s="3"/>
      <c r="M29" s="3"/>
      <c r="N29" s="3"/>
    </row>
    <row r="30" spans="1:14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8"/>
      <c r="K30" s="18"/>
      <c r="L30" s="12"/>
      <c r="M30" s="12"/>
      <c r="N30" s="12"/>
    </row>
    <row r="31" spans="1:14" ht="15.75" thickBot="1" x14ac:dyDescent="0.3">
      <c r="A31" s="8" t="s">
        <v>30</v>
      </c>
      <c r="B31" s="3"/>
      <c r="C31" s="3"/>
      <c r="D31" s="3"/>
      <c r="E31" s="3"/>
      <c r="F31" s="3"/>
      <c r="G31" s="3"/>
      <c r="H31" s="3"/>
      <c r="I31" s="3"/>
      <c r="J31" s="17"/>
      <c r="K31" s="20">
        <v>85309476</v>
      </c>
      <c r="L31" s="28"/>
      <c r="M31" s="3"/>
      <c r="N31" s="3"/>
    </row>
    <row r="32" spans="1:14" ht="15.75" thickBot="1" x14ac:dyDescent="0.3">
      <c r="A32" s="9"/>
      <c r="B32" s="12"/>
      <c r="C32" s="12"/>
      <c r="D32" s="12"/>
      <c r="E32" s="12"/>
      <c r="F32" s="12"/>
      <c r="G32" s="12"/>
      <c r="H32" s="12"/>
      <c r="I32" s="12"/>
      <c r="J32" s="18"/>
      <c r="K32" s="22"/>
      <c r="L32" s="12"/>
      <c r="M32" s="12"/>
      <c r="N32" s="12"/>
    </row>
    <row r="33" spans="1:17" ht="15.75" thickBot="1" x14ac:dyDescent="0.3">
      <c r="A33" s="13" t="s">
        <v>10</v>
      </c>
      <c r="B33" s="21">
        <f>B21</f>
        <v>45324488</v>
      </c>
      <c r="C33" s="24"/>
      <c r="D33" s="24">
        <f>D21</f>
        <v>804703</v>
      </c>
      <c r="E33" s="24">
        <f>E21</f>
        <v>299349</v>
      </c>
      <c r="F33" s="24">
        <f>F21+F24+F29</f>
        <v>428395692</v>
      </c>
      <c r="G33" s="3"/>
      <c r="H33" s="24">
        <f>H21+H24+H29</f>
        <v>15591417</v>
      </c>
      <c r="I33" s="3"/>
      <c r="J33" s="24">
        <f>J21+J24</f>
        <v>1338376</v>
      </c>
      <c r="K33" s="24">
        <f>K21+K26+K29+K31</f>
        <v>308043048</v>
      </c>
      <c r="L33" s="21"/>
      <c r="M33" s="3"/>
      <c r="N33" s="3"/>
    </row>
    <row r="34" spans="1:17" ht="15" x14ac:dyDescent="0.25">
      <c r="A34" s="1"/>
      <c r="J34" s="16"/>
      <c r="K34" s="16"/>
      <c r="M34" s="26"/>
    </row>
    <row r="35" spans="1:17" ht="15" x14ac:dyDescent="0.25">
      <c r="A35" s="19"/>
      <c r="J35" s="16"/>
      <c r="K35" s="16"/>
      <c r="M35" s="27">
        <f>B33+C33+D33+E33+F33+G33+H33+I33+J33+K33+L33+M33+N33</f>
        <v>799797073</v>
      </c>
      <c r="Q35" s="16"/>
    </row>
    <row r="36" spans="1:17" x14ac:dyDescent="0.3">
      <c r="A36" s="36" t="s">
        <v>34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7" ht="15" x14ac:dyDescent="0.25">
      <c r="A37" s="40" t="s">
        <v>33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Q37" s="27"/>
    </row>
    <row r="38" spans="1:17" ht="15" x14ac:dyDescent="0.25">
      <c r="A38" s="33" t="s">
        <v>38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</row>
    <row r="39" spans="1:17" ht="15" x14ac:dyDescent="0.25">
      <c r="A39" s="1"/>
      <c r="J39" s="16"/>
      <c r="K39" s="16"/>
    </row>
  </sheetData>
  <mergeCells count="18">
    <mergeCell ref="J5:K5"/>
    <mergeCell ref="L5:N5"/>
    <mergeCell ref="H6:I6"/>
    <mergeCell ref="A5:A7"/>
    <mergeCell ref="B5:C7"/>
    <mergeCell ref="D5:E7"/>
    <mergeCell ref="F5:G7"/>
    <mergeCell ref="H5:I5"/>
    <mergeCell ref="J6:K6"/>
    <mergeCell ref="L6:N6"/>
    <mergeCell ref="H7:I7"/>
    <mergeCell ref="J7:K7"/>
    <mergeCell ref="L7:N7"/>
    <mergeCell ref="A2:A4"/>
    <mergeCell ref="B2:E4"/>
    <mergeCell ref="F2:I4"/>
    <mergeCell ref="J2:K4"/>
    <mergeCell ref="L2:N4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</vt:lpstr>
      <vt:lpstr>2015</vt:lpstr>
      <vt:lpstr>2016</vt:lpstr>
      <vt:lpstr>2017</vt:lpstr>
    </vt:vector>
  </TitlesOfParts>
  <Company>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Aladro</dc:creator>
  <cp:lastModifiedBy>ANF</cp:lastModifiedBy>
  <cp:lastPrinted>2018-09-04T18:56:14Z</cp:lastPrinted>
  <dcterms:created xsi:type="dcterms:W3CDTF">2013-08-09T13:32:19Z</dcterms:created>
  <dcterms:modified xsi:type="dcterms:W3CDTF">2018-09-13T14:52:09Z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